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379C5163-29E2-4D77-9FBF-4C8807A0A2CF}" xr6:coauthVersionLast="46" xr6:coauthVersionMax="46" xr10:uidLastSave="{00000000-0000-0000-0000-000000000000}"/>
  <bookViews>
    <workbookView xWindow="-108" yWindow="-108" windowWidth="23256" windowHeight="12576" activeTab="8"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Blending" sheetId="68" r:id="rId8"/>
    <sheet name="Stock" sheetId="59" r:id="rId9"/>
    <sheet name="Demands" sheetId="43" r:id="rId10"/>
    <sheet name="ACT2FLO" sheetId="58" r:id="rId11"/>
    <sheet name="Efficiency" sheetId="60" r:id="rId12"/>
    <sheet name="AF" sheetId="61" r:id="rId13"/>
    <sheet name="On-Road Fac." sheetId="63"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56" i="59"/>
  <c r="F171" i="59"/>
  <c r="G171" i="59" s="1"/>
  <c r="D172" i="59"/>
  <c r="D171" i="59"/>
  <c r="B172" i="59"/>
  <c r="B171" i="59"/>
  <c r="F169" i="59"/>
  <c r="G169" i="59" s="1"/>
  <c r="D170" i="59"/>
  <c r="D169" i="59"/>
  <c r="F167" i="59"/>
  <c r="G167" i="59" s="1"/>
  <c r="F165" i="59"/>
  <c r="F166" i="59" s="1"/>
  <c r="G166" i="59" s="1"/>
  <c r="D168" i="59"/>
  <c r="D166" i="59"/>
  <c r="D164" i="59"/>
  <c r="F161" i="59"/>
  <c r="F162" i="59" s="1"/>
  <c r="D162" i="59"/>
  <c r="F159" i="59"/>
  <c r="F160" i="59" s="1"/>
  <c r="D160" i="59"/>
  <c r="D158" i="59"/>
  <c r="F157" i="59"/>
  <c r="F158" i="59" s="1"/>
  <c r="F155" i="59"/>
  <c r="F156" i="59" s="1"/>
  <c r="H153" i="59"/>
  <c r="H154" i="59"/>
  <c r="G154" i="59"/>
  <c r="G153" i="59"/>
  <c r="F153" i="59"/>
  <c r="F154" i="59" s="1"/>
  <c r="G151" i="59"/>
  <c r="H151" i="59"/>
  <c r="G152" i="59"/>
  <c r="H152" i="59"/>
  <c r="D154" i="59"/>
  <c r="D152" i="59"/>
  <c r="F149" i="59"/>
  <c r="F150" i="59" s="1"/>
  <c r="F147" i="59"/>
  <c r="F148" i="59" s="1"/>
  <c r="D150" i="59"/>
  <c r="D148" i="59"/>
  <c r="G143" i="59"/>
  <c r="H143" i="59"/>
  <c r="G144" i="59"/>
  <c r="H144" i="59"/>
  <c r="G141" i="59"/>
  <c r="H141" i="59"/>
  <c r="G142" i="59"/>
  <c r="H142" i="59"/>
  <c r="D146" i="59"/>
  <c r="D144" i="59"/>
  <c r="D142" i="59"/>
  <c r="G139" i="59"/>
  <c r="H139" i="59"/>
  <c r="G140" i="59"/>
  <c r="H140" i="59"/>
  <c r="F140" i="59"/>
  <c r="F139" i="59"/>
  <c r="G135" i="59"/>
  <c r="H135" i="59"/>
  <c r="G136" i="59"/>
  <c r="H136" i="59"/>
  <c r="D136" i="59"/>
  <c r="G133" i="59"/>
  <c r="G145" i="59" s="1"/>
  <c r="H133" i="59"/>
  <c r="H145" i="59" s="1"/>
  <c r="G134" i="59"/>
  <c r="G146" i="59" s="1"/>
  <c r="H134" i="59"/>
  <c r="H146" i="59" s="1"/>
  <c r="D134" i="59"/>
  <c r="D132" i="59"/>
  <c r="D130" i="59"/>
  <c r="D128" i="59"/>
  <c r="D126" i="59"/>
  <c r="D124" i="59"/>
  <c r="F123" i="59"/>
  <c r="F124" i="59" s="1"/>
  <c r="F125" i="59"/>
  <c r="F133" i="59" s="1"/>
  <c r="F145" i="59" s="1"/>
  <c r="B130" i="59"/>
  <c r="B131" i="59"/>
  <c r="B132" i="59"/>
  <c r="B133" i="59"/>
  <c r="B134" i="59"/>
  <c r="B135" i="59"/>
  <c r="B136" i="59"/>
  <c r="B137" i="59"/>
  <c r="B138" i="59"/>
  <c r="B139" i="59"/>
  <c r="B140" i="59"/>
  <c r="B141" i="59"/>
  <c r="B142" i="59"/>
  <c r="B143" i="59"/>
  <c r="B144" i="59"/>
  <c r="B145" i="59"/>
  <c r="B146" i="59"/>
  <c r="B147" i="59"/>
  <c r="B148" i="59"/>
  <c r="B149" i="59"/>
  <c r="B150" i="59"/>
  <c r="B151" i="59"/>
  <c r="B152" i="59"/>
  <c r="B153" i="59"/>
  <c r="B154" i="59"/>
  <c r="B155" i="59"/>
  <c r="B156" i="59"/>
  <c r="B157" i="59"/>
  <c r="B158" i="59"/>
  <c r="B159" i="59"/>
  <c r="B160" i="59"/>
  <c r="B161" i="59"/>
  <c r="B162" i="59"/>
  <c r="B163" i="59"/>
  <c r="B164" i="59"/>
  <c r="B165" i="59"/>
  <c r="B166" i="59"/>
  <c r="B167" i="59"/>
  <c r="B168" i="59"/>
  <c r="B169" i="59"/>
  <c r="B170" i="59"/>
  <c r="B125" i="59"/>
  <c r="B126" i="59"/>
  <c r="B127" i="59"/>
  <c r="B128" i="59"/>
  <c r="B129" i="59"/>
  <c r="B124" i="59"/>
  <c r="B123" i="59"/>
  <c r="B56" i="59"/>
  <c r="F127" i="59"/>
  <c r="F135" i="59" s="1"/>
  <c r="D167" i="59"/>
  <c r="D165" i="59"/>
  <c r="D163" i="59"/>
  <c r="D161" i="59"/>
  <c r="D159" i="59"/>
  <c r="D157" i="59"/>
  <c r="D155" i="59"/>
  <c r="D153" i="59"/>
  <c r="D151" i="59"/>
  <c r="D149" i="59"/>
  <c r="D147" i="59"/>
  <c r="D145" i="59"/>
  <c r="D143" i="59"/>
  <c r="D141" i="59"/>
  <c r="D139" i="59"/>
  <c r="D137" i="59"/>
  <c r="D140" i="59"/>
  <c r="D138" i="59"/>
  <c r="D135" i="59"/>
  <c r="D133" i="59"/>
  <c r="D131" i="59"/>
  <c r="D129" i="59"/>
  <c r="D127" i="59"/>
  <c r="D125" i="59"/>
  <c r="D123" i="59"/>
  <c r="I5" i="68"/>
  <c r="F126" i="59" l="1"/>
  <c r="F152" i="59" s="1"/>
  <c r="F141" i="59"/>
  <c r="F151" i="59"/>
  <c r="G165" i="59"/>
  <c r="F143" i="59"/>
  <c r="F128" i="59"/>
  <c r="G149" i="59"/>
  <c r="G150" i="59" s="1"/>
  <c r="F168" i="59"/>
  <c r="G168" i="59" s="1"/>
  <c r="F170" i="59"/>
  <c r="G170" i="59" s="1"/>
  <c r="F172" i="59"/>
  <c r="G172" i="59" s="1"/>
  <c r="F142" i="59"/>
  <c r="F134" i="59"/>
  <c r="F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36" i="59" l="1"/>
  <c r="F144" i="59"/>
  <c r="B81" i="59"/>
  <c r="B82" i="59"/>
  <c r="B83" i="59"/>
  <c r="B84" i="59"/>
  <c r="B85" i="59"/>
  <c r="B79" i="59"/>
  <c r="B78" i="59"/>
  <c r="B77" i="59"/>
  <c r="B75" i="59"/>
  <c r="B71" i="59"/>
  <c r="B72" i="59"/>
  <c r="B73" i="59"/>
  <c r="B61" i="59"/>
  <c r="B62" i="59"/>
  <c r="B63" i="59"/>
  <c r="B64" i="59"/>
  <c r="B65" i="59"/>
  <c r="B66" i="59"/>
  <c r="B67" i="59"/>
  <c r="B68" i="59"/>
  <c r="B69" i="59"/>
  <c r="B59" i="59"/>
  <c r="B57" i="59"/>
  <c r="B117" i="59"/>
  <c r="B116" i="59"/>
  <c r="B115" i="59"/>
  <c r="B113" i="59"/>
  <c r="B111" i="59"/>
  <c r="B109"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B17" i="68"/>
  <c r="B14" i="68"/>
  <c r="B11" i="68"/>
  <c r="B8" i="68"/>
  <c r="B5" i="68"/>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480" i="43"/>
  <c r="C481" i="43"/>
  <c r="D480" i="43"/>
  <c r="E480" i="43"/>
  <c r="F480" i="43"/>
  <c r="G480" i="43"/>
  <c r="H480" i="43"/>
  <c r="I480" i="43"/>
  <c r="J480" i="43"/>
  <c r="K480" i="43"/>
  <c r="L480" i="43"/>
  <c r="M480" i="43"/>
  <c r="N480" i="43"/>
  <c r="O480" i="43"/>
  <c r="P480" i="43"/>
  <c r="Q480" i="43"/>
  <c r="R480" i="43"/>
  <c r="S480" i="43"/>
  <c r="T480" i="43"/>
  <c r="U480" i="43"/>
  <c r="V480" i="43"/>
  <c r="W480" i="43"/>
  <c r="X480" i="43"/>
  <c r="Y480" i="43"/>
  <c r="Z480" i="43"/>
  <c r="AA480" i="43"/>
  <c r="AB480" i="43"/>
  <c r="AC480" i="43"/>
  <c r="D481" i="43"/>
  <c r="E481" i="43"/>
  <c r="F481" i="43"/>
  <c r="G481" i="43"/>
  <c r="H481" i="43"/>
  <c r="I481" i="43"/>
  <c r="J481" i="43"/>
  <c r="K481" i="43"/>
  <c r="L481" i="43"/>
  <c r="M481" i="43"/>
  <c r="N481" i="43"/>
  <c r="O481" i="43"/>
  <c r="P481" i="43"/>
  <c r="Q481" i="43"/>
  <c r="R481" i="43"/>
  <c r="S481" i="43"/>
  <c r="T481" i="43"/>
  <c r="U481" i="43"/>
  <c r="V481" i="43"/>
  <c r="W481" i="43"/>
  <c r="X481" i="43"/>
  <c r="Y481" i="43"/>
  <c r="Z481" i="43"/>
  <c r="AA481" i="43"/>
  <c r="AB481" i="43"/>
  <c r="AC481" i="43"/>
  <c r="L457" i="43"/>
  <c r="C442" i="43"/>
  <c r="C451" i="43" s="1"/>
  <c r="C441" i="43"/>
  <c r="C450" i="43" s="1"/>
  <c r="C440" i="43"/>
  <c r="C449" i="43" s="1"/>
  <c r="F71" i="58"/>
  <c r="E32" i="58"/>
  <c r="F461" i="43"/>
  <c r="L459" i="43" s="1"/>
  <c r="F459" i="43"/>
  <c r="L458" i="43" s="1"/>
  <c r="F457" i="43"/>
  <c r="F70" i="58" s="1"/>
  <c r="E458" i="43"/>
  <c r="E462" i="43"/>
  <c r="E461" i="43"/>
  <c r="E460" i="43"/>
  <c r="E459" i="43"/>
  <c r="D645" i="43"/>
  <c r="F645" i="43"/>
  <c r="G645" i="43"/>
  <c r="H645" i="43"/>
  <c r="I645" i="43"/>
  <c r="J645" i="43"/>
  <c r="L645" i="43"/>
  <c r="M645" i="43"/>
  <c r="N645" i="43"/>
  <c r="O645" i="43"/>
  <c r="P645" i="43"/>
  <c r="Q645" i="43"/>
  <c r="R645" i="43"/>
  <c r="S645" i="43"/>
  <c r="T645" i="43"/>
  <c r="V645" i="43"/>
  <c r="W645" i="43"/>
  <c r="Y645" i="43"/>
  <c r="Z645" i="43"/>
  <c r="AA645" i="43"/>
  <c r="AB645" i="43"/>
  <c r="AC645" i="43"/>
  <c r="E34" i="58"/>
  <c r="C470" i="43"/>
  <c r="C642" i="43" s="1"/>
  <c r="C17" i="68"/>
  <c r="J18" i="68"/>
  <c r="K18" i="68"/>
  <c r="L18" i="68"/>
  <c r="M18" i="68"/>
  <c r="I18" i="68"/>
  <c r="E19" i="68"/>
  <c r="D18" i="68"/>
  <c r="D17" i="68"/>
  <c r="C14" i="68"/>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S60" i="60" l="1"/>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E30" i="58"/>
  <c r="E31" i="58"/>
  <c r="E29" i="58"/>
  <c r="E28" i="58"/>
  <c r="D440" i="43"/>
  <c r="C443" i="43"/>
  <c r="F73" i="58"/>
  <c r="G70" i="58"/>
  <c r="F72" i="58"/>
  <c r="C645" i="43"/>
  <c r="C479" i="43"/>
  <c r="D442" i="43" l="1"/>
  <c r="D451" i="43" s="1"/>
  <c r="F31" i="58" s="1"/>
  <c r="D449" i="43"/>
  <c r="F28" i="58" s="1"/>
  <c r="D441" i="43"/>
  <c r="D450" i="43" s="1"/>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F29" i="58" l="1"/>
  <c r="F30" i="58"/>
  <c r="E441" i="43"/>
  <c r="E450" i="43" s="1"/>
  <c r="G30" i="58" s="1"/>
  <c r="D443" i="43"/>
  <c r="E442" i="43"/>
  <c r="E451" i="43" s="1"/>
  <c r="AQ28" i="56"/>
  <c r="AQ27" i="56" s="1"/>
  <c r="L27" i="56"/>
  <c r="L8" i="56" s="1"/>
  <c r="AQ8" i="56" s="1"/>
  <c r="X72" i="56"/>
  <c r="X8" i="56"/>
  <c r="H73" i="58"/>
  <c r="G71" i="58"/>
  <c r="E440"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420" i="43"/>
  <c r="F30" i="59"/>
  <c r="F29" i="59"/>
  <c r="F28" i="59"/>
  <c r="G31" i="58" l="1"/>
  <c r="F441" i="43"/>
  <c r="F450" i="43" s="1"/>
  <c r="H30" i="58" s="1"/>
  <c r="F442" i="43"/>
  <c r="F451" i="43" s="1"/>
  <c r="H31" i="58" s="1"/>
  <c r="L72" i="56"/>
  <c r="AQ72" i="56" s="1"/>
  <c r="E443" i="43"/>
  <c r="E449" i="43"/>
  <c r="I73" i="58"/>
  <c r="J73" i="58"/>
  <c r="J70" i="58"/>
  <c r="I72" i="58"/>
  <c r="H71" i="58"/>
  <c r="F440" i="43" s="1"/>
  <c r="G29" i="59"/>
  <c r="BN48" i="59" s="1"/>
  <c r="G31" i="59"/>
  <c r="BN50" i="59" s="1"/>
  <c r="G30" i="59"/>
  <c r="BN49" i="59" s="1"/>
  <c r="C29" i="59"/>
  <c r="C153" i="59" s="1"/>
  <c r="C154" i="59" s="1"/>
  <c r="C30" i="59"/>
  <c r="C155" i="59" s="1"/>
  <c r="C156" i="59" s="1"/>
  <c r="G442" i="43" l="1"/>
  <c r="G451" i="43" s="1"/>
  <c r="H442" i="43"/>
  <c r="H451" i="43" s="1"/>
  <c r="J31" i="58" s="1"/>
  <c r="G441" i="43"/>
  <c r="G450" i="43" s="1"/>
  <c r="C82" i="59"/>
  <c r="BM48" i="59"/>
  <c r="C83" i="59"/>
  <c r="BM49" i="59"/>
  <c r="F443" i="43"/>
  <c r="F449" i="43"/>
  <c r="G29" i="58"/>
  <c r="G28" i="58"/>
  <c r="I71" i="58"/>
  <c r="G440" i="43" s="1"/>
  <c r="K73" i="58"/>
  <c r="J72" i="58"/>
  <c r="K70" i="58"/>
  <c r="C472" i="43"/>
  <c r="C644" i="43" s="1"/>
  <c r="C471" i="43"/>
  <c r="C643" i="43" s="1"/>
  <c r="D463" i="43"/>
  <c r="E463" i="43" s="1"/>
  <c r="C463" i="43"/>
  <c r="H441" i="43" l="1"/>
  <c r="H450" i="43" s="1"/>
  <c r="J30" i="58" s="1"/>
  <c r="I442" i="43"/>
  <c r="I451" i="43" s="1"/>
  <c r="K31" i="58" s="1"/>
  <c r="I31" i="58"/>
  <c r="I30" i="58"/>
  <c r="G443" i="43"/>
  <c r="G449" i="43"/>
  <c r="H28" i="58"/>
  <c r="H29" i="58"/>
  <c r="K72" i="58"/>
  <c r="L70" i="58"/>
  <c r="L73" i="58"/>
  <c r="J71" i="58"/>
  <c r="H440" i="43" s="1"/>
  <c r="C473" i="43"/>
  <c r="J442" i="43" l="1"/>
  <c r="J451" i="43" s="1"/>
  <c r="L31" i="58" s="1"/>
  <c r="I441" i="43"/>
  <c r="I28" i="58"/>
  <c r="I29" i="58"/>
  <c r="H443" i="43"/>
  <c r="H449" i="43"/>
  <c r="M70" i="58"/>
  <c r="K71" i="58"/>
  <c r="I440" i="43" s="1"/>
  <c r="M73" i="58"/>
  <c r="L72" i="58"/>
  <c r="C646" i="43"/>
  <c r="C652" i="43" s="1"/>
  <c r="E13" i="65"/>
  <c r="I450" i="43" l="1"/>
  <c r="K30" i="58" s="1"/>
  <c r="J441" i="43"/>
  <c r="J450" i="43" s="1"/>
  <c r="K442" i="43"/>
  <c r="K451" i="43" s="1"/>
  <c r="M31" i="58" s="1"/>
  <c r="I443" i="43"/>
  <c r="I449" i="43"/>
  <c r="J28" i="58"/>
  <c r="J29" i="58"/>
  <c r="M72" i="58"/>
  <c r="N73" i="58"/>
  <c r="L71" i="58"/>
  <c r="J440" i="43" s="1"/>
  <c r="N70" i="58"/>
  <c r="C655" i="43"/>
  <c r="C653" i="43"/>
  <c r="C654"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442" i="43" l="1"/>
  <c r="L451" i="43" s="1"/>
  <c r="N31" i="58" s="1"/>
  <c r="K441" i="43"/>
  <c r="K450" i="43" s="1"/>
  <c r="M30" i="58" s="1"/>
  <c r="L30" i="58"/>
  <c r="J443" i="43"/>
  <c r="J449" i="43"/>
  <c r="K28" i="58"/>
  <c r="K29" i="58"/>
  <c r="M71" i="58"/>
  <c r="K440" i="43" s="1"/>
  <c r="O70" i="58"/>
  <c r="O73" i="58"/>
  <c r="N72" i="58"/>
  <c r="C656" i="43"/>
  <c r="D105" i="59"/>
  <c r="D117" i="59" s="1"/>
  <c r="C105" i="59"/>
  <c r="C103" i="59"/>
  <c r="L441" i="43" l="1"/>
  <c r="M442" i="43"/>
  <c r="K443" i="43"/>
  <c r="K449" i="43"/>
  <c r="L28" i="58"/>
  <c r="L29" i="58"/>
  <c r="P73" i="58"/>
  <c r="O72" i="58"/>
  <c r="N71" i="58"/>
  <c r="L440" i="43" s="1"/>
  <c r="P70" i="58"/>
  <c r="D103" i="59"/>
  <c r="D115" i="59" s="1"/>
  <c r="L450" i="43" l="1"/>
  <c r="N30" i="58" s="1"/>
  <c r="N442" i="43"/>
  <c r="N451" i="43" s="1"/>
  <c r="P31" i="58" s="1"/>
  <c r="M441" i="43"/>
  <c r="M450" i="43" s="1"/>
  <c r="O30" i="58" s="1"/>
  <c r="M451" i="43"/>
  <c r="O31" i="58" s="1"/>
  <c r="M28" i="58"/>
  <c r="M29" i="58"/>
  <c r="L443" i="43"/>
  <c r="L449" i="43"/>
  <c r="Q70" i="58"/>
  <c r="O71" i="58"/>
  <c r="M440"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441" i="43" l="1"/>
  <c r="N450" i="43" s="1"/>
  <c r="P30" i="58" s="1"/>
  <c r="O442" i="43"/>
  <c r="O451" i="43" s="1"/>
  <c r="Q31" i="58" s="1"/>
  <c r="M443" i="43"/>
  <c r="M449" i="43"/>
  <c r="N29" i="58"/>
  <c r="N28" i="58"/>
  <c r="R73" i="58"/>
  <c r="P71" i="58"/>
  <c r="N440" i="43" s="1"/>
  <c r="R70" i="58"/>
  <c r="Q72" i="58"/>
  <c r="F6" i="61"/>
  <c r="F7" i="61"/>
  <c r="F8" i="61"/>
  <c r="F9" i="61"/>
  <c r="F10" i="61"/>
  <c r="F16" i="61"/>
  <c r="F17" i="61"/>
  <c r="F18" i="61"/>
  <c r="F19" i="61"/>
  <c r="P442" i="43" l="1"/>
  <c r="P451" i="43" s="1"/>
  <c r="R31" i="58" s="1"/>
  <c r="O441" i="43"/>
  <c r="O450" i="43" s="1"/>
  <c r="N443" i="43"/>
  <c r="N449" i="43"/>
  <c r="O29" i="58"/>
  <c r="O28" i="58"/>
  <c r="R72" i="58"/>
  <c r="Q71" i="58"/>
  <c r="O440"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441" i="43" l="1"/>
  <c r="P450" i="43" s="1"/>
  <c r="R30" i="58" s="1"/>
  <c r="Q442" i="43"/>
  <c r="Q451" i="43" s="1"/>
  <c r="S31" i="58" s="1"/>
  <c r="Q30" i="58"/>
  <c r="O443" i="43"/>
  <c r="O449" i="43"/>
  <c r="P28" i="58"/>
  <c r="P29" i="58"/>
  <c r="R71" i="58"/>
  <c r="P440" i="43" s="1"/>
  <c r="T73" i="58"/>
  <c r="S72" i="58"/>
  <c r="T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441" i="43" l="1"/>
  <c r="Q450" i="43" s="1"/>
  <c r="R442" i="43"/>
  <c r="R451" i="43" s="1"/>
  <c r="P443" i="43"/>
  <c r="P449" i="43"/>
  <c r="Q28" i="58"/>
  <c r="Q29" i="58"/>
  <c r="U70" i="58"/>
  <c r="T72" i="58"/>
  <c r="U73" i="58"/>
  <c r="S71" i="58"/>
  <c r="Q440" i="43" s="1"/>
  <c r="M15" i="68"/>
  <c r="L15" i="68"/>
  <c r="K15" i="68"/>
  <c r="J15" i="68"/>
  <c r="I15" i="68"/>
  <c r="M12" i="68"/>
  <c r="L12" i="68"/>
  <c r="K12" i="68"/>
  <c r="J12" i="68"/>
  <c r="I12" i="68"/>
  <c r="M9" i="68"/>
  <c r="L9" i="68"/>
  <c r="K9" i="68"/>
  <c r="J9" i="68"/>
  <c r="I9" i="68"/>
  <c r="J6" i="68"/>
  <c r="K6" i="68"/>
  <c r="L6" i="68"/>
  <c r="M6" i="68"/>
  <c r="I6" i="68"/>
  <c r="S442" i="43" l="1"/>
  <c r="S451" i="43" s="1"/>
  <c r="U31" i="58" s="1"/>
  <c r="T31" i="58"/>
  <c r="R441" i="43"/>
  <c r="S30" i="58"/>
  <c r="R28" i="58"/>
  <c r="R29" i="58"/>
  <c r="Q443" i="43"/>
  <c r="Q449" i="43"/>
  <c r="V73" i="58"/>
  <c r="V70" i="58"/>
  <c r="T71" i="58"/>
  <c r="R440" i="43" s="1"/>
  <c r="U72" i="58"/>
  <c r="E16" i="68"/>
  <c r="D14" i="68"/>
  <c r="D15" i="68"/>
  <c r="S441" i="43" l="1"/>
  <c r="S450" i="43" s="1"/>
  <c r="U30" i="58" s="1"/>
  <c r="T442" i="43"/>
  <c r="T451" i="43" s="1"/>
  <c r="V31" i="58" s="1"/>
  <c r="R450" i="43"/>
  <c r="T30" i="58" s="1"/>
  <c r="R443" i="43"/>
  <c r="R449" i="43"/>
  <c r="S28" i="58"/>
  <c r="S29" i="58"/>
  <c r="W70" i="58"/>
  <c r="V72" i="58"/>
  <c r="U71" i="58"/>
  <c r="S440" i="43" s="1"/>
  <c r="W73" i="58"/>
  <c r="C104" i="59"/>
  <c r="C116" i="59" s="1"/>
  <c r="C117" i="59" s="1"/>
  <c r="D104" i="59"/>
  <c r="D116" i="59" s="1"/>
  <c r="C115" i="59"/>
  <c r="D101" i="59"/>
  <c r="C101" i="59"/>
  <c r="C113" i="59" s="1"/>
  <c r="E10" i="59"/>
  <c r="D99" i="59"/>
  <c r="D100" i="59" s="1"/>
  <c r="D97" i="59"/>
  <c r="D98" i="59" s="1"/>
  <c r="C99" i="59"/>
  <c r="C111" i="59" s="1"/>
  <c r="C97" i="59"/>
  <c r="C109" i="59" s="1"/>
  <c r="T441" i="43" l="1"/>
  <c r="T450" i="43" s="1"/>
  <c r="U442" i="43"/>
  <c r="U451" i="43" s="1"/>
  <c r="S443" i="43"/>
  <c r="S449" i="43"/>
  <c r="T29" i="58"/>
  <c r="T28" i="58"/>
  <c r="W72" i="58"/>
  <c r="X73" i="58"/>
  <c r="V71" i="58"/>
  <c r="T440" i="43" s="1"/>
  <c r="X70" i="58"/>
  <c r="D113" i="59"/>
  <c r="D114" i="59" s="1"/>
  <c r="D10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W31" i="58" l="1"/>
  <c r="V442" i="43"/>
  <c r="V451" i="43" s="1"/>
  <c r="X31" i="58" s="1"/>
  <c r="U441" i="43"/>
  <c r="U450" i="43"/>
  <c r="W30" i="58" s="1"/>
  <c r="V30" i="58"/>
  <c r="T443" i="43"/>
  <c r="T449" i="43"/>
  <c r="U28" i="58"/>
  <c r="U29" i="58"/>
  <c r="Y70" i="58"/>
  <c r="Y73" i="58"/>
  <c r="W71" i="58"/>
  <c r="U440" i="43" s="1"/>
  <c r="X72" i="58"/>
  <c r="AG55" i="68"/>
  <c r="AH55" i="68" s="1"/>
  <c r="AI55" i="68" s="1"/>
  <c r="AJ55" i="68" s="1"/>
  <c r="AK55" i="68" s="1"/>
  <c r="AL55" i="68" s="1"/>
  <c r="AM55" i="68" s="1"/>
  <c r="AN55" i="68" s="1"/>
  <c r="AO55" i="68" s="1"/>
  <c r="AP55" i="68" s="1"/>
  <c r="M5" i="68" s="1"/>
  <c r="L5" i="68"/>
  <c r="J8" i="68"/>
  <c r="L8" i="68"/>
  <c r="V441" i="43" l="1"/>
  <c r="V450" i="43" s="1"/>
  <c r="X30" i="58" s="1"/>
  <c r="W442" i="43"/>
  <c r="U443" i="43"/>
  <c r="U449" i="43"/>
  <c r="V28" i="58"/>
  <c r="V29" i="58"/>
  <c r="Y72" i="58"/>
  <c r="Z73" i="58"/>
  <c r="Z70" i="58"/>
  <c r="X71" i="58"/>
  <c r="V440" i="43" s="1"/>
  <c r="W451" i="43" l="1"/>
  <c r="Y31" i="58" s="1"/>
  <c r="X442" i="43"/>
  <c r="X451" i="43" s="1"/>
  <c r="Z31" i="58" s="1"/>
  <c r="W441" i="43"/>
  <c r="W29" i="58"/>
  <c r="W28" i="58"/>
  <c r="V443" i="43"/>
  <c r="V449" i="43"/>
  <c r="AA73" i="58"/>
  <c r="Y71" i="58"/>
  <c r="W440"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W450" i="43" l="1"/>
  <c r="Y30" i="58" s="1"/>
  <c r="X441" i="43"/>
  <c r="X450" i="43" s="1"/>
  <c r="Z30" i="58" s="1"/>
  <c r="Y442" i="43"/>
  <c r="Y451" i="43" s="1"/>
  <c r="AA31" i="58" s="1"/>
  <c r="X29" i="58"/>
  <c r="X28" i="58"/>
  <c r="W443" i="43"/>
  <c r="W449" i="43"/>
  <c r="AA72" i="58"/>
  <c r="AB70" i="58"/>
  <c r="Z71" i="58"/>
  <c r="X440" i="43" s="1"/>
  <c r="AB73" i="58"/>
  <c r="BN30" i="59"/>
  <c r="Z442" i="43" l="1"/>
  <c r="Y441" i="43"/>
  <c r="X443" i="43"/>
  <c r="X449" i="43"/>
  <c r="Y28" i="58"/>
  <c r="Y29" i="58"/>
  <c r="AA71" i="58"/>
  <c r="Y440" i="43" s="1"/>
  <c r="AC73" i="58"/>
  <c r="AC70" i="58"/>
  <c r="AB72" i="58"/>
  <c r="B7" i="43"/>
  <c r="Z441" i="43" l="1"/>
  <c r="Z450" i="43" s="1"/>
  <c r="Y450" i="43"/>
  <c r="AA30" i="58" s="1"/>
  <c r="AA442" i="43"/>
  <c r="AA451" i="43" s="1"/>
  <c r="AC31" i="58" s="1"/>
  <c r="Z451" i="43"/>
  <c r="AB31" i="58" s="1"/>
  <c r="Y443" i="43"/>
  <c r="Y449" i="43"/>
  <c r="Z28" i="58"/>
  <c r="Z29" i="58"/>
  <c r="AD73" i="58"/>
  <c r="AB71" i="58"/>
  <c r="Z440"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441" i="43" l="1"/>
  <c r="AA450" i="43" s="1"/>
  <c r="AC30" i="58" s="1"/>
  <c r="AB442" i="43"/>
  <c r="AB451" i="43" s="1"/>
  <c r="AD31" i="58" s="1"/>
  <c r="AB30" i="58"/>
  <c r="AA28" i="58"/>
  <c r="AA29" i="58"/>
  <c r="Z443" i="43"/>
  <c r="Z449" i="43"/>
  <c r="AD72" i="58"/>
  <c r="AC71" i="58"/>
  <c r="AA440" i="43" s="1"/>
  <c r="AE70" i="58"/>
  <c r="AE73" i="58"/>
  <c r="AC442" i="43" l="1"/>
  <c r="AC451" i="43" s="1"/>
  <c r="AE31" i="58" s="1"/>
  <c r="AB441" i="43"/>
  <c r="AB450" i="43" s="1"/>
  <c r="AA443" i="43"/>
  <c r="AA449" i="43"/>
  <c r="AB28" i="58"/>
  <c r="AB29" i="58"/>
  <c r="AE72" i="58"/>
  <c r="AD71" i="58"/>
  <c r="AB440" i="43" s="1"/>
  <c r="E58" i="60"/>
  <c r="AD30" i="58" l="1"/>
  <c r="AC441" i="43"/>
  <c r="AC450" i="43" s="1"/>
  <c r="AE30" i="58" s="1"/>
  <c r="AB443" i="43"/>
  <c r="AB449" i="43"/>
  <c r="AC28" i="58"/>
  <c r="AC29" i="58"/>
  <c r="AE71" i="58"/>
  <c r="E64" i="60"/>
  <c r="E65" i="60"/>
  <c r="E66" i="60"/>
  <c r="E67" i="60"/>
  <c r="E68" i="60"/>
  <c r="AD28" i="58" l="1"/>
  <c r="AD29" i="58"/>
  <c r="AC440" i="43"/>
  <c r="F50" i="59"/>
  <c r="F26" i="59"/>
  <c r="F25" i="59"/>
  <c r="F24" i="59"/>
  <c r="F22" i="59"/>
  <c r="F20" i="59"/>
  <c r="F19" i="59"/>
  <c r="F18" i="59"/>
  <c r="F16" i="59"/>
  <c r="F15" i="59"/>
  <c r="F14" i="59"/>
  <c r="F13" i="59"/>
  <c r="F12" i="59"/>
  <c r="F11" i="59"/>
  <c r="F10" i="59"/>
  <c r="F9" i="59"/>
  <c r="F8" i="59"/>
  <c r="F6" i="59"/>
  <c r="G47" i="59"/>
  <c r="C60" i="43"/>
  <c r="C46" i="43"/>
  <c r="C32" i="43"/>
  <c r="C23" i="43"/>
  <c r="C311" i="43"/>
  <c r="C310" i="43"/>
  <c r="C309" i="43"/>
  <c r="B312" i="43"/>
  <c r="D310" i="43" s="1"/>
  <c r="C351" i="43"/>
  <c r="C343" i="43"/>
  <c r="C334" i="43"/>
  <c r="B293" i="43"/>
  <c r="AC443" i="43" l="1"/>
  <c r="AC449" i="43"/>
  <c r="D309" i="43"/>
  <c r="B311" i="43"/>
  <c r="D311" i="43" s="1"/>
  <c r="B320" i="43"/>
  <c r="D318" i="43" s="1"/>
  <c r="B303" i="43"/>
  <c r="D300" i="43" s="1"/>
  <c r="C302" i="43"/>
  <c r="C301" i="43"/>
  <c r="C300" i="43"/>
  <c r="C318" i="43" s="1"/>
  <c r="C292" i="43"/>
  <c r="C291" i="43"/>
  <c r="C290" i="43"/>
  <c r="AE29" i="58" l="1"/>
  <c r="AE28" i="58"/>
  <c r="B292" i="43"/>
  <c r="D292" i="43" s="1"/>
  <c r="I334" i="43"/>
  <c r="I351" i="43"/>
  <c r="I32" i="43"/>
  <c r="I60" i="43"/>
  <c r="I23" i="43"/>
  <c r="I46" i="43"/>
  <c r="I343" i="43"/>
  <c r="M47" i="59"/>
  <c r="R32" i="43"/>
  <c r="R334" i="43"/>
  <c r="R23" i="43"/>
  <c r="R60" i="43"/>
  <c r="R351" i="43"/>
  <c r="V47" i="59"/>
  <c r="R46" i="43"/>
  <c r="R343" i="43"/>
  <c r="Z32" i="43"/>
  <c r="Z334" i="43"/>
  <c r="Z23" i="43"/>
  <c r="AD47" i="59"/>
  <c r="Z60" i="43"/>
  <c r="Z351" i="43"/>
  <c r="Z46" i="43"/>
  <c r="Z343" i="43"/>
  <c r="W47" i="59"/>
  <c r="S334" i="43"/>
  <c r="S60" i="43"/>
  <c r="S32" i="43"/>
  <c r="S351" i="43"/>
  <c r="S23" i="43"/>
  <c r="S343" i="43"/>
  <c r="S46" i="43"/>
  <c r="Y334" i="43"/>
  <c r="Y60" i="43"/>
  <c r="Y351" i="43"/>
  <c r="Y23" i="43"/>
  <c r="Y46" i="43"/>
  <c r="Y343" i="43"/>
  <c r="AC47" i="59"/>
  <c r="Y32" i="43"/>
  <c r="O47" i="59"/>
  <c r="K32" i="43"/>
  <c r="K334" i="43"/>
  <c r="K60" i="43"/>
  <c r="K351" i="43"/>
  <c r="K343" i="43"/>
  <c r="K23" i="43"/>
  <c r="K46" i="43"/>
  <c r="D343" i="43"/>
  <c r="H47" i="59"/>
  <c r="D334" i="43"/>
  <c r="D32" i="43"/>
  <c r="D60" i="43"/>
  <c r="D351" i="43"/>
  <c r="D46" i="43"/>
  <c r="D23" i="43"/>
  <c r="L343" i="43"/>
  <c r="P47" i="59"/>
  <c r="L32" i="43"/>
  <c r="L334" i="43"/>
  <c r="L60" i="43"/>
  <c r="L351" i="43"/>
  <c r="L23" i="43"/>
  <c r="L46" i="43"/>
  <c r="T343" i="43"/>
  <c r="T334" i="43"/>
  <c r="X47" i="59"/>
  <c r="T32" i="43"/>
  <c r="T60" i="43"/>
  <c r="T351" i="43"/>
  <c r="T46" i="43"/>
  <c r="T23" i="43"/>
  <c r="AB343" i="43"/>
  <c r="AF47" i="59"/>
  <c r="AB334" i="43"/>
  <c r="AB32" i="43"/>
  <c r="AB60" i="43"/>
  <c r="AB351" i="43"/>
  <c r="AB23" i="43"/>
  <c r="AB46" i="43"/>
  <c r="J32" i="43"/>
  <c r="J334" i="43"/>
  <c r="J60" i="43"/>
  <c r="J351" i="43"/>
  <c r="J23" i="43"/>
  <c r="J46" i="43"/>
  <c r="J343" i="43"/>
  <c r="N47" i="59"/>
  <c r="E46" i="43"/>
  <c r="E343" i="43"/>
  <c r="E32" i="43"/>
  <c r="I47" i="59"/>
  <c r="E334" i="43"/>
  <c r="E60" i="43"/>
  <c r="E351" i="43"/>
  <c r="E23" i="43"/>
  <c r="U46" i="43"/>
  <c r="U343" i="43"/>
  <c r="U32" i="43"/>
  <c r="Y47" i="59"/>
  <c r="U334" i="43"/>
  <c r="U60" i="43"/>
  <c r="U351" i="43"/>
  <c r="U23" i="43"/>
  <c r="N23" i="43"/>
  <c r="N46" i="43"/>
  <c r="R47" i="59"/>
  <c r="N343" i="43"/>
  <c r="N32" i="43"/>
  <c r="N334" i="43"/>
  <c r="N60" i="43"/>
  <c r="N351" i="43"/>
  <c r="Z47" i="59"/>
  <c r="V46" i="43"/>
  <c r="V343" i="43"/>
  <c r="V32" i="43"/>
  <c r="V23" i="43"/>
  <c r="V334" i="43"/>
  <c r="V60" i="43"/>
  <c r="V351" i="43"/>
  <c r="Q334" i="43"/>
  <c r="Q60" i="43"/>
  <c r="Q351" i="43"/>
  <c r="Q23" i="43"/>
  <c r="Q46" i="43"/>
  <c r="Q32" i="43"/>
  <c r="Q343" i="43"/>
  <c r="U47" i="59"/>
  <c r="AE47" i="59"/>
  <c r="AA351" i="43"/>
  <c r="AA343" i="43"/>
  <c r="AA32" i="43"/>
  <c r="AA60" i="43"/>
  <c r="AA334" i="43"/>
  <c r="AA23" i="43"/>
  <c r="AA46" i="43"/>
  <c r="M46" i="43"/>
  <c r="M343" i="43"/>
  <c r="M32" i="43"/>
  <c r="Q47" i="59"/>
  <c r="M334" i="43"/>
  <c r="M60" i="43"/>
  <c r="M351" i="43"/>
  <c r="M23" i="43"/>
  <c r="AC46" i="43"/>
  <c r="AC343" i="43"/>
  <c r="AC32" i="43"/>
  <c r="AG47" i="59"/>
  <c r="AC334" i="43"/>
  <c r="AC60" i="43"/>
  <c r="AC351" i="43"/>
  <c r="AC23" i="43"/>
  <c r="F46" i="43"/>
  <c r="F343" i="43"/>
  <c r="J47" i="59"/>
  <c r="F23" i="43"/>
  <c r="F32" i="43"/>
  <c r="F334" i="43"/>
  <c r="F60" i="43"/>
  <c r="F351" i="43"/>
  <c r="G23" i="43"/>
  <c r="G343" i="43"/>
  <c r="G46" i="43"/>
  <c r="G60" i="43"/>
  <c r="K47" i="59"/>
  <c r="G334" i="43"/>
  <c r="G32" i="43"/>
  <c r="G351" i="43"/>
  <c r="O23" i="43"/>
  <c r="O351" i="43"/>
  <c r="O60" i="43"/>
  <c r="O46" i="43"/>
  <c r="O343" i="43"/>
  <c r="S47" i="59"/>
  <c r="O32" i="43"/>
  <c r="O334" i="43"/>
  <c r="W23" i="43"/>
  <c r="W343" i="43"/>
  <c r="W46" i="43"/>
  <c r="AA47" i="59"/>
  <c r="W334" i="43"/>
  <c r="W32" i="43"/>
  <c r="W60" i="43"/>
  <c r="W351" i="43"/>
  <c r="H60" i="43"/>
  <c r="H351" i="43"/>
  <c r="H23" i="43"/>
  <c r="H46" i="43"/>
  <c r="H334" i="43"/>
  <c r="H343" i="43"/>
  <c r="L47" i="59"/>
  <c r="H32" i="43"/>
  <c r="P60" i="43"/>
  <c r="P351" i="43"/>
  <c r="P46" i="43"/>
  <c r="P23" i="43"/>
  <c r="P343" i="43"/>
  <c r="T47" i="59"/>
  <c r="P334" i="43"/>
  <c r="P32" i="43"/>
  <c r="X60" i="43"/>
  <c r="X351" i="43"/>
  <c r="X23" i="43"/>
  <c r="X46" i="43"/>
  <c r="X343" i="43"/>
  <c r="X334" i="43"/>
  <c r="AB47" i="59"/>
  <c r="X32" i="43"/>
  <c r="B319" i="43"/>
  <c r="D319" i="43" s="1"/>
  <c r="B302" i="43"/>
  <c r="D302" i="43" s="1"/>
  <c r="D290" i="43"/>
  <c r="D291" i="43"/>
  <c r="C50" i="59"/>
  <c r="C49" i="59"/>
  <c r="D47" i="59"/>
  <c r="E47" i="59"/>
  <c r="F47" i="59"/>
  <c r="C47" i="59"/>
  <c r="C56" i="59" l="1"/>
  <c r="AI28" i="59"/>
  <c r="C57" i="59"/>
  <c r="AI29" i="59"/>
  <c r="D301"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63" i="59" s="1"/>
  <c r="C164" i="59" s="1"/>
  <c r="C36" i="59"/>
  <c r="C165" i="59" s="1"/>
  <c r="C166" i="59" s="1"/>
  <c r="C167" i="59" s="1"/>
  <c r="C168" i="59" s="1"/>
  <c r="C169" i="59" s="1"/>
  <c r="C170" i="59" s="1"/>
  <c r="C171" i="59" s="1"/>
  <c r="C172" i="59" s="1"/>
  <c r="C34" i="59"/>
  <c r="C161" i="59" s="1"/>
  <c r="C162"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99" i="60"/>
  <c r="F701" i="60" s="1"/>
  <c r="G699" i="60"/>
  <c r="G701" i="60" s="1"/>
  <c r="H699" i="60"/>
  <c r="H701" i="60" s="1"/>
  <c r="F700" i="60"/>
  <c r="F702" i="60" s="1"/>
  <c r="G700" i="60"/>
  <c r="G702" i="60" s="1"/>
  <c r="H700" i="60"/>
  <c r="H702" i="60" s="1"/>
  <c r="D700" i="60"/>
  <c r="D702" i="60" s="1"/>
  <c r="D699" i="60"/>
  <c r="D701" i="60" s="1"/>
  <c r="F685" i="60"/>
  <c r="G685" i="60"/>
  <c r="H685" i="60"/>
  <c r="D685" i="60"/>
  <c r="E693" i="60"/>
  <c r="E692" i="60"/>
  <c r="E691" i="60"/>
  <c r="E690" i="60"/>
  <c r="E689" i="60"/>
  <c r="E688" i="60"/>
  <c r="E687" i="60"/>
  <c r="E686" i="60"/>
  <c r="E684" i="60"/>
  <c r="E685" i="60" s="1"/>
  <c r="E683" i="60"/>
  <c r="E682" i="60"/>
  <c r="H681" i="60"/>
  <c r="G681" i="60"/>
  <c r="F681" i="60"/>
  <c r="E681" i="60"/>
  <c r="E680" i="60"/>
  <c r="E679" i="60"/>
  <c r="E678" i="60"/>
  <c r="E677" i="60"/>
  <c r="E676" i="60"/>
  <c r="C155" i="43"/>
  <c r="B68" i="58"/>
  <c r="B26" i="58" s="1"/>
  <c r="H66" i="58"/>
  <c r="C111" i="58"/>
  <c r="C112" i="58"/>
  <c r="C154" i="43"/>
  <c r="B67" i="58"/>
  <c r="B25" i="58" s="1"/>
  <c r="B66" i="58"/>
  <c r="B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A115" i="43"/>
  <c r="A114" i="43"/>
  <c r="A113" i="43"/>
  <c r="A112" i="43"/>
  <c r="A104" i="43"/>
  <c r="A102" i="43"/>
  <c r="A103" i="43"/>
  <c r="A101" i="43"/>
  <c r="A92" i="43"/>
  <c r="A93" i="43"/>
  <c r="A91" i="43"/>
  <c r="A76" i="43"/>
  <c r="A77" i="43"/>
  <c r="A78" i="43"/>
  <c r="A79" i="43"/>
  <c r="A80" i="43"/>
  <c r="A81" i="43"/>
  <c r="A82" i="43"/>
  <c r="A83" i="43"/>
  <c r="A75" i="43"/>
  <c r="I66" i="58" l="1"/>
  <c r="G121" i="61"/>
  <c r="AM24" i="59"/>
  <c r="AM38" i="59" s="1"/>
  <c r="I24" i="60"/>
  <c r="I59" i="60" s="1"/>
  <c r="I68" i="58"/>
  <c r="L22" i="61"/>
  <c r="K20" i="61"/>
  <c r="L97" i="61"/>
  <c r="L27" i="61" s="1"/>
  <c r="L91" i="61"/>
  <c r="L21" i="61" s="1"/>
  <c r="C113" i="58"/>
  <c r="E66" i="58" s="1"/>
  <c r="I27" i="60"/>
  <c r="I62" i="60" s="1"/>
  <c r="I28" i="60"/>
  <c r="I63" i="60" s="1"/>
  <c r="L90" i="61"/>
  <c r="M92" i="61"/>
  <c r="E134" i="43"/>
  <c r="E135" i="43" s="1"/>
  <c r="E700" i="60"/>
  <c r="E702" i="60" s="1"/>
  <c r="H703" i="60"/>
  <c r="H704" i="60" s="1"/>
  <c r="G703" i="60"/>
  <c r="G704" i="60" s="1"/>
  <c r="F703" i="60"/>
  <c r="F704" i="60" s="1"/>
  <c r="D703" i="60"/>
  <c r="D704" i="60" s="1"/>
  <c r="E699" i="60"/>
  <c r="E701" i="60" s="1"/>
  <c r="J66" i="58" l="1"/>
  <c r="H121" i="61"/>
  <c r="AN24" i="59"/>
  <c r="AN38" i="59" s="1"/>
  <c r="J24" i="60"/>
  <c r="J59" i="60" s="1"/>
  <c r="G66" i="58"/>
  <c r="J68" i="58"/>
  <c r="M22" i="61"/>
  <c r="L20" i="61"/>
  <c r="M91" i="61"/>
  <c r="M21" i="61" s="1"/>
  <c r="M97" i="61"/>
  <c r="M27" i="61" s="1"/>
  <c r="E67" i="58"/>
  <c r="J28" i="60"/>
  <c r="J63" i="60" s="1"/>
  <c r="K24" i="60"/>
  <c r="K59" i="60" s="1"/>
  <c r="J27" i="60"/>
  <c r="J62" i="60" s="1"/>
  <c r="N92" i="61"/>
  <c r="M90" i="61"/>
  <c r="E703" i="60"/>
  <c r="E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95" i="43"/>
  <c r="B696" i="43"/>
  <c r="B697" i="43"/>
  <c r="D697" i="43"/>
  <c r="C696" i="43"/>
  <c r="D696" i="43"/>
  <c r="E696" i="43"/>
  <c r="F696" i="43"/>
  <c r="G696" i="43"/>
  <c r="C697" i="43"/>
  <c r="E697" i="43"/>
  <c r="F697" i="43"/>
  <c r="G697" i="43"/>
  <c r="D695" i="43"/>
  <c r="E695" i="43"/>
  <c r="F695" i="43"/>
  <c r="G695" i="43"/>
  <c r="C695" i="43"/>
  <c r="C714" i="43"/>
  <c r="D714" i="43"/>
  <c r="E714" i="43"/>
  <c r="F714" i="43"/>
  <c r="G714" i="43"/>
  <c r="C715" i="43"/>
  <c r="D715" i="43"/>
  <c r="E715" i="43"/>
  <c r="F715" i="43"/>
  <c r="G715" i="43"/>
  <c r="C716" i="43"/>
  <c r="D716" i="43"/>
  <c r="E716" i="43"/>
  <c r="F716" i="43"/>
  <c r="G716" i="43"/>
  <c r="B715" i="43"/>
  <c r="B724" i="43" s="1"/>
  <c r="B716" i="43"/>
  <c r="B725" i="43" s="1"/>
  <c r="B714" i="43"/>
  <c r="B723" i="43" s="1"/>
  <c r="A679" i="43"/>
  <c r="A678" i="43"/>
  <c r="A666" i="43"/>
  <c r="A667" i="43"/>
  <c r="A665" i="43"/>
  <c r="K66" i="58" l="1"/>
  <c r="I121" i="61"/>
  <c r="AO24" i="59"/>
  <c r="AO38" i="59" s="1"/>
  <c r="K68" i="58"/>
  <c r="F67" i="58"/>
  <c r="E122" i="61" s="1"/>
  <c r="M20" i="61"/>
  <c r="N22" i="61"/>
  <c r="N91" i="61"/>
  <c r="N21" i="61" s="1"/>
  <c r="N97" i="61"/>
  <c r="N27" i="61" s="1"/>
  <c r="F698" i="43"/>
  <c r="K27" i="60"/>
  <c r="K62" i="60" s="1"/>
  <c r="L24" i="60"/>
  <c r="L59" i="60" s="1"/>
  <c r="K28" i="60"/>
  <c r="K63" i="60" s="1"/>
  <c r="N90" i="61"/>
  <c r="O92" i="61"/>
  <c r="F725" i="43"/>
  <c r="C698" i="43"/>
  <c r="G725" i="43"/>
  <c r="C725" i="43"/>
  <c r="E698" i="43"/>
  <c r="D725" i="43"/>
  <c r="F723" i="43"/>
  <c r="D698" i="43"/>
  <c r="G723" i="43"/>
  <c r="E723" i="43"/>
  <c r="G698" i="43"/>
  <c r="C724" i="43"/>
  <c r="E725" i="43"/>
  <c r="G724" i="43"/>
  <c r="D723" i="43"/>
  <c r="F724" i="43"/>
  <c r="C723" i="43"/>
  <c r="E724" i="43"/>
  <c r="D724" i="43"/>
  <c r="AP24" i="59" l="1"/>
  <c r="AP38" i="59" s="1"/>
  <c r="J121" i="61"/>
  <c r="L66" i="58"/>
  <c r="G67" i="58"/>
  <c r="AK25" i="59"/>
  <c r="L68" i="58"/>
  <c r="O22" i="61"/>
  <c r="N20" i="61"/>
  <c r="O91" i="61"/>
  <c r="O21" i="61" s="1"/>
  <c r="O97" i="61"/>
  <c r="O27" i="61" s="1"/>
  <c r="L28" i="60"/>
  <c r="L63" i="60" s="1"/>
  <c r="M24" i="60"/>
  <c r="M59" i="60" s="1"/>
  <c r="L27" i="60"/>
  <c r="L62" i="60" s="1"/>
  <c r="P92" i="61"/>
  <c r="O90" i="61"/>
  <c r="F726" i="43"/>
  <c r="E726" i="43"/>
  <c r="D726" i="43"/>
  <c r="G726" i="43"/>
  <c r="C726"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64" i="43"/>
  <c r="B677" i="43" s="1"/>
  <c r="H594" i="43"/>
  <c r="E625" i="43" s="1"/>
  <c r="C594" i="43"/>
  <c r="D594" i="43"/>
  <c r="E594" i="43"/>
  <c r="F594" i="43"/>
  <c r="G594" i="43"/>
  <c r="I594" i="43"/>
  <c r="J594" i="43"/>
  <c r="K594" i="43"/>
  <c r="L594" i="43"/>
  <c r="C595" i="43"/>
  <c r="D595" i="43"/>
  <c r="E595" i="43"/>
  <c r="F595" i="43"/>
  <c r="G595" i="43"/>
  <c r="H595" i="43"/>
  <c r="I595" i="43"/>
  <c r="J595" i="43"/>
  <c r="K595" i="43"/>
  <c r="L595" i="43"/>
  <c r="C596" i="43"/>
  <c r="D596" i="43"/>
  <c r="E596" i="43"/>
  <c r="F596" i="43"/>
  <c r="G596" i="43"/>
  <c r="H596" i="43"/>
  <c r="I596" i="43"/>
  <c r="J596" i="43"/>
  <c r="K596" i="43"/>
  <c r="L596" i="43"/>
  <c r="C597" i="43"/>
  <c r="D597" i="43"/>
  <c r="E597" i="43"/>
  <c r="F597" i="43"/>
  <c r="G597" i="43"/>
  <c r="H597" i="43"/>
  <c r="I597" i="43"/>
  <c r="J597" i="43"/>
  <c r="K597" i="43"/>
  <c r="L597" i="43"/>
  <c r="C598" i="43"/>
  <c r="D598" i="43"/>
  <c r="E598" i="43"/>
  <c r="F598" i="43"/>
  <c r="G598" i="43"/>
  <c r="H598" i="43"/>
  <c r="I598" i="43"/>
  <c r="J598" i="43"/>
  <c r="K598" i="43"/>
  <c r="L598" i="43"/>
  <c r="C599" i="43"/>
  <c r="D599" i="43"/>
  <c r="E599" i="43"/>
  <c r="F599" i="43"/>
  <c r="G599" i="43"/>
  <c r="H599" i="43"/>
  <c r="I599" i="43"/>
  <c r="J599" i="43"/>
  <c r="K599" i="43"/>
  <c r="L599" i="43"/>
  <c r="C600" i="43"/>
  <c r="D600" i="43"/>
  <c r="E600" i="43"/>
  <c r="F600" i="43"/>
  <c r="G600" i="43"/>
  <c r="H600" i="43"/>
  <c r="I600" i="43"/>
  <c r="J600" i="43"/>
  <c r="K600" i="43"/>
  <c r="L600" i="43"/>
  <c r="C601" i="43"/>
  <c r="D601" i="43"/>
  <c r="E601" i="43"/>
  <c r="F601" i="43"/>
  <c r="G601" i="43"/>
  <c r="H601" i="43"/>
  <c r="I601" i="43"/>
  <c r="J601" i="43"/>
  <c r="K601" i="43"/>
  <c r="L601" i="43"/>
  <c r="C602" i="43"/>
  <c r="D602" i="43"/>
  <c r="E602" i="43"/>
  <c r="F602" i="43"/>
  <c r="G602" i="43"/>
  <c r="H602" i="43"/>
  <c r="I602" i="43"/>
  <c r="J602" i="43"/>
  <c r="K602" i="43"/>
  <c r="L602" i="43"/>
  <c r="C603" i="43"/>
  <c r="D603" i="43"/>
  <c r="E603" i="43"/>
  <c r="F603" i="43"/>
  <c r="G603" i="43"/>
  <c r="H603" i="43"/>
  <c r="I603" i="43"/>
  <c r="J603" i="43"/>
  <c r="K603" i="43"/>
  <c r="L603" i="43"/>
  <c r="C604" i="43"/>
  <c r="D604" i="43"/>
  <c r="E604" i="43"/>
  <c r="F604" i="43"/>
  <c r="G604" i="43"/>
  <c r="H604" i="43"/>
  <c r="I604" i="43"/>
  <c r="J604" i="43"/>
  <c r="K604" i="43"/>
  <c r="L604" i="43"/>
  <c r="B595" i="43"/>
  <c r="B596" i="43"/>
  <c r="B597" i="43"/>
  <c r="B598" i="43"/>
  <c r="B599" i="43"/>
  <c r="B600" i="43"/>
  <c r="B601" i="43"/>
  <c r="B602" i="43"/>
  <c r="B603" i="43"/>
  <c r="B604" i="43"/>
  <c r="B594" i="43"/>
  <c r="E624" i="43"/>
  <c r="D624" i="43"/>
  <c r="F624" i="43"/>
  <c r="G624" i="43"/>
  <c r="H624" i="43"/>
  <c r="I624" i="43"/>
  <c r="J624" i="43"/>
  <c r="K624" i="43"/>
  <c r="L624" i="43"/>
  <c r="M624" i="43"/>
  <c r="N624" i="43"/>
  <c r="O624" i="43"/>
  <c r="P624" i="43"/>
  <c r="Q624" i="43"/>
  <c r="R624" i="43"/>
  <c r="S624" i="43"/>
  <c r="T624" i="43"/>
  <c r="U624" i="43"/>
  <c r="V624" i="43"/>
  <c r="W624" i="43"/>
  <c r="X624" i="43"/>
  <c r="Y624" i="43"/>
  <c r="Z624" i="43"/>
  <c r="AA624" i="43"/>
  <c r="AB624" i="43"/>
  <c r="AC624" i="43"/>
  <c r="E523" i="43"/>
  <c r="E522"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625" i="43"/>
  <c r="W625" i="43"/>
  <c r="O625" i="43"/>
  <c r="T625" i="43"/>
  <c r="AC625" i="43"/>
  <c r="V625" i="43"/>
  <c r="J625" i="43"/>
  <c r="M625" i="43"/>
  <c r="G625" i="43"/>
  <c r="AB625" i="43"/>
  <c r="F625" i="43"/>
  <c r="Z625" i="43"/>
  <c r="Q625" i="43"/>
  <c r="H625" i="43"/>
  <c r="X625" i="43"/>
  <c r="I625" i="43"/>
  <c r="R625" i="43"/>
  <c r="K625" i="43"/>
  <c r="S625" i="43"/>
  <c r="AA625" i="43"/>
  <c r="P625" i="43"/>
  <c r="L625" i="43"/>
  <c r="D625" i="43"/>
  <c r="U625" i="43"/>
  <c r="N625"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B115" i="43"/>
  <c r="E200" i="59"/>
  <c r="E201" i="59"/>
  <c r="C32" i="59"/>
  <c r="C159" i="59" s="1"/>
  <c r="C160"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57" i="59" s="1"/>
  <c r="C158"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406" i="43"/>
  <c r="C407" i="43"/>
  <c r="C405" i="43"/>
  <c r="D522" i="43"/>
  <c r="F522" i="43"/>
  <c r="G522" i="43"/>
  <c r="H522" i="43"/>
  <c r="I522" i="43"/>
  <c r="J522" i="43"/>
  <c r="K522" i="43"/>
  <c r="L522" i="43"/>
  <c r="M522" i="43"/>
  <c r="N522" i="43"/>
  <c r="O522" i="43"/>
  <c r="P522" i="43"/>
  <c r="Q522" i="43"/>
  <c r="R522" i="43"/>
  <c r="S522" i="43"/>
  <c r="T522" i="43"/>
  <c r="U522" i="43"/>
  <c r="V522" i="43"/>
  <c r="W522" i="43"/>
  <c r="X522" i="43"/>
  <c r="Y522" i="43"/>
  <c r="Z522" i="43"/>
  <c r="AA522" i="43"/>
  <c r="AB522" i="43"/>
  <c r="AC522"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BM47" i="59" l="1"/>
  <c r="C151" i="59"/>
  <c r="C152" i="59" s="1"/>
  <c r="CI30" i="59"/>
  <c r="X18" i="43"/>
  <c r="X645" i="43" s="1"/>
  <c r="CF30" i="59"/>
  <c r="U18" i="43"/>
  <c r="U645" i="43" s="1"/>
  <c r="BP30" i="59"/>
  <c r="E18" i="43"/>
  <c r="E645" i="43" s="1"/>
  <c r="BV30" i="59"/>
  <c r="K18" i="43"/>
  <c r="K645" i="43" s="1"/>
  <c r="C84" i="59"/>
  <c r="BM50" i="59"/>
  <c r="K74" i="58"/>
  <c r="K32" i="58" s="1"/>
  <c r="BS8" i="59"/>
  <c r="BS22" i="59" s="1"/>
  <c r="AV24" i="59"/>
  <c r="AV38" i="59" s="1"/>
  <c r="P121" i="61"/>
  <c r="R66" i="58"/>
  <c r="E203" i="59"/>
  <c r="G28" i="59"/>
  <c r="BN47" i="59" s="1"/>
  <c r="D523"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527" i="43"/>
  <c r="H527" i="43"/>
  <c r="P527" i="43"/>
  <c r="X527" i="43"/>
  <c r="J527" i="43"/>
  <c r="R527" i="43"/>
  <c r="L527" i="43"/>
  <c r="T527" i="43"/>
  <c r="AB527" i="43"/>
  <c r="T523" i="43"/>
  <c r="L523" i="43"/>
  <c r="AC523" i="43"/>
  <c r="Z523" i="43"/>
  <c r="R523" i="43"/>
  <c r="J523" i="43"/>
  <c r="S523" i="43"/>
  <c r="Z527" i="43"/>
  <c r="Y523" i="43"/>
  <c r="Q523" i="43"/>
  <c r="I523" i="43"/>
  <c r="AA523" i="43"/>
  <c r="K523" i="43"/>
  <c r="X523" i="43"/>
  <c r="P523" i="43"/>
  <c r="H523" i="43"/>
  <c r="M523" i="43"/>
  <c r="O523" i="43"/>
  <c r="U523" i="43"/>
  <c r="AB523" i="43"/>
  <c r="W523" i="43"/>
  <c r="V523" i="43"/>
  <c r="F523" i="43"/>
  <c r="E202" i="59"/>
  <c r="Y527" i="43"/>
  <c r="W527" i="43"/>
  <c r="O527" i="43"/>
  <c r="G527" i="43"/>
  <c r="D527" i="43"/>
  <c r="V527" i="43"/>
  <c r="N527" i="43"/>
  <c r="M527" i="43"/>
  <c r="AC527" i="43"/>
  <c r="U527" i="43"/>
  <c r="E527" i="43"/>
  <c r="AA527" i="43"/>
  <c r="S527" i="43"/>
  <c r="K527" i="43"/>
  <c r="Q527" i="43"/>
  <c r="I527" i="43"/>
  <c r="N523" i="43"/>
  <c r="G523" i="43"/>
  <c r="F49" i="59"/>
  <c r="E50" i="59"/>
  <c r="E49" i="59"/>
  <c r="E185" i="59"/>
  <c r="BP22" i="59" l="1"/>
  <c r="BN8" i="59"/>
  <c r="BN22" i="59" s="1"/>
  <c r="BN51" i="59"/>
  <c r="Q121" i="61"/>
  <c r="S66" i="58"/>
  <c r="AW24" i="59"/>
  <c r="AW38" i="59" s="1"/>
  <c r="L74" i="58"/>
  <c r="L32" i="58" s="1"/>
  <c r="BT8" i="59"/>
  <c r="BT22" i="59" s="1"/>
  <c r="B92" i="43"/>
  <c r="AR25" i="59"/>
  <c r="N67" i="58"/>
  <c r="L122" i="61"/>
  <c r="S68" i="58"/>
  <c r="V22" i="61"/>
  <c r="U20" i="61"/>
  <c r="V97" i="61"/>
  <c r="V27" i="61" s="1"/>
  <c r="V91" i="61"/>
  <c r="V21" i="61" s="1"/>
  <c r="S28" i="60"/>
  <c r="S63" i="60" s="1"/>
  <c r="T24" i="60"/>
  <c r="T59" i="60" s="1"/>
  <c r="S27" i="60"/>
  <c r="S62" i="60" s="1"/>
  <c r="V90" i="61"/>
  <c r="W92" i="61"/>
  <c r="B91" i="43"/>
  <c r="C625" i="43"/>
  <c r="C527" i="43"/>
  <c r="C523"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30" i="60"/>
  <c r="AD640" i="60" s="1"/>
  <c r="AC630" i="60"/>
  <c r="AD197" i="59" s="1"/>
  <c r="AF20" i="59" s="1"/>
  <c r="AB630" i="60"/>
  <c r="AB642" i="60" s="1"/>
  <c r="AA630" i="60"/>
  <c r="AA642" i="60" s="1"/>
  <c r="Z630" i="60"/>
  <c r="Z639" i="60" s="1"/>
  <c r="Y630" i="60"/>
  <c r="Z197" i="59" s="1"/>
  <c r="AB20" i="59" s="1"/>
  <c r="X630" i="60"/>
  <c r="Y197" i="59" s="1"/>
  <c r="AA20" i="59" s="1"/>
  <c r="W630" i="60"/>
  <c r="X197" i="59" s="1"/>
  <c r="Z20" i="59" s="1"/>
  <c r="V630" i="60"/>
  <c r="V640" i="60" s="1"/>
  <c r="U630" i="60"/>
  <c r="U641" i="60" s="1"/>
  <c r="T630" i="60"/>
  <c r="U197" i="59" s="1"/>
  <c r="W20" i="59" s="1"/>
  <c r="S630" i="60"/>
  <c r="S638" i="60" s="1"/>
  <c r="R630" i="60"/>
  <c r="R639" i="60" s="1"/>
  <c r="Q630" i="60"/>
  <c r="R197" i="59" s="1"/>
  <c r="T20" i="59" s="1"/>
  <c r="P630" i="60"/>
  <c r="Q197" i="59" s="1"/>
  <c r="S20" i="59" s="1"/>
  <c r="O630" i="60"/>
  <c r="P197" i="59" s="1"/>
  <c r="R20" i="59" s="1"/>
  <c r="N630" i="60"/>
  <c r="O197" i="59" s="1"/>
  <c r="Q20" i="59" s="1"/>
  <c r="M630" i="60"/>
  <c r="N197" i="59" s="1"/>
  <c r="P20" i="59" s="1"/>
  <c r="L630" i="60"/>
  <c r="M197" i="59" s="1"/>
  <c r="O20" i="59" s="1"/>
  <c r="K630" i="60"/>
  <c r="K642" i="60" s="1"/>
  <c r="J630" i="60"/>
  <c r="J643" i="60" s="1"/>
  <c r="I630" i="60"/>
  <c r="J197" i="59" s="1"/>
  <c r="L20" i="59" s="1"/>
  <c r="H630" i="60"/>
  <c r="H638" i="60" s="1"/>
  <c r="G630" i="60"/>
  <c r="H197" i="59" s="1"/>
  <c r="J20" i="59" s="1"/>
  <c r="F630" i="60"/>
  <c r="G197" i="59" s="1"/>
  <c r="I20" i="59" s="1"/>
  <c r="E630" i="60"/>
  <c r="F197" i="59" s="1"/>
  <c r="H20" i="59" s="1"/>
  <c r="D629" i="60"/>
  <c r="D628" i="60"/>
  <c r="D627" i="60"/>
  <c r="D626" i="60"/>
  <c r="D625" i="60"/>
  <c r="D624" i="60"/>
  <c r="D623" i="60"/>
  <c r="AD582" i="60"/>
  <c r="AE196" i="59" s="1"/>
  <c r="AG19" i="59" s="1"/>
  <c r="AC582" i="60"/>
  <c r="AD196" i="59" s="1"/>
  <c r="AF19" i="59" s="1"/>
  <c r="AB582" i="60"/>
  <c r="AC196" i="59" s="1"/>
  <c r="AE19" i="59" s="1"/>
  <c r="AA582" i="60"/>
  <c r="Z582" i="60"/>
  <c r="Z594" i="60" s="1"/>
  <c r="Y582" i="60"/>
  <c r="Z196" i="59" s="1"/>
  <c r="AB19" i="59" s="1"/>
  <c r="X582" i="60"/>
  <c r="Y196" i="59" s="1"/>
  <c r="AA19" i="59" s="1"/>
  <c r="W582" i="60"/>
  <c r="X196" i="59" s="1"/>
  <c r="Z19" i="59" s="1"/>
  <c r="V582" i="60"/>
  <c r="W196" i="59" s="1"/>
  <c r="Y19" i="59" s="1"/>
  <c r="U582" i="60"/>
  <c r="V196" i="59" s="1"/>
  <c r="X19" i="59" s="1"/>
  <c r="T582" i="60"/>
  <c r="U196" i="59" s="1"/>
  <c r="W19" i="59" s="1"/>
  <c r="S582" i="60"/>
  <c r="S594" i="60" s="1"/>
  <c r="R582" i="60"/>
  <c r="Q582" i="60"/>
  <c r="R196" i="59" s="1"/>
  <c r="T19" i="59" s="1"/>
  <c r="P582" i="60"/>
  <c r="Q196" i="59" s="1"/>
  <c r="S19" i="59" s="1"/>
  <c r="O582" i="60"/>
  <c r="P196" i="59" s="1"/>
  <c r="R19" i="59" s="1"/>
  <c r="N582" i="60"/>
  <c r="O196" i="59" s="1"/>
  <c r="Q19" i="59" s="1"/>
  <c r="M582" i="60"/>
  <c r="N196" i="59" s="1"/>
  <c r="P19" i="59" s="1"/>
  <c r="L582" i="60"/>
  <c r="M196" i="59" s="1"/>
  <c r="O19" i="59" s="1"/>
  <c r="K582" i="60"/>
  <c r="K594" i="60" s="1"/>
  <c r="J582" i="60"/>
  <c r="I582" i="60"/>
  <c r="J196" i="59" s="1"/>
  <c r="L19" i="59" s="1"/>
  <c r="H582" i="60"/>
  <c r="I196" i="59" s="1"/>
  <c r="K19" i="59" s="1"/>
  <c r="G582" i="60"/>
  <c r="H196" i="59" s="1"/>
  <c r="J19" i="59" s="1"/>
  <c r="F582" i="60"/>
  <c r="G196" i="59" s="1"/>
  <c r="I19" i="59" s="1"/>
  <c r="E582" i="60"/>
  <c r="F196" i="59" s="1"/>
  <c r="H19" i="59" s="1"/>
  <c r="D581" i="60"/>
  <c r="D580" i="60"/>
  <c r="D579" i="60"/>
  <c r="D578" i="60"/>
  <c r="D577" i="60"/>
  <c r="D576" i="60"/>
  <c r="D575" i="60"/>
  <c r="AD534" i="60"/>
  <c r="AC534" i="60"/>
  <c r="AC545" i="60" s="1"/>
  <c r="AB534" i="60"/>
  <c r="AA534" i="60"/>
  <c r="Z534" i="60"/>
  <c r="Y534" i="60"/>
  <c r="Y541" i="60" s="1"/>
  <c r="X534" i="60"/>
  <c r="X542" i="60" s="1"/>
  <c r="W534" i="60"/>
  <c r="W543" i="60" s="1"/>
  <c r="V534" i="60"/>
  <c r="U534" i="60"/>
  <c r="U545" i="60" s="1"/>
  <c r="T534" i="60"/>
  <c r="S534" i="60"/>
  <c r="R534" i="60"/>
  <c r="Q534" i="60"/>
  <c r="P534" i="60"/>
  <c r="P542" i="60" s="1"/>
  <c r="O534" i="60"/>
  <c r="O543" i="60" s="1"/>
  <c r="N534" i="60"/>
  <c r="N544" i="60" s="1"/>
  <c r="M534" i="60"/>
  <c r="L534" i="60"/>
  <c r="K534" i="60"/>
  <c r="J534" i="60"/>
  <c r="I534" i="60"/>
  <c r="I541" i="60" s="1"/>
  <c r="H534" i="60"/>
  <c r="H542" i="60" s="1"/>
  <c r="G534" i="60"/>
  <c r="G543" i="60" s="1"/>
  <c r="F534" i="60"/>
  <c r="E534" i="60"/>
  <c r="E541" i="60" s="1"/>
  <c r="D533" i="60"/>
  <c r="D532" i="60"/>
  <c r="D531" i="60"/>
  <c r="D530" i="60"/>
  <c r="D529" i="60"/>
  <c r="D528" i="60"/>
  <c r="D527" i="60"/>
  <c r="Q486" i="60"/>
  <c r="I486" i="60"/>
  <c r="I497" i="60" s="1"/>
  <c r="Y486" i="60"/>
  <c r="AD486" i="60"/>
  <c r="AC486" i="60"/>
  <c r="AD194" i="59" s="1"/>
  <c r="AF16" i="59" s="1"/>
  <c r="AB486" i="60"/>
  <c r="AA486" i="60"/>
  <c r="Z486" i="60"/>
  <c r="Z496" i="60" s="1"/>
  <c r="X486" i="60"/>
  <c r="X498" i="60" s="1"/>
  <c r="V486" i="60"/>
  <c r="U486" i="60"/>
  <c r="T486" i="60"/>
  <c r="S486" i="60"/>
  <c r="S495" i="60" s="1"/>
  <c r="R486" i="60"/>
  <c r="R496" i="60" s="1"/>
  <c r="P486" i="60"/>
  <c r="O486" i="60"/>
  <c r="N486" i="60"/>
  <c r="M486" i="60"/>
  <c r="L486" i="60"/>
  <c r="L494" i="60" s="1"/>
  <c r="K486" i="60"/>
  <c r="J486" i="60"/>
  <c r="J496" i="60" s="1"/>
  <c r="H486" i="60"/>
  <c r="I194" i="59" s="1"/>
  <c r="K16" i="59" s="1"/>
  <c r="F486" i="60"/>
  <c r="E486" i="60"/>
  <c r="D485" i="60"/>
  <c r="D484" i="60"/>
  <c r="D483" i="60"/>
  <c r="D482" i="60"/>
  <c r="D481" i="60"/>
  <c r="D480" i="60"/>
  <c r="D479" i="60"/>
  <c r="AD438" i="60"/>
  <c r="AD450" i="60" s="1"/>
  <c r="AC438" i="60"/>
  <c r="AB438" i="60"/>
  <c r="AB447" i="60" s="1"/>
  <c r="AA438" i="60"/>
  <c r="AA449" i="60" s="1"/>
  <c r="Z438" i="60"/>
  <c r="Z448" i="60" s="1"/>
  <c r="Y438" i="60"/>
  <c r="Y448" i="60" s="1"/>
  <c r="X438" i="60"/>
  <c r="X451" i="60" s="1"/>
  <c r="V438" i="60"/>
  <c r="V446" i="60" s="1"/>
  <c r="U438" i="60"/>
  <c r="U451" i="60" s="1"/>
  <c r="T438" i="60"/>
  <c r="T451" i="60" s="1"/>
  <c r="S438" i="60"/>
  <c r="S445" i="60" s="1"/>
  <c r="R438" i="60"/>
  <c r="R448" i="60" s="1"/>
  <c r="Q438" i="60"/>
  <c r="Q448" i="60" s="1"/>
  <c r="P438" i="60"/>
  <c r="P445" i="60" s="1"/>
  <c r="N438" i="60"/>
  <c r="N446" i="60" s="1"/>
  <c r="M438" i="60"/>
  <c r="M448" i="60" s="1"/>
  <c r="L438" i="60"/>
  <c r="K438" i="60"/>
  <c r="K445" i="60" s="1"/>
  <c r="J438" i="60"/>
  <c r="J451" i="60" s="1"/>
  <c r="I438" i="60"/>
  <c r="I450" i="60" s="1"/>
  <c r="H438" i="60"/>
  <c r="H450" i="60" s="1"/>
  <c r="F438" i="60"/>
  <c r="F446" i="60" s="1"/>
  <c r="E438" i="60"/>
  <c r="E451" i="60" s="1"/>
  <c r="D437" i="60"/>
  <c r="D436" i="60"/>
  <c r="D435" i="60"/>
  <c r="D434" i="60"/>
  <c r="D433" i="60"/>
  <c r="D432" i="60"/>
  <c r="D431" i="60"/>
  <c r="B13" i="60"/>
  <c r="B48" i="60" s="1"/>
  <c r="W390" i="60"/>
  <c r="X192" i="59" s="1"/>
  <c r="Z14" i="59" s="1"/>
  <c r="M390" i="60"/>
  <c r="N192" i="59" s="1"/>
  <c r="P14" i="59" s="1"/>
  <c r="E390" i="60"/>
  <c r="F192" i="59" s="1"/>
  <c r="H14" i="59" s="1"/>
  <c r="AD390" i="60"/>
  <c r="AE192" i="59" s="1"/>
  <c r="AG14" i="59" s="1"/>
  <c r="AC390" i="60"/>
  <c r="AD192" i="59" s="1"/>
  <c r="AF14" i="59" s="1"/>
  <c r="AB390" i="60"/>
  <c r="AA390" i="60"/>
  <c r="AB192" i="59" s="1"/>
  <c r="AD14" i="59" s="1"/>
  <c r="Z390" i="60"/>
  <c r="AA192" i="59" s="1"/>
  <c r="AC14" i="59" s="1"/>
  <c r="Y390" i="60"/>
  <c r="Z192" i="59" s="1"/>
  <c r="AB14" i="59" s="1"/>
  <c r="X390" i="60"/>
  <c r="Y192" i="59" s="1"/>
  <c r="AA14" i="59" s="1"/>
  <c r="V390" i="60"/>
  <c r="W192" i="59" s="1"/>
  <c r="Y14" i="59" s="1"/>
  <c r="U390" i="60"/>
  <c r="V192" i="59" s="1"/>
  <c r="X14" i="59" s="1"/>
  <c r="T390" i="60"/>
  <c r="U192" i="59" s="1"/>
  <c r="W14" i="59" s="1"/>
  <c r="S390" i="60"/>
  <c r="R390" i="60"/>
  <c r="S192" i="59" s="1"/>
  <c r="U14" i="59" s="1"/>
  <c r="Q390" i="60"/>
  <c r="R192" i="59" s="1"/>
  <c r="T14" i="59" s="1"/>
  <c r="P390" i="60"/>
  <c r="Q192" i="59" s="1"/>
  <c r="S14" i="59" s="1"/>
  <c r="N390" i="60"/>
  <c r="O192" i="59" s="1"/>
  <c r="Q14" i="59" s="1"/>
  <c r="L390" i="60"/>
  <c r="M192" i="59" s="1"/>
  <c r="O14" i="59" s="1"/>
  <c r="K390" i="60"/>
  <c r="L192" i="59" s="1"/>
  <c r="N14" i="59" s="1"/>
  <c r="J390" i="60"/>
  <c r="K192" i="59" s="1"/>
  <c r="M14" i="59" s="1"/>
  <c r="I390" i="60"/>
  <c r="H390" i="60"/>
  <c r="I192" i="59" s="1"/>
  <c r="K14" i="59" s="1"/>
  <c r="F390" i="60"/>
  <c r="G192" i="59" s="1"/>
  <c r="I14" i="59" s="1"/>
  <c r="D388" i="60"/>
  <c r="D387" i="60"/>
  <c r="D386" i="60"/>
  <c r="D385" i="60"/>
  <c r="D384" i="60"/>
  <c r="D383" i="60"/>
  <c r="I210" i="60"/>
  <c r="B58" i="58"/>
  <c r="B16" i="58" s="1"/>
  <c r="D111" i="59"/>
  <c r="D112" i="59" s="1"/>
  <c r="C13" i="59"/>
  <c r="D339" i="60"/>
  <c r="E342" i="60"/>
  <c r="E294" i="60"/>
  <c r="F190" i="59" s="1"/>
  <c r="H12" i="59" s="1"/>
  <c r="F342" i="60"/>
  <c r="G342" i="60"/>
  <c r="G350" i="60" s="1"/>
  <c r="H342" i="60"/>
  <c r="H349" i="60" s="1"/>
  <c r="I342" i="60"/>
  <c r="I355" i="60" s="1"/>
  <c r="J342" i="60"/>
  <c r="K342" i="60"/>
  <c r="K354" i="60" s="1"/>
  <c r="L342" i="60"/>
  <c r="L353" i="60" s="1"/>
  <c r="M342" i="60"/>
  <c r="N342" i="60"/>
  <c r="N355" i="60" s="1"/>
  <c r="O342" i="60"/>
  <c r="O349" i="60" s="1"/>
  <c r="P342" i="60"/>
  <c r="Q342" i="60"/>
  <c r="R342" i="60"/>
  <c r="S342" i="60"/>
  <c r="T342" i="60"/>
  <c r="T349" i="60" s="1"/>
  <c r="U342" i="60"/>
  <c r="V342" i="60"/>
  <c r="W342" i="60"/>
  <c r="W349" i="60" s="1"/>
  <c r="X342" i="60"/>
  <c r="Y342" i="60"/>
  <c r="Y352" i="60" s="1"/>
  <c r="Z342" i="60"/>
  <c r="AA342" i="60"/>
  <c r="AA353" i="60" s="1"/>
  <c r="AB342" i="60"/>
  <c r="AB353" i="60" s="1"/>
  <c r="AC342" i="60"/>
  <c r="AD342" i="60"/>
  <c r="D336" i="60"/>
  <c r="D337" i="60"/>
  <c r="D338" i="60"/>
  <c r="D340" i="60"/>
  <c r="D341" i="60"/>
  <c r="D335" i="60"/>
  <c r="W294" i="60"/>
  <c r="O294" i="60"/>
  <c r="O305" i="60" s="1"/>
  <c r="G294" i="60"/>
  <c r="G305" i="60" s="1"/>
  <c r="AD294" i="60"/>
  <c r="AD306" i="60" s="1"/>
  <c r="AC294" i="60"/>
  <c r="AD190" i="59" s="1"/>
  <c r="AF12" i="59" s="1"/>
  <c r="AB294" i="60"/>
  <c r="AA294" i="60"/>
  <c r="AA303" i="60" s="1"/>
  <c r="Z294" i="60"/>
  <c r="Y294" i="60"/>
  <c r="X294" i="60"/>
  <c r="V294" i="60"/>
  <c r="V306" i="60" s="1"/>
  <c r="U294" i="60"/>
  <c r="V190" i="59" s="1"/>
  <c r="X12" i="59" s="1"/>
  <c r="T294" i="60"/>
  <c r="T307" i="60" s="1"/>
  <c r="S294" i="60"/>
  <c r="R294" i="60"/>
  <c r="Q294" i="60"/>
  <c r="Q304" i="60" s="1"/>
  <c r="P294" i="60"/>
  <c r="N294" i="60"/>
  <c r="N306" i="60" s="1"/>
  <c r="M294" i="60"/>
  <c r="N190" i="59" s="1"/>
  <c r="P12" i="59" s="1"/>
  <c r="L294" i="60"/>
  <c r="L307" i="60" s="1"/>
  <c r="K294" i="60"/>
  <c r="K303" i="60" s="1"/>
  <c r="J294" i="60"/>
  <c r="I294" i="60"/>
  <c r="I304" i="60" s="1"/>
  <c r="H294" i="60"/>
  <c r="F294" i="60"/>
  <c r="F306" i="60" s="1"/>
  <c r="D293" i="60"/>
  <c r="D292" i="60"/>
  <c r="D291" i="60"/>
  <c r="D290" i="60"/>
  <c r="D289" i="60"/>
  <c r="D288" i="60"/>
  <c r="D287"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AD246" i="60"/>
  <c r="D240" i="60"/>
  <c r="D241" i="60"/>
  <c r="D242" i="60"/>
  <c r="D243" i="60"/>
  <c r="D244" i="60"/>
  <c r="D245" i="60"/>
  <c r="D239" i="60"/>
  <c r="E197" i="60"/>
  <c r="F197" i="60"/>
  <c r="G197" i="60"/>
  <c r="H197" i="60"/>
  <c r="I206" i="60"/>
  <c r="J197" i="60"/>
  <c r="K197" i="60"/>
  <c r="L197" i="60"/>
  <c r="M197" i="60"/>
  <c r="N197" i="60"/>
  <c r="O197" i="60"/>
  <c r="P197" i="60"/>
  <c r="Q197" i="60"/>
  <c r="R197" i="60"/>
  <c r="S197" i="60"/>
  <c r="T197" i="60"/>
  <c r="U197" i="60"/>
  <c r="V197" i="60"/>
  <c r="W197" i="60"/>
  <c r="X197" i="60"/>
  <c r="Y197" i="60"/>
  <c r="Z197" i="60"/>
  <c r="AA197" i="60"/>
  <c r="AB197" i="60"/>
  <c r="AC197" i="60"/>
  <c r="AD197" i="60"/>
  <c r="D191" i="60"/>
  <c r="D192" i="60"/>
  <c r="D193" i="60"/>
  <c r="D194" i="60"/>
  <c r="D195" i="60"/>
  <c r="D196" i="60"/>
  <c r="D190" i="60"/>
  <c r="AY24" i="59" l="1"/>
  <c r="AY38" i="59" s="1"/>
  <c r="U66" i="58"/>
  <c r="S121" i="61"/>
  <c r="N74" i="58"/>
  <c r="N32" i="58" s="1"/>
  <c r="BV8" i="59"/>
  <c r="BV22" i="59" s="1"/>
  <c r="C66" i="59"/>
  <c r="C135" i="59" s="1"/>
  <c r="C136" i="59" s="1"/>
  <c r="AI13" i="59"/>
  <c r="U68" i="58"/>
  <c r="AT25" i="59"/>
  <c r="P67" i="58"/>
  <c r="N122" i="61"/>
  <c r="X22" i="61"/>
  <c r="W20" i="61"/>
  <c r="X97" i="61"/>
  <c r="X27" i="61" s="1"/>
  <c r="X91" i="61"/>
  <c r="X21" i="61" s="1"/>
  <c r="U28" i="60"/>
  <c r="U63" i="60" s="1"/>
  <c r="U27" i="60"/>
  <c r="U62" i="60" s="1"/>
  <c r="V24" i="60"/>
  <c r="V59" i="60" s="1"/>
  <c r="B113" i="61"/>
  <c r="B82" i="61"/>
  <c r="X90" i="61"/>
  <c r="Y92" i="61"/>
  <c r="V594" i="60"/>
  <c r="T593" i="60"/>
  <c r="AD593" i="60"/>
  <c r="P403" i="60"/>
  <c r="L402" i="60"/>
  <c r="AD592" i="60"/>
  <c r="X399" i="60"/>
  <c r="E447" i="60"/>
  <c r="AC493" i="60"/>
  <c r="Z449" i="60"/>
  <c r="O354" i="60"/>
  <c r="X403" i="60"/>
  <c r="U449" i="60"/>
  <c r="X400" i="60"/>
  <c r="P399" i="60"/>
  <c r="W640" i="60"/>
  <c r="Y397" i="60"/>
  <c r="N451" i="60"/>
  <c r="Q595" i="60"/>
  <c r="H640" i="60"/>
  <c r="K399" i="60"/>
  <c r="P595" i="60"/>
  <c r="O350" i="60"/>
  <c r="V401" i="60"/>
  <c r="L398" i="60"/>
  <c r="AA448" i="60"/>
  <c r="L595" i="60"/>
  <c r="N593" i="60"/>
  <c r="AC643" i="60"/>
  <c r="AD400" i="60"/>
  <c r="E398" i="60"/>
  <c r="J448" i="60"/>
  <c r="H595" i="60"/>
  <c r="H593" i="60"/>
  <c r="Q643" i="60"/>
  <c r="K638" i="60"/>
  <c r="G349" i="60"/>
  <c r="AD637" i="60"/>
  <c r="AD644" i="60" s="1"/>
  <c r="K400" i="60"/>
  <c r="X450" i="60"/>
  <c r="N594" i="60"/>
  <c r="F592" i="60"/>
  <c r="V637" i="60"/>
  <c r="H591" i="60"/>
  <c r="AD401" i="60"/>
  <c r="K403" i="60"/>
  <c r="AC399" i="60"/>
  <c r="V450" i="60"/>
  <c r="X445" i="60"/>
  <c r="L594" i="60"/>
  <c r="Y591" i="60"/>
  <c r="AC641" i="60"/>
  <c r="M637" i="60"/>
  <c r="X593" i="60"/>
  <c r="U402" i="60"/>
  <c r="I445" i="60"/>
  <c r="I452" i="60" s="1"/>
  <c r="AB595" i="60"/>
  <c r="P591" i="60"/>
  <c r="E641" i="60"/>
  <c r="E637" i="60"/>
  <c r="AA350" i="60"/>
  <c r="AA403" i="60"/>
  <c r="H399" i="60"/>
  <c r="Q451" i="60"/>
  <c r="AC589" i="60"/>
  <c r="Q639" i="60"/>
  <c r="W350" i="60"/>
  <c r="Y403" i="60"/>
  <c r="E403" i="60"/>
  <c r="E402" i="60"/>
  <c r="Y400" i="60"/>
  <c r="AA399" i="60"/>
  <c r="E399" i="60"/>
  <c r="AD397" i="60"/>
  <c r="P451" i="60"/>
  <c r="S450" i="60"/>
  <c r="Y449" i="60"/>
  <c r="U447" i="60"/>
  <c r="I595" i="60"/>
  <c r="F594" i="60"/>
  <c r="P593" i="60"/>
  <c r="X592" i="60"/>
  <c r="AB591" i="60"/>
  <c r="AB589" i="60"/>
  <c r="Y643" i="60"/>
  <c r="AD641" i="60"/>
  <c r="X640" i="60"/>
  <c r="J639" i="60"/>
  <c r="AC637" i="60"/>
  <c r="AA400" i="60"/>
  <c r="Q450" i="60"/>
  <c r="W592" i="60"/>
  <c r="M302" i="60"/>
  <c r="G354" i="60"/>
  <c r="AB349" i="60"/>
  <c r="U403" i="60"/>
  <c r="AA402" i="60"/>
  <c r="Y401" i="60"/>
  <c r="Q400" i="60"/>
  <c r="U399" i="60"/>
  <c r="W398" i="60"/>
  <c r="W397" i="60"/>
  <c r="H451" i="60"/>
  <c r="P450" i="60"/>
  <c r="Q449" i="60"/>
  <c r="Y446" i="60"/>
  <c r="H445" i="60"/>
  <c r="Y595" i="60"/>
  <c r="AD594" i="60"/>
  <c r="AC593" i="60"/>
  <c r="M593" i="60"/>
  <c r="V592" i="60"/>
  <c r="X591" i="60"/>
  <c r="T589" i="60"/>
  <c r="I643" i="60"/>
  <c r="V641" i="60"/>
  <c r="P640" i="60"/>
  <c r="AB638" i="60"/>
  <c r="U637" i="60"/>
  <c r="H403" i="60"/>
  <c r="AC402" i="60"/>
  <c r="AC398" i="60"/>
  <c r="U589" i="60"/>
  <c r="I639" i="60"/>
  <c r="E302" i="60"/>
  <c r="R403" i="60"/>
  <c r="W402" i="60"/>
  <c r="W401" i="60"/>
  <c r="P400" i="60"/>
  <c r="R399" i="60"/>
  <c r="U398" i="60"/>
  <c r="V397" i="60"/>
  <c r="F451" i="60"/>
  <c r="P449" i="60"/>
  <c r="U446" i="60"/>
  <c r="X595" i="60"/>
  <c r="AB594" i="60"/>
  <c r="AB593" i="60"/>
  <c r="L593" i="60"/>
  <c r="P592" i="60"/>
  <c r="Q591" i="60"/>
  <c r="M589" i="60"/>
  <c r="O640" i="60"/>
  <c r="T638" i="60"/>
  <c r="N637" i="60"/>
  <c r="O301" i="60"/>
  <c r="K353" i="60"/>
  <c r="N400" i="60"/>
  <c r="R398" i="60"/>
  <c r="N397" i="60"/>
  <c r="AB451" i="60"/>
  <c r="Z450" i="60"/>
  <c r="T595" i="60"/>
  <c r="O592" i="60"/>
  <c r="L589" i="60"/>
  <c r="N641" i="60"/>
  <c r="G301" i="60"/>
  <c r="M403" i="60"/>
  <c r="R402" i="60"/>
  <c r="N401" i="60"/>
  <c r="M399" i="60"/>
  <c r="M398" i="60"/>
  <c r="Y451" i="60"/>
  <c r="Y450" i="60"/>
  <c r="F450" i="60"/>
  <c r="E446" i="60"/>
  <c r="T594" i="60"/>
  <c r="V593" i="60"/>
  <c r="F593" i="60"/>
  <c r="N592" i="60"/>
  <c r="I591" i="60"/>
  <c r="E589" i="60"/>
  <c r="T642" i="60"/>
  <c r="M641" i="60"/>
  <c r="G640" i="60"/>
  <c r="L638" i="60"/>
  <c r="F637" i="60"/>
  <c r="L352" i="60"/>
  <c r="AC403" i="60"/>
  <c r="M402" i="60"/>
  <c r="H400" i="60"/>
  <c r="V451" i="60"/>
  <c r="Y445" i="60"/>
  <c r="Y452" i="60" s="1"/>
  <c r="X541" i="60"/>
  <c r="X548" i="60" s="1"/>
  <c r="U593" i="60"/>
  <c r="E593" i="60"/>
  <c r="G592" i="60"/>
  <c r="L642" i="60"/>
  <c r="F641" i="60"/>
  <c r="Y639" i="60"/>
  <c r="J192" i="59"/>
  <c r="L14" i="59" s="1"/>
  <c r="I398" i="60"/>
  <c r="I402" i="60"/>
  <c r="I399" i="60"/>
  <c r="I403" i="60"/>
  <c r="I397" i="60"/>
  <c r="I401" i="60"/>
  <c r="T192" i="59"/>
  <c r="V14" i="59" s="1"/>
  <c r="S397" i="60"/>
  <c r="S401" i="60"/>
  <c r="S398" i="60"/>
  <c r="S402" i="60"/>
  <c r="S400" i="60"/>
  <c r="AC192" i="59"/>
  <c r="AE14" i="59" s="1"/>
  <c r="AB397" i="60"/>
  <c r="AB401" i="60"/>
  <c r="AB399" i="60"/>
  <c r="AB403" i="60"/>
  <c r="AB400" i="60"/>
  <c r="AB398" i="60"/>
  <c r="AB402" i="60"/>
  <c r="S399" i="60"/>
  <c r="AA209" i="60"/>
  <c r="AB188" i="59"/>
  <c r="AD10" i="59" s="1"/>
  <c r="S209" i="60"/>
  <c r="T188" i="59"/>
  <c r="V10" i="59" s="1"/>
  <c r="K209" i="60"/>
  <c r="L188" i="59"/>
  <c r="N10" i="59" s="1"/>
  <c r="AB253" i="60"/>
  <c r="AC189" i="59"/>
  <c r="AE11" i="59" s="1"/>
  <c r="D294" i="60"/>
  <c r="E190" i="59" s="1"/>
  <c r="I400" i="60"/>
  <c r="Q206" i="60"/>
  <c r="R188" i="59"/>
  <c r="T10" i="59" s="1"/>
  <c r="Z254" i="60"/>
  <c r="AA189" i="59"/>
  <c r="AC11" i="59" s="1"/>
  <c r="J254" i="60"/>
  <c r="K189" i="59"/>
  <c r="M11" i="59" s="1"/>
  <c r="J304" i="60"/>
  <c r="K190" i="59"/>
  <c r="M12" i="59" s="1"/>
  <c r="S304" i="60"/>
  <c r="T190" i="59"/>
  <c r="V12" i="59" s="1"/>
  <c r="AB303" i="60"/>
  <c r="AC190" i="59"/>
  <c r="AE12" i="59" s="1"/>
  <c r="Y206" i="60"/>
  <c r="Z188" i="59"/>
  <c r="AB10" i="59" s="1"/>
  <c r="R254" i="60"/>
  <c r="S189" i="59"/>
  <c r="U11" i="59" s="1"/>
  <c r="AD349" i="60"/>
  <c r="AE191" i="59"/>
  <c r="AD355" i="60"/>
  <c r="V349" i="60"/>
  <c r="W191" i="59"/>
  <c r="V355" i="60"/>
  <c r="N349" i="60"/>
  <c r="O191" i="59"/>
  <c r="F349" i="60"/>
  <c r="G191" i="59"/>
  <c r="F355" i="60"/>
  <c r="S403" i="60"/>
  <c r="AD193" i="59"/>
  <c r="AF15" i="59" s="1"/>
  <c r="AC445" i="60"/>
  <c r="M497" i="60"/>
  <c r="N194" i="59"/>
  <c r="P16" i="59" s="1"/>
  <c r="M493" i="60"/>
  <c r="S196" i="59"/>
  <c r="U19" i="59" s="1"/>
  <c r="R591" i="60"/>
  <c r="R595" i="60"/>
  <c r="R592" i="60"/>
  <c r="R589" i="60"/>
  <c r="R593" i="60"/>
  <c r="J403" i="60"/>
  <c r="F397" i="60"/>
  <c r="M193" i="59"/>
  <c r="O15" i="59" s="1"/>
  <c r="L448" i="60"/>
  <c r="L445" i="60"/>
  <c r="L449" i="60"/>
  <c r="L446" i="60"/>
  <c r="AD446" i="60"/>
  <c r="V208" i="60"/>
  <c r="W188" i="59"/>
  <c r="Y10" i="59" s="1"/>
  <c r="W255" i="60"/>
  <c r="X189" i="59"/>
  <c r="Z11" i="59" s="1"/>
  <c r="G306" i="60"/>
  <c r="H190" i="59"/>
  <c r="J12" i="59" s="1"/>
  <c r="S351" i="60"/>
  <c r="T191" i="59"/>
  <c r="AB209" i="60"/>
  <c r="AC188" i="59"/>
  <c r="AE10" i="59" s="1"/>
  <c r="T209" i="60"/>
  <c r="U188" i="59"/>
  <c r="W10" i="59" s="1"/>
  <c r="L209" i="60"/>
  <c r="M188" i="59"/>
  <c r="O10" i="59" s="1"/>
  <c r="AC256" i="60"/>
  <c r="AD189" i="59"/>
  <c r="AF11" i="59" s="1"/>
  <c r="U256" i="60"/>
  <c r="V189" i="59"/>
  <c r="X11" i="59" s="1"/>
  <c r="M256" i="60"/>
  <c r="N189" i="59"/>
  <c r="P11" i="59" s="1"/>
  <c r="E256" i="60"/>
  <c r="F189" i="59"/>
  <c r="H11" i="59" s="1"/>
  <c r="F302" i="60"/>
  <c r="G190" i="59"/>
  <c r="I12" i="59" s="1"/>
  <c r="P301" i="60"/>
  <c r="Q190" i="59"/>
  <c r="S12" i="59" s="1"/>
  <c r="Y305" i="60"/>
  <c r="Z190" i="59"/>
  <c r="AB12" i="59" s="1"/>
  <c r="W306" i="60"/>
  <c r="X190" i="59"/>
  <c r="Z12" i="59" s="1"/>
  <c r="U302" i="60"/>
  <c r="Y353" i="60"/>
  <c r="Z191" i="59"/>
  <c r="Q353" i="60"/>
  <c r="R191" i="59"/>
  <c r="I353" i="60"/>
  <c r="J191" i="59"/>
  <c r="Y355" i="60"/>
  <c r="S354" i="60"/>
  <c r="S353" i="60"/>
  <c r="Q352" i="60"/>
  <c r="AD403" i="60"/>
  <c r="V403" i="60"/>
  <c r="N403" i="60"/>
  <c r="F403" i="60"/>
  <c r="X402" i="60"/>
  <c r="P402" i="60"/>
  <c r="H402" i="60"/>
  <c r="Z401" i="60"/>
  <c r="R401" i="60"/>
  <c r="J401" i="60"/>
  <c r="T400" i="60"/>
  <c r="L400" i="60"/>
  <c r="AD399" i="60"/>
  <c r="V399" i="60"/>
  <c r="N399" i="60"/>
  <c r="F399" i="60"/>
  <c r="X398" i="60"/>
  <c r="P398" i="60"/>
  <c r="H398" i="60"/>
  <c r="Z397" i="60"/>
  <c r="R397" i="60"/>
  <c r="J397" i="60"/>
  <c r="I193" i="59"/>
  <c r="K15" i="59" s="1"/>
  <c r="H446" i="60"/>
  <c r="H447" i="60"/>
  <c r="H448" i="60"/>
  <c r="R193" i="59"/>
  <c r="T15" i="59" s="1"/>
  <c r="Q447" i="60"/>
  <c r="AA193" i="59"/>
  <c r="AC15" i="59" s="1"/>
  <c r="Z445" i="60"/>
  <c r="Z452" i="60" s="1"/>
  <c r="Z446" i="60"/>
  <c r="Z447" i="60"/>
  <c r="Z451" i="60"/>
  <c r="R451" i="60"/>
  <c r="AB450" i="60"/>
  <c r="T450" i="60"/>
  <c r="L450" i="60"/>
  <c r="AD449" i="60"/>
  <c r="V449" i="60"/>
  <c r="H449" i="60"/>
  <c r="L447" i="60"/>
  <c r="S590" i="60"/>
  <c r="R643" i="60"/>
  <c r="T253" i="60"/>
  <c r="U189" i="59"/>
  <c r="W11" i="59" s="1"/>
  <c r="L253" i="60"/>
  <c r="M189" i="59"/>
  <c r="O11" i="59" s="1"/>
  <c r="H301" i="60"/>
  <c r="I190" i="59"/>
  <c r="K12" i="59" s="1"/>
  <c r="Q301" i="60"/>
  <c r="R190" i="59"/>
  <c r="T12" i="59" s="1"/>
  <c r="Z304" i="60"/>
  <c r="AA190" i="59"/>
  <c r="AC12" i="59" s="1"/>
  <c r="X354" i="60"/>
  <c r="Y191" i="59"/>
  <c r="P354" i="60"/>
  <c r="Q191" i="59"/>
  <c r="H354" i="60"/>
  <c r="I191" i="59"/>
  <c r="P353" i="60"/>
  <c r="Q401" i="60"/>
  <c r="Q397" i="60"/>
  <c r="J193" i="59"/>
  <c r="L15" i="59" s="1"/>
  <c r="I447" i="60"/>
  <c r="S193" i="59"/>
  <c r="U15" i="59" s="1"/>
  <c r="R445" i="60"/>
  <c r="R449" i="60"/>
  <c r="R446" i="60"/>
  <c r="R447" i="60"/>
  <c r="AB193" i="59"/>
  <c r="AD15" i="59" s="1"/>
  <c r="AA446" i="60"/>
  <c r="I451" i="60"/>
  <c r="AA450" i="60"/>
  <c r="K450" i="60"/>
  <c r="AC449" i="60"/>
  <c r="AA447" i="60"/>
  <c r="K447" i="60"/>
  <c r="K493" i="60"/>
  <c r="L194" i="59"/>
  <c r="N16" i="59" s="1"/>
  <c r="K495" i="60"/>
  <c r="T493" i="60"/>
  <c r="U194" i="59"/>
  <c r="W16" i="59" s="1"/>
  <c r="T494" i="60"/>
  <c r="AD493" i="60"/>
  <c r="AE194" i="59"/>
  <c r="AG16" i="59" s="1"/>
  <c r="K544" i="60"/>
  <c r="L195" i="59"/>
  <c r="N18" i="59" s="1"/>
  <c r="K547" i="60"/>
  <c r="S544" i="60"/>
  <c r="T195" i="59"/>
  <c r="V18" i="59" s="1"/>
  <c r="S547" i="60"/>
  <c r="AA544" i="60"/>
  <c r="AB195" i="59"/>
  <c r="AD18" i="59" s="1"/>
  <c r="AA547" i="60"/>
  <c r="R590" i="60"/>
  <c r="Z210" i="60"/>
  <c r="AA188" i="59"/>
  <c r="AC10" i="59" s="1"/>
  <c r="R210" i="60"/>
  <c r="S188" i="59"/>
  <c r="U10" i="59" s="1"/>
  <c r="J210" i="60"/>
  <c r="K188" i="59"/>
  <c r="M10" i="59" s="1"/>
  <c r="AA253" i="60"/>
  <c r="AB189" i="59"/>
  <c r="AD11" i="59" s="1"/>
  <c r="S253" i="60"/>
  <c r="T189" i="59"/>
  <c r="V11" i="59" s="1"/>
  <c r="K253" i="60"/>
  <c r="L189" i="59"/>
  <c r="N11" i="59" s="1"/>
  <c r="I301" i="60"/>
  <c r="J190" i="59"/>
  <c r="L12" i="59" s="1"/>
  <c r="R304" i="60"/>
  <c r="S190" i="59"/>
  <c r="U12" i="59" s="1"/>
  <c r="AA304" i="60"/>
  <c r="AB190" i="59"/>
  <c r="AD12" i="59" s="1"/>
  <c r="Y304" i="60"/>
  <c r="W352" i="60"/>
  <c r="X191" i="59"/>
  <c r="O355" i="60"/>
  <c r="P191" i="59"/>
  <c r="G355" i="60"/>
  <c r="H191" i="59"/>
  <c r="Q355" i="60"/>
  <c r="I352" i="60"/>
  <c r="X349" i="60"/>
  <c r="T403" i="60"/>
  <c r="L403" i="60"/>
  <c r="AD402" i="60"/>
  <c r="V402" i="60"/>
  <c r="N402" i="60"/>
  <c r="F402" i="60"/>
  <c r="X401" i="60"/>
  <c r="P401" i="60"/>
  <c r="H401" i="60"/>
  <c r="Z400" i="60"/>
  <c r="R400" i="60"/>
  <c r="J400" i="60"/>
  <c r="T399" i="60"/>
  <c r="L399" i="60"/>
  <c r="AD398" i="60"/>
  <c r="V398" i="60"/>
  <c r="N398" i="60"/>
  <c r="F398" i="60"/>
  <c r="X397" i="60"/>
  <c r="P397" i="60"/>
  <c r="H397" i="60"/>
  <c r="K193" i="59"/>
  <c r="M15" i="59" s="1"/>
  <c r="J445" i="60"/>
  <c r="J449" i="60"/>
  <c r="J446" i="60"/>
  <c r="J447" i="60"/>
  <c r="T193" i="59"/>
  <c r="V15" i="59" s="1"/>
  <c r="S446" i="60"/>
  <c r="AC193" i="59"/>
  <c r="AE15" i="59" s="1"/>
  <c r="AB448" i="60"/>
  <c r="AB445" i="60"/>
  <c r="AB452" i="60" s="1"/>
  <c r="AB446" i="60"/>
  <c r="R450" i="60"/>
  <c r="J450" i="60"/>
  <c r="AB449" i="60"/>
  <c r="S449" i="60"/>
  <c r="AC448" i="60"/>
  <c r="Q446" i="60"/>
  <c r="AA445" i="60"/>
  <c r="L495" i="60"/>
  <c r="M194" i="59"/>
  <c r="O16" i="59" s="1"/>
  <c r="U498" i="60"/>
  <c r="V194" i="59"/>
  <c r="X16" i="59" s="1"/>
  <c r="U493" i="60"/>
  <c r="Y498" i="60"/>
  <c r="Z194" i="59"/>
  <c r="AB16" i="59" s="1"/>
  <c r="Y497" i="60"/>
  <c r="L543" i="60"/>
  <c r="M195" i="59"/>
  <c r="O18" i="59" s="1"/>
  <c r="T543" i="60"/>
  <c r="U195" i="59"/>
  <c r="W18" i="59" s="1"/>
  <c r="AB543" i="60"/>
  <c r="AC195" i="59"/>
  <c r="AE18" i="59" s="1"/>
  <c r="R594" i="60"/>
  <c r="K590" i="60"/>
  <c r="AB196" i="59"/>
  <c r="AD19" i="59" s="1"/>
  <c r="AA591" i="60"/>
  <c r="AA595" i="60"/>
  <c r="AA592" i="60"/>
  <c r="AA589" i="60"/>
  <c r="AA593" i="60"/>
  <c r="W208" i="60"/>
  <c r="X188" i="59"/>
  <c r="Z10" i="59" s="1"/>
  <c r="O204" i="60"/>
  <c r="P188" i="59"/>
  <c r="R10" i="59" s="1"/>
  <c r="G204" i="60"/>
  <c r="H188" i="59"/>
  <c r="J10" i="59" s="1"/>
  <c r="X259" i="60"/>
  <c r="Y189" i="59"/>
  <c r="AA11" i="59" s="1"/>
  <c r="P259" i="60"/>
  <c r="Q189" i="59"/>
  <c r="S11" i="59" s="1"/>
  <c r="H259" i="60"/>
  <c r="I189" i="59"/>
  <c r="K11" i="59" s="1"/>
  <c r="L303" i="60"/>
  <c r="M190" i="59"/>
  <c r="O12" i="59" s="1"/>
  <c r="AD302" i="60"/>
  <c r="AE190" i="59"/>
  <c r="AG12" i="59" s="1"/>
  <c r="AB350" i="60"/>
  <c r="AC191" i="59"/>
  <c r="T350" i="60"/>
  <c r="U191" i="59"/>
  <c r="L350" i="60"/>
  <c r="M191" i="59"/>
  <c r="AB352" i="60"/>
  <c r="S350" i="60"/>
  <c r="P349" i="60"/>
  <c r="Q403" i="60"/>
  <c r="K402" i="60"/>
  <c r="AC401" i="60"/>
  <c r="U401" i="60"/>
  <c r="M401" i="60"/>
  <c r="E401" i="60"/>
  <c r="W400" i="60"/>
  <c r="Y399" i="60"/>
  <c r="Q399" i="60"/>
  <c r="AA398" i="60"/>
  <c r="K398" i="60"/>
  <c r="AC397" i="60"/>
  <c r="U397" i="60"/>
  <c r="M397" i="60"/>
  <c r="E397" i="60"/>
  <c r="N193" i="59"/>
  <c r="P15" i="59" s="1"/>
  <c r="M445" i="60"/>
  <c r="M452" i="60" s="1"/>
  <c r="M449" i="60"/>
  <c r="W193" i="59"/>
  <c r="Y15" i="59" s="1"/>
  <c r="V447" i="60"/>
  <c r="V448" i="60"/>
  <c r="V445" i="60"/>
  <c r="AC451" i="60"/>
  <c r="M451" i="60"/>
  <c r="I448" i="60"/>
  <c r="S447" i="60"/>
  <c r="AC446" i="60"/>
  <c r="M446" i="60"/>
  <c r="AA594" i="60"/>
  <c r="L193" i="59"/>
  <c r="N15" i="59" s="1"/>
  <c r="K446" i="60"/>
  <c r="V493" i="60"/>
  <c r="W194" i="59"/>
  <c r="Y16" i="59" s="1"/>
  <c r="K196" i="59"/>
  <c r="M19" i="59" s="1"/>
  <c r="J591" i="60"/>
  <c r="J595" i="60"/>
  <c r="J592" i="60"/>
  <c r="J589" i="60"/>
  <c r="J593" i="60"/>
  <c r="X207" i="60"/>
  <c r="Y188" i="59"/>
  <c r="AA10" i="59" s="1"/>
  <c r="H207" i="60"/>
  <c r="I188" i="59"/>
  <c r="K10" i="59" s="1"/>
  <c r="Q254" i="60"/>
  <c r="R189" i="59"/>
  <c r="T11" i="59" s="1"/>
  <c r="K304" i="60"/>
  <c r="L190" i="59"/>
  <c r="N12" i="59" s="1"/>
  <c r="U352" i="60"/>
  <c r="V191" i="59"/>
  <c r="Z403" i="60"/>
  <c r="F401" i="60"/>
  <c r="T398" i="60"/>
  <c r="V193" i="59"/>
  <c r="X15" i="59" s="1"/>
  <c r="U445" i="60"/>
  <c r="AD451" i="60"/>
  <c r="T196" i="59"/>
  <c r="V19" i="59" s="1"/>
  <c r="S591" i="60"/>
  <c r="S595" i="60"/>
  <c r="S592" i="60"/>
  <c r="S589" i="60"/>
  <c r="S593" i="60"/>
  <c r="F208" i="60"/>
  <c r="G188" i="59"/>
  <c r="I10" i="59" s="1"/>
  <c r="AA351" i="60"/>
  <c r="AB191" i="59"/>
  <c r="E349" i="60"/>
  <c r="F191" i="59"/>
  <c r="AA354" i="60"/>
  <c r="X353" i="60"/>
  <c r="Z402" i="60"/>
  <c r="J402" i="60"/>
  <c r="T401" i="60"/>
  <c r="L401" i="60"/>
  <c r="V400" i="60"/>
  <c r="F400" i="60"/>
  <c r="Z398" i="60"/>
  <c r="J398" i="60"/>
  <c r="T397" i="60"/>
  <c r="L397" i="60"/>
  <c r="F193" i="59"/>
  <c r="H15" i="59" s="1"/>
  <c r="E445" i="60"/>
  <c r="E452" i="60" s="1"/>
  <c r="E449" i="60"/>
  <c r="O193" i="59"/>
  <c r="Q15" i="59" s="1"/>
  <c r="N447" i="60"/>
  <c r="N448" i="60"/>
  <c r="N445" i="60"/>
  <c r="N449" i="60"/>
  <c r="Y193" i="59"/>
  <c r="AA15" i="59" s="1"/>
  <c r="X446" i="60"/>
  <c r="X447" i="60"/>
  <c r="X448" i="60"/>
  <c r="L451" i="60"/>
  <c r="N450" i="60"/>
  <c r="X449" i="60"/>
  <c r="K449" i="60"/>
  <c r="U448" i="60"/>
  <c r="E448" i="60"/>
  <c r="I446" i="60"/>
  <c r="J594" i="60"/>
  <c r="AA590" i="60"/>
  <c r="K197" i="59"/>
  <c r="M20" i="59" s="1"/>
  <c r="J640" i="60"/>
  <c r="J637" i="60"/>
  <c r="J641" i="60"/>
  <c r="J638" i="60"/>
  <c r="J642" i="60"/>
  <c r="S197" i="59"/>
  <c r="U20" i="59" s="1"/>
  <c r="R640" i="60"/>
  <c r="R637" i="60"/>
  <c r="R641" i="60"/>
  <c r="R638" i="60"/>
  <c r="R642" i="60"/>
  <c r="AA197" i="59"/>
  <c r="AC20" i="59" s="1"/>
  <c r="Z640" i="60"/>
  <c r="Z637" i="60"/>
  <c r="Z644" i="60" s="1"/>
  <c r="Z641" i="60"/>
  <c r="Z638" i="60"/>
  <c r="Z642" i="60"/>
  <c r="Z643" i="60"/>
  <c r="U193" i="59"/>
  <c r="W15" i="59" s="1"/>
  <c r="T448" i="60"/>
  <c r="T445" i="60"/>
  <c r="T452" i="60" s="1"/>
  <c r="T449" i="60"/>
  <c r="T446" i="60"/>
  <c r="K448" i="60"/>
  <c r="I498" i="60"/>
  <c r="J194" i="59"/>
  <c r="L16" i="59" s="1"/>
  <c r="I499" i="60"/>
  <c r="AA196" i="59"/>
  <c r="AC19" i="59" s="1"/>
  <c r="Z591" i="60"/>
  <c r="Z595" i="60"/>
  <c r="Z592" i="60"/>
  <c r="Z589" i="60"/>
  <c r="Z593" i="60"/>
  <c r="J590" i="60"/>
  <c r="P207" i="60"/>
  <c r="Q188" i="59"/>
  <c r="S10" i="59" s="1"/>
  <c r="Y254" i="60"/>
  <c r="Z189" i="59"/>
  <c r="AB11" i="59" s="1"/>
  <c r="I254" i="60"/>
  <c r="J189" i="59"/>
  <c r="L11" i="59" s="1"/>
  <c r="T303" i="60"/>
  <c r="U190" i="59"/>
  <c r="W12" i="59" s="1"/>
  <c r="AC352" i="60"/>
  <c r="AD191" i="59"/>
  <c r="M349" i="60"/>
  <c r="N191" i="59"/>
  <c r="H353" i="60"/>
  <c r="T402" i="60"/>
  <c r="Z399" i="60"/>
  <c r="J399" i="60"/>
  <c r="AE193" i="59"/>
  <c r="AG15" i="59" s="1"/>
  <c r="AD447" i="60"/>
  <c r="AD448" i="60"/>
  <c r="AD445" i="60"/>
  <c r="T447" i="60"/>
  <c r="L196" i="59"/>
  <c r="N19" i="59" s="1"/>
  <c r="K591" i="60"/>
  <c r="K595" i="60"/>
  <c r="K592" i="60"/>
  <c r="K589" i="60"/>
  <c r="K593" i="60"/>
  <c r="AD208" i="60"/>
  <c r="AE188" i="59"/>
  <c r="AG10" i="59" s="1"/>
  <c r="N208" i="60"/>
  <c r="O188" i="59"/>
  <c r="Q10" i="59" s="1"/>
  <c r="O255" i="60"/>
  <c r="P189" i="59"/>
  <c r="R11" i="59" s="1"/>
  <c r="G255" i="60"/>
  <c r="H189" i="59"/>
  <c r="J11" i="59" s="1"/>
  <c r="V302" i="60"/>
  <c r="W190" i="59"/>
  <c r="Y12" i="59" s="1"/>
  <c r="K351" i="60"/>
  <c r="L191" i="59"/>
  <c r="AC204" i="60"/>
  <c r="AD188" i="59"/>
  <c r="AF10" i="59" s="1"/>
  <c r="U204" i="60"/>
  <c r="V188" i="59"/>
  <c r="X10" i="59" s="1"/>
  <c r="M204" i="60"/>
  <c r="N188" i="59"/>
  <c r="P10" i="59" s="1"/>
  <c r="E204" i="60"/>
  <c r="F188" i="59"/>
  <c r="H10" i="59" s="1"/>
  <c r="AD253" i="60"/>
  <c r="AE189" i="59"/>
  <c r="AG11" i="59" s="1"/>
  <c r="V253" i="60"/>
  <c r="W189" i="59"/>
  <c r="Y11" i="59" s="1"/>
  <c r="N253" i="60"/>
  <c r="O189" i="59"/>
  <c r="Q11" i="59" s="1"/>
  <c r="F259" i="60"/>
  <c r="G189" i="59"/>
  <c r="I11" i="59" s="1"/>
  <c r="N302" i="60"/>
  <c r="O190" i="59"/>
  <c r="Q12" i="59" s="1"/>
  <c r="X301" i="60"/>
  <c r="Y190" i="59"/>
  <c r="AA12" i="59" s="1"/>
  <c r="O306" i="60"/>
  <c r="P190" i="59"/>
  <c r="R12" i="59" s="1"/>
  <c r="X305" i="60"/>
  <c r="AC302" i="60"/>
  <c r="Z352" i="60"/>
  <c r="AA191" i="59"/>
  <c r="R352" i="60"/>
  <c r="S191" i="59"/>
  <c r="J352" i="60"/>
  <c r="K191" i="59"/>
  <c r="W354" i="60"/>
  <c r="T353" i="60"/>
  <c r="T352" i="60"/>
  <c r="K350" i="60"/>
  <c r="L349" i="60"/>
  <c r="W403" i="60"/>
  <c r="Y402" i="60"/>
  <c r="Q402" i="60"/>
  <c r="AA401" i="60"/>
  <c r="K401" i="60"/>
  <c r="AC400" i="60"/>
  <c r="U400" i="60"/>
  <c r="M400" i="60"/>
  <c r="E400" i="60"/>
  <c r="W399" i="60"/>
  <c r="Y398" i="60"/>
  <c r="Q398" i="60"/>
  <c r="AA397" i="60"/>
  <c r="K397" i="60"/>
  <c r="G193" i="59"/>
  <c r="I15" i="59" s="1"/>
  <c r="F447" i="60"/>
  <c r="F448" i="60"/>
  <c r="F445" i="60"/>
  <c r="F449" i="60"/>
  <c r="Q193" i="59"/>
  <c r="S15" i="59" s="1"/>
  <c r="P446" i="60"/>
  <c r="P447" i="60"/>
  <c r="P448" i="60"/>
  <c r="Z193" i="59"/>
  <c r="AB15" i="59" s="1"/>
  <c r="Y447" i="60"/>
  <c r="AA451" i="60"/>
  <c r="S451" i="60"/>
  <c r="K451" i="60"/>
  <c r="AC450" i="60"/>
  <c r="U450" i="60"/>
  <c r="M450" i="60"/>
  <c r="E450" i="60"/>
  <c r="I449" i="60"/>
  <c r="S448" i="60"/>
  <c r="AC447" i="60"/>
  <c r="M447" i="60"/>
  <c r="Q445" i="60"/>
  <c r="Z590" i="60"/>
  <c r="L197" i="59"/>
  <c r="N20" i="59" s="1"/>
  <c r="K639" i="60"/>
  <c r="K643" i="60"/>
  <c r="K640" i="60"/>
  <c r="K637" i="60"/>
  <c r="K641" i="60"/>
  <c r="T197" i="59"/>
  <c r="V20" i="59" s="1"/>
  <c r="S639" i="60"/>
  <c r="S643" i="60"/>
  <c r="S640" i="60"/>
  <c r="S637" i="60"/>
  <c r="S641" i="60"/>
  <c r="AB197" i="59"/>
  <c r="AD20" i="59" s="1"/>
  <c r="AA639" i="60"/>
  <c r="AA643" i="60"/>
  <c r="AA640" i="60"/>
  <c r="AA637" i="60"/>
  <c r="AA641" i="60"/>
  <c r="S642" i="60"/>
  <c r="AA638" i="60"/>
  <c r="N493" i="60"/>
  <c r="O194" i="59"/>
  <c r="Q16" i="59" s="1"/>
  <c r="X493" i="60"/>
  <c r="Y194" i="59"/>
  <c r="AA16" i="59" s="1"/>
  <c r="Q498" i="60"/>
  <c r="R194" i="59"/>
  <c r="T16" i="59" s="1"/>
  <c r="E543" i="60"/>
  <c r="F195" i="59"/>
  <c r="H18" i="59" s="1"/>
  <c r="M542" i="60"/>
  <c r="N195" i="59"/>
  <c r="P18" i="59" s="1"/>
  <c r="U542" i="60"/>
  <c r="V195" i="59"/>
  <c r="X18" i="59" s="1"/>
  <c r="AC542" i="60"/>
  <c r="AD195" i="59"/>
  <c r="AF18" i="59" s="1"/>
  <c r="M545" i="60"/>
  <c r="W595" i="60"/>
  <c r="O595" i="60"/>
  <c r="G595" i="60"/>
  <c r="Y594" i="60"/>
  <c r="Q594" i="60"/>
  <c r="I594" i="60"/>
  <c r="AC592" i="60"/>
  <c r="U592" i="60"/>
  <c r="M592" i="60"/>
  <c r="E592" i="60"/>
  <c r="W591" i="60"/>
  <c r="O591" i="60"/>
  <c r="G591" i="60"/>
  <c r="Y590" i="60"/>
  <c r="Q590" i="60"/>
  <c r="I590" i="60"/>
  <c r="AC197" i="59"/>
  <c r="AE20" i="59" s="1"/>
  <c r="X643" i="60"/>
  <c r="P643" i="60"/>
  <c r="H643" i="60"/>
  <c r="AB641" i="60"/>
  <c r="T641" i="60"/>
  <c r="L641" i="60"/>
  <c r="N640" i="60"/>
  <c r="F640" i="60"/>
  <c r="X639" i="60"/>
  <c r="P639" i="60"/>
  <c r="H639" i="60"/>
  <c r="AB637" i="60"/>
  <c r="T637" i="60"/>
  <c r="L637" i="60"/>
  <c r="E493" i="60"/>
  <c r="F194" i="59"/>
  <c r="H16" i="59" s="1"/>
  <c r="O493" i="60"/>
  <c r="P194" i="59"/>
  <c r="R16" i="59" s="1"/>
  <c r="Z497" i="60"/>
  <c r="AA194" i="59"/>
  <c r="AC16" i="59" s="1"/>
  <c r="O499" i="60"/>
  <c r="F543" i="60"/>
  <c r="G195" i="59"/>
  <c r="I18" i="59" s="1"/>
  <c r="N541" i="60"/>
  <c r="O195" i="59"/>
  <c r="Q18" i="59" s="1"/>
  <c r="V541" i="60"/>
  <c r="W195" i="59"/>
  <c r="Y18" i="59" s="1"/>
  <c r="AD541" i="60"/>
  <c r="AE195" i="59"/>
  <c r="AG18" i="59" s="1"/>
  <c r="AD544" i="60"/>
  <c r="AD595" i="60"/>
  <c r="V595" i="60"/>
  <c r="N595" i="60"/>
  <c r="F595" i="60"/>
  <c r="X594" i="60"/>
  <c r="P594" i="60"/>
  <c r="H594" i="60"/>
  <c r="AB592" i="60"/>
  <c r="T592" i="60"/>
  <c r="L592" i="60"/>
  <c r="AD591" i="60"/>
  <c r="V591" i="60"/>
  <c r="N591" i="60"/>
  <c r="F591" i="60"/>
  <c r="X590" i="60"/>
  <c r="P590" i="60"/>
  <c r="H590" i="60"/>
  <c r="V197" i="59"/>
  <c r="X20" i="59" s="1"/>
  <c r="W643" i="60"/>
  <c r="O643" i="60"/>
  <c r="G643" i="60"/>
  <c r="Y642" i="60"/>
  <c r="Q642" i="60"/>
  <c r="I642" i="60"/>
  <c r="AC640" i="60"/>
  <c r="U640" i="60"/>
  <c r="M640" i="60"/>
  <c r="E640" i="60"/>
  <c r="W639" i="60"/>
  <c r="O639" i="60"/>
  <c r="G639" i="60"/>
  <c r="Y638" i="60"/>
  <c r="Q638" i="60"/>
  <c r="I638" i="60"/>
  <c r="F496" i="60"/>
  <c r="G194" i="59"/>
  <c r="I16" i="59" s="1"/>
  <c r="P495" i="60"/>
  <c r="Q194" i="59"/>
  <c r="S16" i="59" s="1"/>
  <c r="AA496" i="60"/>
  <c r="AB194" i="59"/>
  <c r="AD16" i="59" s="1"/>
  <c r="G541" i="60"/>
  <c r="H195" i="59"/>
  <c r="J18" i="59" s="1"/>
  <c r="O541" i="60"/>
  <c r="P195" i="59"/>
  <c r="R18" i="59" s="1"/>
  <c r="W541" i="60"/>
  <c r="X195" i="59"/>
  <c r="Z18" i="59" s="1"/>
  <c r="E546" i="60"/>
  <c r="V544" i="60"/>
  <c r="AC595" i="60"/>
  <c r="U595" i="60"/>
  <c r="M595" i="60"/>
  <c r="E595" i="60"/>
  <c r="W594" i="60"/>
  <c r="O594" i="60"/>
  <c r="G594" i="60"/>
  <c r="Y593" i="60"/>
  <c r="Q593" i="60"/>
  <c r="I593" i="60"/>
  <c r="AC591" i="60"/>
  <c r="U591" i="60"/>
  <c r="M591" i="60"/>
  <c r="E591" i="60"/>
  <c r="W590" i="60"/>
  <c r="O590" i="60"/>
  <c r="G590" i="60"/>
  <c r="Y589" i="60"/>
  <c r="Q589" i="60"/>
  <c r="I589" i="60"/>
  <c r="W197" i="59"/>
  <c r="Y20" i="59" s="1"/>
  <c r="AE197" i="59"/>
  <c r="AG20" i="59" s="1"/>
  <c r="AD643" i="60"/>
  <c r="V643" i="60"/>
  <c r="N643" i="60"/>
  <c r="F643" i="60"/>
  <c r="X642" i="60"/>
  <c r="P642" i="60"/>
  <c r="H642" i="60"/>
  <c r="AB640" i="60"/>
  <c r="T640" i="60"/>
  <c r="L640" i="60"/>
  <c r="AD639" i="60"/>
  <c r="V639" i="60"/>
  <c r="N639" i="60"/>
  <c r="F639" i="60"/>
  <c r="X638" i="60"/>
  <c r="P638" i="60"/>
  <c r="R497" i="60"/>
  <c r="S194" i="59"/>
  <c r="U16" i="59" s="1"/>
  <c r="AB495" i="60"/>
  <c r="AC194" i="59"/>
  <c r="AE16" i="59" s="1"/>
  <c r="H547" i="60"/>
  <c r="I195" i="59"/>
  <c r="K18" i="59" s="1"/>
  <c r="P547" i="60"/>
  <c r="Q195" i="59"/>
  <c r="S18" i="59" s="1"/>
  <c r="X547" i="60"/>
  <c r="Y195" i="59"/>
  <c r="AA18" i="59" s="1"/>
  <c r="T591" i="60"/>
  <c r="L591" i="60"/>
  <c r="AD590" i="60"/>
  <c r="V590" i="60"/>
  <c r="N590" i="60"/>
  <c r="F590" i="60"/>
  <c r="X589" i="60"/>
  <c r="P589" i="60"/>
  <c r="H589" i="60"/>
  <c r="U643" i="60"/>
  <c r="M643" i="60"/>
  <c r="E643" i="60"/>
  <c r="W642" i="60"/>
  <c r="O642" i="60"/>
  <c r="G642" i="60"/>
  <c r="Y641" i="60"/>
  <c r="Q641" i="60"/>
  <c r="I641" i="60"/>
  <c r="AC639" i="60"/>
  <c r="U639" i="60"/>
  <c r="M639" i="60"/>
  <c r="E639" i="60"/>
  <c r="W638" i="60"/>
  <c r="O638" i="60"/>
  <c r="G638" i="60"/>
  <c r="Y637" i="60"/>
  <c r="Q637" i="60"/>
  <c r="I637" i="60"/>
  <c r="J497" i="60"/>
  <c r="K194" i="59"/>
  <c r="M16" i="59" s="1"/>
  <c r="S496" i="60"/>
  <c r="T194" i="59"/>
  <c r="V16" i="59" s="1"/>
  <c r="H498" i="60"/>
  <c r="AB494" i="60"/>
  <c r="I546" i="60"/>
  <c r="J195" i="59"/>
  <c r="L18" i="59" s="1"/>
  <c r="Q546" i="60"/>
  <c r="R195" i="59"/>
  <c r="T18" i="59" s="1"/>
  <c r="Y546" i="60"/>
  <c r="Z195" i="59"/>
  <c r="AB18" i="59" s="1"/>
  <c r="F544" i="60"/>
  <c r="Q541" i="60"/>
  <c r="AC594" i="60"/>
  <c r="U594" i="60"/>
  <c r="M594" i="60"/>
  <c r="E594" i="60"/>
  <c r="W593" i="60"/>
  <c r="O593" i="60"/>
  <c r="G593" i="60"/>
  <c r="Y592" i="60"/>
  <c r="Q592" i="60"/>
  <c r="I592" i="60"/>
  <c r="AC590" i="60"/>
  <c r="U590" i="60"/>
  <c r="M590" i="60"/>
  <c r="E590" i="60"/>
  <c r="W589" i="60"/>
  <c r="O589" i="60"/>
  <c r="G589" i="60"/>
  <c r="I197" i="59"/>
  <c r="K20" i="59" s="1"/>
  <c r="AB643" i="60"/>
  <c r="T643" i="60"/>
  <c r="L643" i="60"/>
  <c r="AD642" i="60"/>
  <c r="V642" i="60"/>
  <c r="N642" i="60"/>
  <c r="F642" i="60"/>
  <c r="X641" i="60"/>
  <c r="P641" i="60"/>
  <c r="H641" i="60"/>
  <c r="AB639" i="60"/>
  <c r="T639" i="60"/>
  <c r="L639" i="60"/>
  <c r="AD638" i="60"/>
  <c r="V638" i="60"/>
  <c r="N638" i="60"/>
  <c r="F638" i="60"/>
  <c r="X637" i="60"/>
  <c r="X644" i="60" s="1"/>
  <c r="P637" i="60"/>
  <c r="H637" i="60"/>
  <c r="J545" i="60"/>
  <c r="K195" i="59"/>
  <c r="M18" i="59" s="1"/>
  <c r="R545" i="60"/>
  <c r="S195" i="59"/>
  <c r="U18" i="59" s="1"/>
  <c r="Z545" i="60"/>
  <c r="AA195" i="59"/>
  <c r="AC18" i="59" s="1"/>
  <c r="H592" i="60"/>
  <c r="AB590" i="60"/>
  <c r="T590" i="60"/>
  <c r="L590" i="60"/>
  <c r="L596" i="60" s="1"/>
  <c r="AD589" i="60"/>
  <c r="V589" i="60"/>
  <c r="N589" i="60"/>
  <c r="F589" i="60"/>
  <c r="AC642" i="60"/>
  <c r="U642" i="60"/>
  <c r="M642" i="60"/>
  <c r="E642" i="60"/>
  <c r="W641" i="60"/>
  <c r="O641" i="60"/>
  <c r="G641" i="60"/>
  <c r="Y640" i="60"/>
  <c r="Q640" i="60"/>
  <c r="I640" i="60"/>
  <c r="AC638" i="60"/>
  <c r="U638" i="60"/>
  <c r="M638" i="60"/>
  <c r="E638" i="60"/>
  <c r="W637" i="60"/>
  <c r="O637" i="60"/>
  <c r="G637" i="60"/>
  <c r="J644" i="60"/>
  <c r="D630" i="60"/>
  <c r="D638" i="60" s="1"/>
  <c r="D582" i="60"/>
  <c r="D590" i="60" s="1"/>
  <c r="AB546" i="60"/>
  <c r="E542" i="60"/>
  <c r="W547" i="60"/>
  <c r="O547" i="60"/>
  <c r="G547" i="60"/>
  <c r="X546" i="60"/>
  <c r="P546" i="60"/>
  <c r="H546" i="60"/>
  <c r="Y545" i="60"/>
  <c r="Q545" i="60"/>
  <c r="I545" i="60"/>
  <c r="Z544" i="60"/>
  <c r="R544" i="60"/>
  <c r="J544" i="60"/>
  <c r="AA543" i="60"/>
  <c r="S543" i="60"/>
  <c r="K543" i="60"/>
  <c r="AB542" i="60"/>
  <c r="T542" i="60"/>
  <c r="L542" i="60"/>
  <c r="AC541" i="60"/>
  <c r="U541" i="60"/>
  <c r="M541" i="60"/>
  <c r="T546" i="60"/>
  <c r="AD547" i="60"/>
  <c r="V547" i="60"/>
  <c r="N547" i="60"/>
  <c r="F547" i="60"/>
  <c r="W546" i="60"/>
  <c r="O546" i="60"/>
  <c r="G546" i="60"/>
  <c r="X545" i="60"/>
  <c r="P545" i="60"/>
  <c r="H545" i="60"/>
  <c r="Y544" i="60"/>
  <c r="Q544" i="60"/>
  <c r="I544" i="60"/>
  <c r="Z543" i="60"/>
  <c r="R543" i="60"/>
  <c r="J543" i="60"/>
  <c r="AA542" i="60"/>
  <c r="S542" i="60"/>
  <c r="K542" i="60"/>
  <c r="AB541" i="60"/>
  <c r="T541" i="60"/>
  <c r="L541" i="60"/>
  <c r="AC547" i="60"/>
  <c r="U547" i="60"/>
  <c r="M547" i="60"/>
  <c r="AD546" i="60"/>
  <c r="V546" i="60"/>
  <c r="N546" i="60"/>
  <c r="F546" i="60"/>
  <c r="W545" i="60"/>
  <c r="O545" i="60"/>
  <c r="G545" i="60"/>
  <c r="X544" i="60"/>
  <c r="P544" i="60"/>
  <c r="H544" i="60"/>
  <c r="Y543" i="60"/>
  <c r="Q543" i="60"/>
  <c r="I543" i="60"/>
  <c r="Z542" i="60"/>
  <c r="R542" i="60"/>
  <c r="J542" i="60"/>
  <c r="AA541" i="60"/>
  <c r="S541" i="60"/>
  <c r="K541" i="60"/>
  <c r="L546" i="60"/>
  <c r="E547" i="60"/>
  <c r="AB547" i="60"/>
  <c r="T547" i="60"/>
  <c r="L547" i="60"/>
  <c r="AC546" i="60"/>
  <c r="U546" i="60"/>
  <c r="M546" i="60"/>
  <c r="AD545" i="60"/>
  <c r="V545" i="60"/>
  <c r="N545" i="60"/>
  <c r="F545" i="60"/>
  <c r="W544" i="60"/>
  <c r="O544" i="60"/>
  <c r="G544" i="60"/>
  <c r="X543" i="60"/>
  <c r="P543" i="60"/>
  <c r="H543" i="60"/>
  <c r="Y542" i="60"/>
  <c r="Q542" i="60"/>
  <c r="I542" i="60"/>
  <c r="Z541" i="60"/>
  <c r="R541" i="60"/>
  <c r="J541" i="60"/>
  <c r="E545" i="60"/>
  <c r="Z547" i="60"/>
  <c r="R547" i="60"/>
  <c r="J547" i="60"/>
  <c r="AA546" i="60"/>
  <c r="S546" i="60"/>
  <c r="K546" i="60"/>
  <c r="AB545" i="60"/>
  <c r="T545" i="60"/>
  <c r="L545" i="60"/>
  <c r="AC544" i="60"/>
  <c r="U544" i="60"/>
  <c r="M544" i="60"/>
  <c r="AD543" i="60"/>
  <c r="V543" i="60"/>
  <c r="N543" i="60"/>
  <c r="W542" i="60"/>
  <c r="O542" i="60"/>
  <c r="G542" i="60"/>
  <c r="P541" i="60"/>
  <c r="H541" i="60"/>
  <c r="D534" i="60"/>
  <c r="D541" i="60" s="1"/>
  <c r="E544" i="60"/>
  <c r="Y547" i="60"/>
  <c r="Q547" i="60"/>
  <c r="I547" i="60"/>
  <c r="Z546" i="60"/>
  <c r="R546" i="60"/>
  <c r="J546" i="60"/>
  <c r="AA545" i="60"/>
  <c r="S545" i="60"/>
  <c r="K545" i="60"/>
  <c r="AB544" i="60"/>
  <c r="T544" i="60"/>
  <c r="L544" i="60"/>
  <c r="AC543" i="60"/>
  <c r="U543" i="60"/>
  <c r="M543" i="60"/>
  <c r="AD542" i="60"/>
  <c r="V542" i="60"/>
  <c r="N542" i="60"/>
  <c r="F542" i="60"/>
  <c r="F541" i="60"/>
  <c r="AD499" i="60"/>
  <c r="V499" i="60"/>
  <c r="N499" i="60"/>
  <c r="F499" i="60"/>
  <c r="O498" i="60"/>
  <c r="X497" i="60"/>
  <c r="P497" i="60"/>
  <c r="H497" i="60"/>
  <c r="Y496" i="60"/>
  <c r="Q496" i="60"/>
  <c r="I496" i="60"/>
  <c r="Z495" i="60"/>
  <c r="R495" i="60"/>
  <c r="J495" i="60"/>
  <c r="AA494" i="60"/>
  <c r="S494" i="60"/>
  <c r="K494" i="60"/>
  <c r="AB493" i="60"/>
  <c r="L493" i="60"/>
  <c r="Q497" i="60"/>
  <c r="AC499" i="60"/>
  <c r="U499" i="60"/>
  <c r="M499" i="60"/>
  <c r="AD498" i="60"/>
  <c r="V498" i="60"/>
  <c r="N498" i="60"/>
  <c r="F498" i="60"/>
  <c r="O497" i="60"/>
  <c r="X496" i="60"/>
  <c r="P496" i="60"/>
  <c r="H496" i="60"/>
  <c r="Y495" i="60"/>
  <c r="Q495" i="60"/>
  <c r="I495" i="60"/>
  <c r="Z494" i="60"/>
  <c r="R494" i="60"/>
  <c r="J494" i="60"/>
  <c r="AA493" i="60"/>
  <c r="S493" i="60"/>
  <c r="AB499" i="60"/>
  <c r="T499" i="60"/>
  <c r="L499" i="60"/>
  <c r="AC498" i="60"/>
  <c r="M498" i="60"/>
  <c r="AD497" i="60"/>
  <c r="V497" i="60"/>
  <c r="N497" i="60"/>
  <c r="F497" i="60"/>
  <c r="O496" i="60"/>
  <c r="X495" i="60"/>
  <c r="H495" i="60"/>
  <c r="Y494" i="60"/>
  <c r="Q494" i="60"/>
  <c r="I494" i="60"/>
  <c r="Z493" i="60"/>
  <c r="R493" i="60"/>
  <c r="J493" i="60"/>
  <c r="AA499" i="60"/>
  <c r="S499" i="60"/>
  <c r="K499" i="60"/>
  <c r="AB498" i="60"/>
  <c r="T498" i="60"/>
  <c r="L498" i="60"/>
  <c r="AC497" i="60"/>
  <c r="U497" i="60"/>
  <c r="AD496" i="60"/>
  <c r="V496" i="60"/>
  <c r="N496" i="60"/>
  <c r="O495" i="60"/>
  <c r="X494" i="60"/>
  <c r="P494" i="60"/>
  <c r="H494" i="60"/>
  <c r="Y493" i="60"/>
  <c r="Q493" i="60"/>
  <c r="I493" i="60"/>
  <c r="P498" i="60"/>
  <c r="Z499" i="60"/>
  <c r="R499" i="60"/>
  <c r="J499" i="60"/>
  <c r="AA498" i="60"/>
  <c r="S498" i="60"/>
  <c r="K498" i="60"/>
  <c r="AB497" i="60"/>
  <c r="T497" i="60"/>
  <c r="L497" i="60"/>
  <c r="AC496" i="60"/>
  <c r="U496" i="60"/>
  <c r="M496" i="60"/>
  <c r="AD495" i="60"/>
  <c r="V495" i="60"/>
  <c r="N495" i="60"/>
  <c r="F495" i="60"/>
  <c r="O494" i="60"/>
  <c r="P493" i="60"/>
  <c r="H493" i="60"/>
  <c r="Y499" i="60"/>
  <c r="Q499" i="60"/>
  <c r="Z498" i="60"/>
  <c r="R498" i="60"/>
  <c r="J498" i="60"/>
  <c r="AA497" i="60"/>
  <c r="S497" i="60"/>
  <c r="K497" i="60"/>
  <c r="AB496" i="60"/>
  <c r="T496" i="60"/>
  <c r="L496" i="60"/>
  <c r="AC495" i="60"/>
  <c r="U495" i="60"/>
  <c r="M495" i="60"/>
  <c r="AD494" i="60"/>
  <c r="V494" i="60"/>
  <c r="N494" i="60"/>
  <c r="F494" i="60"/>
  <c r="AA495" i="60"/>
  <c r="X499" i="60"/>
  <c r="P499" i="60"/>
  <c r="H499" i="60"/>
  <c r="K496" i="60"/>
  <c r="T495" i="60"/>
  <c r="AC494" i="60"/>
  <c r="U494" i="60"/>
  <c r="M494" i="60"/>
  <c r="F493" i="60"/>
  <c r="E499" i="60"/>
  <c r="E495" i="60"/>
  <c r="E498" i="60"/>
  <c r="E494" i="60"/>
  <c r="E497" i="60"/>
  <c r="E496" i="60"/>
  <c r="G486" i="60"/>
  <c r="H194" i="59" s="1"/>
  <c r="J16" i="59" s="1"/>
  <c r="W486" i="60"/>
  <c r="X194" i="59" s="1"/>
  <c r="Z16" i="59" s="1"/>
  <c r="D486" i="60"/>
  <c r="E194" i="59" s="1"/>
  <c r="G438" i="60"/>
  <c r="O438" i="60"/>
  <c r="W438" i="60"/>
  <c r="H452" i="60"/>
  <c r="X452" i="60"/>
  <c r="N452" i="60"/>
  <c r="V452" i="60"/>
  <c r="K452" i="60"/>
  <c r="S452" i="60"/>
  <c r="D438" i="60"/>
  <c r="G390" i="60"/>
  <c r="D389" i="60"/>
  <c r="O390" i="60"/>
  <c r="D342" i="60"/>
  <c r="E191" i="59" s="1"/>
  <c r="AC355" i="60"/>
  <c r="U355" i="60"/>
  <c r="M355" i="60"/>
  <c r="AD354" i="60"/>
  <c r="V354" i="60"/>
  <c r="N354" i="60"/>
  <c r="F354" i="60"/>
  <c r="W353" i="60"/>
  <c r="O353" i="60"/>
  <c r="G353" i="60"/>
  <c r="X352" i="60"/>
  <c r="P352" i="60"/>
  <c r="H352" i="60"/>
  <c r="Y351" i="60"/>
  <c r="Q351" i="60"/>
  <c r="I351" i="60"/>
  <c r="Z350" i="60"/>
  <c r="R350" i="60"/>
  <c r="J350" i="60"/>
  <c r="AA349" i="60"/>
  <c r="S349" i="60"/>
  <c r="K349" i="60"/>
  <c r="AB355" i="60"/>
  <c r="T355" i="60"/>
  <c r="L355" i="60"/>
  <c r="AC354" i="60"/>
  <c r="U354" i="60"/>
  <c r="M354" i="60"/>
  <c r="AD353" i="60"/>
  <c r="V353" i="60"/>
  <c r="N353" i="60"/>
  <c r="F353" i="60"/>
  <c r="O352" i="60"/>
  <c r="G352" i="60"/>
  <c r="X351" i="60"/>
  <c r="P351" i="60"/>
  <c r="H351" i="60"/>
  <c r="Y350" i="60"/>
  <c r="Q350" i="60"/>
  <c r="I350" i="60"/>
  <c r="Z349" i="60"/>
  <c r="R349" i="60"/>
  <c r="J349" i="60"/>
  <c r="AA355" i="60"/>
  <c r="S355" i="60"/>
  <c r="K355" i="60"/>
  <c r="AB354" i="60"/>
  <c r="T354" i="60"/>
  <c r="L354" i="60"/>
  <c r="AC353" i="60"/>
  <c r="U353" i="60"/>
  <c r="M353" i="60"/>
  <c r="AD352" i="60"/>
  <c r="V352" i="60"/>
  <c r="N352" i="60"/>
  <c r="F352" i="60"/>
  <c r="W351" i="60"/>
  <c r="O351" i="60"/>
  <c r="G351" i="60"/>
  <c r="X350" i="60"/>
  <c r="P350" i="60"/>
  <c r="H350" i="60"/>
  <c r="Y349" i="60"/>
  <c r="Q349" i="60"/>
  <c r="I349" i="60"/>
  <c r="R351" i="60"/>
  <c r="Z355" i="60"/>
  <c r="R355" i="60"/>
  <c r="J355" i="60"/>
  <c r="M352" i="60"/>
  <c r="AD351" i="60"/>
  <c r="V351" i="60"/>
  <c r="N351" i="60"/>
  <c r="F351" i="60"/>
  <c r="Z351" i="60"/>
  <c r="J351" i="60"/>
  <c r="Z354" i="60"/>
  <c r="R354" i="60"/>
  <c r="J354" i="60"/>
  <c r="AC351" i="60"/>
  <c r="U351" i="60"/>
  <c r="M351" i="60"/>
  <c r="AD350" i="60"/>
  <c r="V350" i="60"/>
  <c r="N350" i="60"/>
  <c r="F350" i="60"/>
  <c r="X355" i="60"/>
  <c r="P355" i="60"/>
  <c r="H355" i="60"/>
  <c r="Y354" i="60"/>
  <c r="Q354" i="60"/>
  <c r="I354" i="60"/>
  <c r="Z353" i="60"/>
  <c r="R353" i="60"/>
  <c r="J353" i="60"/>
  <c r="AA352" i="60"/>
  <c r="S352" i="60"/>
  <c r="K352" i="60"/>
  <c r="AB351" i="60"/>
  <c r="T351" i="60"/>
  <c r="L351" i="60"/>
  <c r="AC350" i="60"/>
  <c r="U350" i="60"/>
  <c r="M350" i="60"/>
  <c r="W355" i="60"/>
  <c r="AC349" i="60"/>
  <c r="U349" i="60"/>
  <c r="E352" i="60"/>
  <c r="E355" i="60"/>
  <c r="E351" i="60"/>
  <c r="E354" i="60"/>
  <c r="E350" i="60"/>
  <c r="E353" i="60"/>
  <c r="D306" i="60"/>
  <c r="D302" i="60"/>
  <c r="AA307" i="60"/>
  <c r="S307" i="60"/>
  <c r="K307" i="60"/>
  <c r="AC306" i="60"/>
  <c r="U306" i="60"/>
  <c r="M306" i="60"/>
  <c r="E306" i="60"/>
  <c r="W305" i="60"/>
  <c r="N305" i="60"/>
  <c r="F305" i="60"/>
  <c r="X304" i="60"/>
  <c r="P304" i="60"/>
  <c r="H304" i="60"/>
  <c r="Z303" i="60"/>
  <c r="R303" i="60"/>
  <c r="J303" i="60"/>
  <c r="AB302" i="60"/>
  <c r="T302" i="60"/>
  <c r="L302" i="60"/>
  <c r="AD301" i="60"/>
  <c r="V301" i="60"/>
  <c r="N301" i="60"/>
  <c r="F301" i="60"/>
  <c r="W301" i="60"/>
  <c r="Z307" i="60"/>
  <c r="R307" i="60"/>
  <c r="J307" i="60"/>
  <c r="AB306" i="60"/>
  <c r="T306" i="60"/>
  <c r="L306" i="60"/>
  <c r="AD305" i="60"/>
  <c r="V305" i="60"/>
  <c r="M305" i="60"/>
  <c r="E305" i="60"/>
  <c r="W304" i="60"/>
  <c r="O304" i="60"/>
  <c r="G304" i="60"/>
  <c r="Y303" i="60"/>
  <c r="Q303" i="60"/>
  <c r="I303" i="60"/>
  <c r="AA302" i="60"/>
  <c r="S302" i="60"/>
  <c r="K302" i="60"/>
  <c r="AC301" i="60"/>
  <c r="U301" i="60"/>
  <c r="M301" i="60"/>
  <c r="E301" i="60"/>
  <c r="S303" i="60"/>
  <c r="Y307" i="60"/>
  <c r="Q307" i="60"/>
  <c r="I307" i="60"/>
  <c r="AA306" i="60"/>
  <c r="S306" i="60"/>
  <c r="K306" i="60"/>
  <c r="AC305" i="60"/>
  <c r="U305" i="60"/>
  <c r="L305" i="60"/>
  <c r="AD304" i="60"/>
  <c r="V304" i="60"/>
  <c r="N304" i="60"/>
  <c r="F304" i="60"/>
  <c r="X303" i="60"/>
  <c r="P303" i="60"/>
  <c r="H303" i="60"/>
  <c r="Z302" i="60"/>
  <c r="R302" i="60"/>
  <c r="J302" i="60"/>
  <c r="AB301" i="60"/>
  <c r="T301" i="60"/>
  <c r="L301" i="60"/>
  <c r="Q305" i="60"/>
  <c r="X307" i="60"/>
  <c r="P307" i="60"/>
  <c r="H307" i="60"/>
  <c r="Z306" i="60"/>
  <c r="R306" i="60"/>
  <c r="J306" i="60"/>
  <c r="AB305" i="60"/>
  <c r="T305" i="60"/>
  <c r="K305" i="60"/>
  <c r="AC304" i="60"/>
  <c r="U304" i="60"/>
  <c r="M304" i="60"/>
  <c r="E304" i="60"/>
  <c r="W303" i="60"/>
  <c r="O303" i="60"/>
  <c r="G303" i="60"/>
  <c r="Y302" i="60"/>
  <c r="Q302" i="60"/>
  <c r="I302" i="60"/>
  <c r="AA301" i="60"/>
  <c r="S301" i="60"/>
  <c r="K301" i="60"/>
  <c r="W307" i="60"/>
  <c r="O307" i="60"/>
  <c r="G307" i="60"/>
  <c r="Y306" i="60"/>
  <c r="Q306" i="60"/>
  <c r="I306" i="60"/>
  <c r="AA305" i="60"/>
  <c r="S305" i="60"/>
  <c r="J305" i="60"/>
  <c r="AB304" i="60"/>
  <c r="T304" i="60"/>
  <c r="L304" i="60"/>
  <c r="AD303" i="60"/>
  <c r="V303" i="60"/>
  <c r="N303" i="60"/>
  <c r="F303" i="60"/>
  <c r="X302" i="60"/>
  <c r="P302" i="60"/>
  <c r="H302" i="60"/>
  <c r="Z301" i="60"/>
  <c r="R301" i="60"/>
  <c r="J301" i="60"/>
  <c r="AD307" i="60"/>
  <c r="V307" i="60"/>
  <c r="N307" i="60"/>
  <c r="F307" i="60"/>
  <c r="X306" i="60"/>
  <c r="P306" i="60"/>
  <c r="H306" i="60"/>
  <c r="Z305" i="60"/>
  <c r="R305" i="60"/>
  <c r="I305" i="60"/>
  <c r="AC303" i="60"/>
  <c r="U303" i="60"/>
  <c r="M303" i="60"/>
  <c r="E303" i="60"/>
  <c r="W302" i="60"/>
  <c r="O302" i="60"/>
  <c r="G302" i="60"/>
  <c r="Y301" i="60"/>
  <c r="AB307" i="60"/>
  <c r="AC307" i="60"/>
  <c r="U307" i="60"/>
  <c r="M307" i="60"/>
  <c r="E307" i="60"/>
  <c r="P305" i="60"/>
  <c r="H305" i="60"/>
  <c r="D307" i="60"/>
  <c r="U208" i="60"/>
  <c r="U205" i="60"/>
  <c r="N255" i="60"/>
  <c r="E259" i="60"/>
  <c r="D246" i="60"/>
  <c r="E209" i="60"/>
  <c r="Z257" i="60"/>
  <c r="L257" i="60"/>
  <c r="AD256" i="60"/>
  <c r="V256" i="60"/>
  <c r="V255" i="60"/>
  <c r="AC257" i="60"/>
  <c r="S258" i="60"/>
  <c r="U257" i="60"/>
  <c r="T256" i="60"/>
  <c r="H255" i="60"/>
  <c r="R258" i="60"/>
  <c r="T257" i="60"/>
  <c r="N256" i="60"/>
  <c r="X254" i="60"/>
  <c r="P258" i="60"/>
  <c r="R257" i="60"/>
  <c r="L256" i="60"/>
  <c r="P254" i="60"/>
  <c r="J258" i="60"/>
  <c r="M257" i="60"/>
  <c r="AD255" i="60"/>
  <c r="Z253" i="60"/>
  <c r="H258" i="60"/>
  <c r="X255" i="60"/>
  <c r="R253" i="60"/>
  <c r="X258" i="60"/>
  <c r="AA258" i="60"/>
  <c r="AB257" i="60"/>
  <c r="AB256" i="60"/>
  <c r="P255" i="60"/>
  <c r="F255" i="60"/>
  <c r="J257" i="60"/>
  <c r="F256" i="60"/>
  <c r="E257" i="60"/>
  <c r="H254" i="60"/>
  <c r="K258" i="60"/>
  <c r="J253" i="60"/>
  <c r="W259" i="60"/>
  <c r="AD259" i="60"/>
  <c r="V259" i="60"/>
  <c r="N259" i="60"/>
  <c r="W258" i="60"/>
  <c r="O258" i="60"/>
  <c r="G258" i="60"/>
  <c r="Y257" i="60"/>
  <c r="Q257" i="60"/>
  <c r="I257" i="60"/>
  <c r="AA256" i="60"/>
  <c r="S256" i="60"/>
  <c r="K256" i="60"/>
  <c r="AC255" i="60"/>
  <c r="U255" i="60"/>
  <c r="M255" i="60"/>
  <c r="E255" i="60"/>
  <c r="W254" i="60"/>
  <c r="O254" i="60"/>
  <c r="G254" i="60"/>
  <c r="Y253" i="60"/>
  <c r="Q253" i="60"/>
  <c r="I253" i="60"/>
  <c r="G259" i="60"/>
  <c r="AC259" i="60"/>
  <c r="U259" i="60"/>
  <c r="M259" i="60"/>
  <c r="AD258" i="60"/>
  <c r="V258" i="60"/>
  <c r="N258" i="60"/>
  <c r="F258" i="60"/>
  <c r="X257" i="60"/>
  <c r="P257" i="60"/>
  <c r="H257" i="60"/>
  <c r="Z256" i="60"/>
  <c r="R256" i="60"/>
  <c r="J256" i="60"/>
  <c r="AB255" i="60"/>
  <c r="T255" i="60"/>
  <c r="L255" i="60"/>
  <c r="AD254" i="60"/>
  <c r="V254" i="60"/>
  <c r="N254" i="60"/>
  <c r="F254" i="60"/>
  <c r="X253" i="60"/>
  <c r="P253" i="60"/>
  <c r="H253"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O259" i="60"/>
  <c r="AA259" i="60"/>
  <c r="S259" i="60"/>
  <c r="K259" i="60"/>
  <c r="AB258" i="60"/>
  <c r="T258" i="60"/>
  <c r="L258" i="60"/>
  <c r="AD257" i="60"/>
  <c r="V257" i="60"/>
  <c r="N257" i="60"/>
  <c r="F257" i="60"/>
  <c r="X256" i="60"/>
  <c r="P256" i="60"/>
  <c r="H256" i="60"/>
  <c r="Z255" i="60"/>
  <c r="R255" i="60"/>
  <c r="J255" i="60"/>
  <c r="AB254" i="60"/>
  <c r="T254" i="60"/>
  <c r="L254" i="60"/>
  <c r="E253" i="60"/>
  <c r="Z259" i="60"/>
  <c r="R259" i="60"/>
  <c r="J259" i="60"/>
  <c r="W256" i="60"/>
  <c r="O256" i="60"/>
  <c r="G256" i="60"/>
  <c r="Y255" i="60"/>
  <c r="Q255" i="60"/>
  <c r="I255" i="60"/>
  <c r="AA254" i="60"/>
  <c r="S254" i="60"/>
  <c r="K254" i="60"/>
  <c r="AC253" i="60"/>
  <c r="U253" i="60"/>
  <c r="M253" i="60"/>
  <c r="Y259" i="60"/>
  <c r="Q259" i="60"/>
  <c r="I259" i="60"/>
  <c r="Z258" i="60"/>
  <c r="F253" i="60"/>
  <c r="Y258" i="60"/>
  <c r="Q258" i="60"/>
  <c r="I258" i="60"/>
  <c r="AA257" i="60"/>
  <c r="S257" i="60"/>
  <c r="K257" i="60"/>
  <c r="G208" i="60"/>
  <c r="T204" i="60"/>
  <c r="E208" i="60"/>
  <c r="D197" i="60"/>
  <c r="J205" i="60"/>
  <c r="W207" i="60"/>
  <c r="Z206" i="60"/>
  <c r="P206" i="60"/>
  <c r="AC208" i="60"/>
  <c r="R205" i="60"/>
  <c r="N209" i="60"/>
  <c r="P208" i="60"/>
  <c r="R207" i="60"/>
  <c r="J206" i="60"/>
  <c r="E205" i="60"/>
  <c r="F207" i="60"/>
  <c r="F204" i="60"/>
  <c r="Q210" i="60"/>
  <c r="M209" i="60"/>
  <c r="O208" i="60"/>
  <c r="O207" i="60"/>
  <c r="H206" i="60"/>
  <c r="AD204" i="60"/>
  <c r="AD209" i="60"/>
  <c r="M208" i="60"/>
  <c r="J207" i="60"/>
  <c r="AC205" i="60"/>
  <c r="AB204" i="60"/>
  <c r="AC209" i="60"/>
  <c r="F209" i="60"/>
  <c r="H208" i="60"/>
  <c r="G207" i="60"/>
  <c r="Z205" i="60"/>
  <c r="V204" i="60"/>
  <c r="V209" i="60"/>
  <c r="X206" i="60"/>
  <c r="N204" i="60"/>
  <c r="U209" i="60"/>
  <c r="X208" i="60"/>
  <c r="Z207" i="60"/>
  <c r="R206" i="60"/>
  <c r="M205" i="60"/>
  <c r="L204" i="60"/>
  <c r="Y210" i="60"/>
  <c r="X210" i="60"/>
  <c r="P210" i="60"/>
  <c r="H210" i="60"/>
  <c r="Z209" i="60"/>
  <c r="R209" i="60"/>
  <c r="J209" i="60"/>
  <c r="AB208" i="60"/>
  <c r="T208" i="60"/>
  <c r="L208" i="60"/>
  <c r="AD207" i="60"/>
  <c r="V207" i="60"/>
  <c r="N207" i="60"/>
  <c r="E207" i="60"/>
  <c r="W206" i="60"/>
  <c r="O206" i="60"/>
  <c r="G206" i="60"/>
  <c r="Y205" i="60"/>
  <c r="Q205" i="60"/>
  <c r="I205" i="60"/>
  <c r="AA204" i="60"/>
  <c r="S204" i="60"/>
  <c r="K204" i="60"/>
  <c r="W210" i="60"/>
  <c r="O210" i="60"/>
  <c r="G210" i="60"/>
  <c r="Y209" i="60"/>
  <c r="Q209" i="60"/>
  <c r="I209" i="60"/>
  <c r="AA208" i="60"/>
  <c r="S208" i="60"/>
  <c r="K208" i="60"/>
  <c r="AC207" i="60"/>
  <c r="U207" i="60"/>
  <c r="M207" i="60"/>
  <c r="AD206" i="60"/>
  <c r="V206" i="60"/>
  <c r="N206" i="60"/>
  <c r="F206" i="60"/>
  <c r="X205" i="60"/>
  <c r="P205" i="60"/>
  <c r="H205" i="60"/>
  <c r="Z204" i="60"/>
  <c r="R204" i="60"/>
  <c r="J204" i="60"/>
  <c r="AD210" i="60"/>
  <c r="V210" i="60"/>
  <c r="N210" i="60"/>
  <c r="F210" i="60"/>
  <c r="X209" i="60"/>
  <c r="P209" i="60"/>
  <c r="H209" i="60"/>
  <c r="Z208" i="60"/>
  <c r="R208" i="60"/>
  <c r="J208" i="60"/>
  <c r="AB207" i="60"/>
  <c r="T207" i="60"/>
  <c r="L207" i="60"/>
  <c r="AC206" i="60"/>
  <c r="U206" i="60"/>
  <c r="M206" i="60"/>
  <c r="E206" i="60"/>
  <c r="W205" i="60"/>
  <c r="O205" i="60"/>
  <c r="G205" i="60"/>
  <c r="Y204" i="60"/>
  <c r="Y211" i="60" s="1"/>
  <c r="Q204" i="60"/>
  <c r="I204" i="60"/>
  <c r="I211" i="60" s="1"/>
  <c r="AC210" i="60"/>
  <c r="U210" i="60"/>
  <c r="M210" i="60"/>
  <c r="E210" i="60"/>
  <c r="W209" i="60"/>
  <c r="O209" i="60"/>
  <c r="G209" i="60"/>
  <c r="Y208" i="60"/>
  <c r="Q208" i="60"/>
  <c r="I208" i="60"/>
  <c r="AA207" i="60"/>
  <c r="S207" i="60"/>
  <c r="K207" i="60"/>
  <c r="AB206" i="60"/>
  <c r="T206" i="60"/>
  <c r="L206" i="60"/>
  <c r="AD205" i="60"/>
  <c r="V205" i="60"/>
  <c r="N205" i="60"/>
  <c r="F205" i="60"/>
  <c r="X204" i="60"/>
  <c r="P204" i="60"/>
  <c r="H204" i="60"/>
  <c r="AB210" i="60"/>
  <c r="T210" i="60"/>
  <c r="L210" i="60"/>
  <c r="AA206" i="60"/>
  <c r="S206" i="60"/>
  <c r="K206" i="60"/>
  <c r="W204" i="60"/>
  <c r="AA210" i="60"/>
  <c r="S210" i="60"/>
  <c r="K210" i="60"/>
  <c r="Y207" i="60"/>
  <c r="Q207" i="60"/>
  <c r="I207" i="60"/>
  <c r="AB205" i="60"/>
  <c r="T205" i="60"/>
  <c r="L205" i="60"/>
  <c r="AA205" i="60"/>
  <c r="S205" i="60"/>
  <c r="K205" i="60"/>
  <c r="D146" i="60"/>
  <c r="AD150"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49" i="60"/>
  <c r="D148" i="60"/>
  <c r="D147" i="60"/>
  <c r="D145" i="60"/>
  <c r="D144" i="60"/>
  <c r="D143" i="60"/>
  <c r="E103" i="60"/>
  <c r="D97" i="60"/>
  <c r="D98" i="60"/>
  <c r="D99" i="60"/>
  <c r="D100" i="60"/>
  <c r="D101" i="60"/>
  <c r="D102" i="60"/>
  <c r="D96" i="60"/>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AD95" i="60"/>
  <c r="AD109" i="60" s="1"/>
  <c r="AD122" i="60" s="1"/>
  <c r="AD135" i="60" s="1"/>
  <c r="AD142" i="60" s="1"/>
  <c r="AD156" i="60" s="1"/>
  <c r="AD169" i="60" s="1"/>
  <c r="AD181" i="60" s="1"/>
  <c r="AD189" i="60" s="1"/>
  <c r="AD203" i="60" s="1"/>
  <c r="AD216" i="60" s="1"/>
  <c r="AD229" i="60" s="1"/>
  <c r="AD238" i="60" s="1"/>
  <c r="AD252" i="60" s="1"/>
  <c r="AD265" i="60" s="1"/>
  <c r="AD278" i="60" s="1"/>
  <c r="AD286" i="60" s="1"/>
  <c r="AD300" i="60" s="1"/>
  <c r="AD313" i="60" s="1"/>
  <c r="AD326" i="60" s="1"/>
  <c r="AD334" i="60" s="1"/>
  <c r="AD348" i="60" s="1"/>
  <c r="AD361" i="60" s="1"/>
  <c r="AD374" i="60" s="1"/>
  <c r="AD382" i="60" s="1"/>
  <c r="AD396" i="60" s="1"/>
  <c r="AD409" i="60" s="1"/>
  <c r="AD422" i="60" s="1"/>
  <c r="AD430" i="60" s="1"/>
  <c r="AD444" i="60" s="1"/>
  <c r="AD457" i="60" s="1"/>
  <c r="AD470" i="60" s="1"/>
  <c r="AD478" i="60" s="1"/>
  <c r="AD492" i="60" s="1"/>
  <c r="AD505" i="60" s="1"/>
  <c r="AD518" i="60" s="1"/>
  <c r="AD526" i="60" s="1"/>
  <c r="AD540" i="60" s="1"/>
  <c r="AD553" i="60" s="1"/>
  <c r="AD566" i="60" s="1"/>
  <c r="AD574" i="60" s="1"/>
  <c r="AD588" i="60" s="1"/>
  <c r="AD601" i="60" s="1"/>
  <c r="AD614" i="60" s="1"/>
  <c r="AD622" i="60" s="1"/>
  <c r="AD636" i="60" s="1"/>
  <c r="AD649" i="60" s="1"/>
  <c r="AD662" i="60" s="1"/>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AD103" i="60"/>
  <c r="E246" i="43"/>
  <c r="O246" i="43"/>
  <c r="P596" i="60" l="1"/>
  <c r="AD615" i="60"/>
  <c r="AD61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52" i="60"/>
  <c r="G356" i="60"/>
  <c r="AD596" i="60"/>
  <c r="Z404" i="60"/>
  <c r="V615" i="60"/>
  <c r="V616" i="60" s="1"/>
  <c r="W18" i="60" s="1"/>
  <c r="W53" i="60" s="1"/>
  <c r="D355" i="60"/>
  <c r="E404" i="60"/>
  <c r="H644" i="60"/>
  <c r="T644" i="60"/>
  <c r="Y567" i="60"/>
  <c r="Y568" i="60" s="1"/>
  <c r="Z17" i="60" s="1"/>
  <c r="Z52" i="60" s="1"/>
  <c r="M548" i="60"/>
  <c r="N356" i="60"/>
  <c r="F615" i="60"/>
  <c r="F616" i="60" s="1"/>
  <c r="G18" i="60" s="1"/>
  <c r="G53" i="60" s="1"/>
  <c r="U404" i="60"/>
  <c r="AB615" i="60"/>
  <c r="AB616" i="60" s="1"/>
  <c r="AC18" i="60" s="1"/>
  <c r="AC53" i="60" s="1"/>
  <c r="E644" i="60"/>
  <c r="F663" i="60"/>
  <c r="F664" i="60" s="1"/>
  <c r="G19" i="60" s="1"/>
  <c r="G54" i="60" s="1"/>
  <c r="F423" i="60"/>
  <c r="F424" i="60" s="1"/>
  <c r="G14" i="60" s="1"/>
  <c r="G49" i="60" s="1"/>
  <c r="K404" i="60"/>
  <c r="N423" i="60"/>
  <c r="N424" i="60" s="1"/>
  <c r="O14" i="60" s="1"/>
  <c r="O49" i="60" s="1"/>
  <c r="Q471" i="60"/>
  <c r="Q472" i="60" s="1"/>
  <c r="R15" i="60" s="1"/>
  <c r="R50" i="60" s="1"/>
  <c r="AB404" i="60"/>
  <c r="I404" i="60"/>
  <c r="N596" i="60"/>
  <c r="I596" i="60"/>
  <c r="W615" i="60"/>
  <c r="W616" i="60" s="1"/>
  <c r="X18" i="60" s="1"/>
  <c r="X53" i="60" s="1"/>
  <c r="S279" i="60"/>
  <c r="S280" i="60" s="1"/>
  <c r="T11" i="60" s="1"/>
  <c r="T46" i="60" s="1"/>
  <c r="Q279" i="60"/>
  <c r="Q280" i="60" s="1"/>
  <c r="R11" i="60" s="1"/>
  <c r="R46" i="60" s="1"/>
  <c r="J356" i="60"/>
  <c r="AC548" i="60"/>
  <c r="M663" i="60"/>
  <c r="M664" i="60" s="1"/>
  <c r="N19" i="60" s="1"/>
  <c r="N54" i="60" s="1"/>
  <c r="R452" i="60"/>
  <c r="G308" i="60"/>
  <c r="S327" i="60"/>
  <c r="S328" i="60" s="1"/>
  <c r="T12" i="60" s="1"/>
  <c r="T47" i="60" s="1"/>
  <c r="AA500" i="60"/>
  <c r="AC567" i="60"/>
  <c r="AC568" i="60" s="1"/>
  <c r="AD17" i="60" s="1"/>
  <c r="AD52" i="60" s="1"/>
  <c r="H423" i="60"/>
  <c r="H424" i="60" s="1"/>
  <c r="I14" i="60" s="1"/>
  <c r="I49" i="60" s="1"/>
  <c r="L452" i="60"/>
  <c r="J596" i="60"/>
  <c r="AC423" i="60"/>
  <c r="AC424" i="60" s="1"/>
  <c r="AD14" i="60" s="1"/>
  <c r="AD49" i="60" s="1"/>
  <c r="AA404" i="60"/>
  <c r="U423" i="60"/>
  <c r="U424" i="60" s="1"/>
  <c r="V14" i="60" s="1"/>
  <c r="V49" i="60" s="1"/>
  <c r="I644" i="60"/>
  <c r="AB596" i="60"/>
  <c r="P615" i="60"/>
  <c r="P616" i="60" s="1"/>
  <c r="Q18" i="60" s="1"/>
  <c r="Q53" i="60" s="1"/>
  <c r="L644" i="60"/>
  <c r="K644" i="60"/>
  <c r="F471" i="60"/>
  <c r="F472" i="60" s="1"/>
  <c r="G15" i="60" s="1"/>
  <c r="G50" i="60" s="1"/>
  <c r="M404" i="60"/>
  <c r="K615" i="60"/>
  <c r="K616" i="60" s="1"/>
  <c r="L18" i="60" s="1"/>
  <c r="L53" i="60" s="1"/>
  <c r="S615" i="60"/>
  <c r="S616" i="60" s="1"/>
  <c r="T18" i="60" s="1"/>
  <c r="T53" i="60" s="1"/>
  <c r="Q404" i="60"/>
  <c r="X404" i="60"/>
  <c r="O519" i="60"/>
  <c r="O520" i="60" s="1"/>
  <c r="P16" i="60" s="1"/>
  <c r="P51" i="60" s="1"/>
  <c r="L519" i="60"/>
  <c r="L520" i="60" s="1"/>
  <c r="M16" i="60" s="1"/>
  <c r="M51" i="60" s="1"/>
  <c r="G644" i="60"/>
  <c r="F404" i="60"/>
  <c r="Q452" i="60"/>
  <c r="AC356" i="60"/>
  <c r="H356" i="60"/>
  <c r="F500" i="60"/>
  <c r="I519" i="60"/>
  <c r="I520" i="60" s="1"/>
  <c r="J16" i="60" s="1"/>
  <c r="J51" i="60" s="1"/>
  <c r="S519" i="60"/>
  <c r="S520" i="60" s="1"/>
  <c r="T16" i="60" s="1"/>
  <c r="T51" i="60" s="1"/>
  <c r="U663" i="60"/>
  <c r="U664" i="60" s="1"/>
  <c r="V19" i="60" s="1"/>
  <c r="V54" i="60" s="1"/>
  <c r="O596" i="60"/>
  <c r="Y615" i="60"/>
  <c r="Y616" i="60" s="1"/>
  <c r="Z18" i="60" s="1"/>
  <c r="Z53" i="60" s="1"/>
  <c r="Y663" i="60"/>
  <c r="Y664" i="60" s="1"/>
  <c r="Z19" i="60" s="1"/>
  <c r="Z54" i="60" s="1"/>
  <c r="L615" i="60"/>
  <c r="L616" i="60" s="1"/>
  <c r="M18" i="60" s="1"/>
  <c r="M53" i="60" s="1"/>
  <c r="AD452" i="60"/>
  <c r="R423" i="60"/>
  <c r="R424" i="60" s="1"/>
  <c r="S14" i="60" s="1"/>
  <c r="S49" i="60" s="1"/>
  <c r="AD423" i="60"/>
  <c r="AD424" i="60" s="1"/>
  <c r="AE14" i="60" s="1"/>
  <c r="AE49" i="60" s="1"/>
  <c r="Y308" i="60"/>
  <c r="T327" i="60"/>
  <c r="T328" i="60" s="1"/>
  <c r="U12" i="60" s="1"/>
  <c r="U47" i="60" s="1"/>
  <c r="AC404" i="60"/>
  <c r="K423" i="60"/>
  <c r="K424" i="60" s="1"/>
  <c r="L14" i="60" s="1"/>
  <c r="L49" i="60" s="1"/>
  <c r="U500" i="60"/>
  <c r="S596" i="60"/>
  <c r="AC644" i="60"/>
  <c r="T615" i="60"/>
  <c r="T616" i="60" s="1"/>
  <c r="U18" i="60" s="1"/>
  <c r="U53" i="60" s="1"/>
  <c r="W596" i="60"/>
  <c r="Q644" i="60"/>
  <c r="H596" i="60"/>
  <c r="N644" i="60"/>
  <c r="F452" i="60"/>
  <c r="W404" i="60"/>
  <c r="M356" i="60"/>
  <c r="AB327" i="60"/>
  <c r="AB328" i="60" s="1"/>
  <c r="AC12" i="60" s="1"/>
  <c r="AC47" i="60" s="1"/>
  <c r="AA327" i="60"/>
  <c r="AA328" i="60" s="1"/>
  <c r="AB12" i="60" s="1"/>
  <c r="AB47" i="60" s="1"/>
  <c r="Z308" i="60"/>
  <c r="W567" i="60"/>
  <c r="W568" i="60" s="1"/>
  <c r="X17" i="60" s="1"/>
  <c r="X52" i="60" s="1"/>
  <c r="Z548" i="60"/>
  <c r="O567" i="60"/>
  <c r="O568" i="60" s="1"/>
  <c r="P17" i="60" s="1"/>
  <c r="P52" i="60" s="1"/>
  <c r="U567" i="60"/>
  <c r="U568" i="60" s="1"/>
  <c r="V17" i="60" s="1"/>
  <c r="V52" i="60" s="1"/>
  <c r="AA663" i="60"/>
  <c r="AA664" i="60" s="1"/>
  <c r="AB19" i="60" s="1"/>
  <c r="AB54" i="60" s="1"/>
  <c r="Y404" i="60"/>
  <c r="S423" i="60"/>
  <c r="S424" i="60" s="1"/>
  <c r="T14" i="60" s="1"/>
  <c r="T49" i="60" s="1"/>
  <c r="I327" i="60"/>
  <c r="I328" i="60" s="1"/>
  <c r="J12" i="60" s="1"/>
  <c r="J47" i="60" s="1"/>
  <c r="D349" i="60"/>
  <c r="AC375" i="60"/>
  <c r="AC376" i="60" s="1"/>
  <c r="AD13" i="60" s="1"/>
  <c r="AD48" i="60" s="1"/>
  <c r="R356" i="60"/>
  <c r="AA423" i="60"/>
  <c r="AA424" i="60" s="1"/>
  <c r="AB14" i="60" s="1"/>
  <c r="AB49" i="60" s="1"/>
  <c r="AD567" i="60"/>
  <c r="AD568" i="60" s="1"/>
  <c r="AE17" i="60" s="1"/>
  <c r="AE52" i="60" s="1"/>
  <c r="E548" i="60"/>
  <c r="N567" i="60"/>
  <c r="N568" i="60" s="1"/>
  <c r="O17" i="60" s="1"/>
  <c r="O52" i="60" s="1"/>
  <c r="AB548" i="60"/>
  <c r="P548" i="60"/>
  <c r="Q548" i="60"/>
  <c r="F548" i="60"/>
  <c r="U596" i="60"/>
  <c r="O644" i="60"/>
  <c r="G596" i="60"/>
  <c r="S644" i="60"/>
  <c r="AA452" i="60"/>
  <c r="K327" i="60"/>
  <c r="K328" i="60" s="1"/>
  <c r="L12" i="60" s="1"/>
  <c r="L47" i="60" s="1"/>
  <c r="U279" i="60"/>
  <c r="U280" i="60" s="1"/>
  <c r="V11" i="60" s="1"/>
  <c r="V46" i="60" s="1"/>
  <c r="Z356" i="60"/>
  <c r="O356" i="60"/>
  <c r="H404" i="60"/>
  <c r="AA567" i="60"/>
  <c r="AA568" i="60" s="1"/>
  <c r="AB17" i="60" s="1"/>
  <c r="AB52" i="60" s="1"/>
  <c r="K567" i="60"/>
  <c r="K568" i="60" s="1"/>
  <c r="L17" i="60" s="1"/>
  <c r="L52" i="60" s="1"/>
  <c r="F596" i="60"/>
  <c r="F644" i="60"/>
  <c r="AB644" i="60"/>
  <c r="N615" i="60"/>
  <c r="N616" i="60" s="1"/>
  <c r="O18" i="60" s="1"/>
  <c r="O53" i="60" s="1"/>
  <c r="X596" i="60"/>
  <c r="T423" i="60"/>
  <c r="T424" i="60" s="1"/>
  <c r="U14" i="60" s="1"/>
  <c r="U49" i="60" s="1"/>
  <c r="U452" i="60"/>
  <c r="J615" i="60"/>
  <c r="J616" i="60" s="1"/>
  <c r="K18" i="60" s="1"/>
  <c r="K53" i="60" s="1"/>
  <c r="K519" i="60"/>
  <c r="K520" i="60" s="1"/>
  <c r="L16" i="60" s="1"/>
  <c r="L51" i="60" s="1"/>
  <c r="D593" i="60"/>
  <c r="AA356" i="60"/>
  <c r="F356" i="60"/>
  <c r="T375" i="60"/>
  <c r="T376" i="60" s="1"/>
  <c r="U13" i="60" s="1"/>
  <c r="U48" i="60" s="1"/>
  <c r="I356" i="60"/>
  <c r="R471" i="60"/>
  <c r="R472" i="60" s="1"/>
  <c r="S15" i="60" s="1"/>
  <c r="S50" i="60" s="1"/>
  <c r="E519" i="60"/>
  <c r="E520" i="60" s="1"/>
  <c r="F16" i="60" s="1"/>
  <c r="F51" i="60" s="1"/>
  <c r="H567" i="60"/>
  <c r="H568" i="60" s="1"/>
  <c r="I17" i="60" s="1"/>
  <c r="I52" i="60" s="1"/>
  <c r="N663" i="60"/>
  <c r="N664" i="60" s="1"/>
  <c r="O19" i="60" s="1"/>
  <c r="O54" i="60" s="1"/>
  <c r="I615" i="60"/>
  <c r="I616" i="60" s="1"/>
  <c r="J18" i="60" s="1"/>
  <c r="J53" i="60" s="1"/>
  <c r="U615" i="60"/>
  <c r="U616" i="60" s="1"/>
  <c r="V18" i="60" s="1"/>
  <c r="V53" i="60" s="1"/>
  <c r="E596" i="60"/>
  <c r="E663" i="60"/>
  <c r="E664" i="60" s="1"/>
  <c r="F19" i="60" s="1"/>
  <c r="F54" i="60" s="1"/>
  <c r="V596" i="60"/>
  <c r="P644" i="60"/>
  <c r="R663" i="60"/>
  <c r="R664" i="60" s="1"/>
  <c r="S19" i="60" s="1"/>
  <c r="S54" i="60" s="1"/>
  <c r="X423" i="60"/>
  <c r="X424" i="60" s="1"/>
  <c r="Y14" i="60" s="1"/>
  <c r="Y49" i="60" s="1"/>
  <c r="R404" i="60"/>
  <c r="D591" i="60"/>
  <c r="N375" i="60"/>
  <c r="N376" i="60" s="1"/>
  <c r="O13" i="60" s="1"/>
  <c r="O48" i="60" s="1"/>
  <c r="R375" i="60"/>
  <c r="R376" i="60" s="1"/>
  <c r="S13" i="60" s="1"/>
  <c r="S48" i="60" s="1"/>
  <c r="K279" i="60"/>
  <c r="K280" i="60" s="1"/>
  <c r="L11" i="60" s="1"/>
  <c r="L46" i="60" s="1"/>
  <c r="T279" i="60"/>
  <c r="T280" i="60" s="1"/>
  <c r="U11" i="60" s="1"/>
  <c r="U46" i="60" s="1"/>
  <c r="Y375" i="60"/>
  <c r="Y376" i="60" s="1"/>
  <c r="Z13" i="60" s="1"/>
  <c r="Z48" i="60" s="1"/>
  <c r="N404" i="60"/>
  <c r="E567" i="60"/>
  <c r="E568" i="60" s="1"/>
  <c r="F17" i="60" s="1"/>
  <c r="F52" i="60" s="1"/>
  <c r="V663" i="60"/>
  <c r="V664" i="60" s="1"/>
  <c r="W19" i="60" s="1"/>
  <c r="W54" i="60" s="1"/>
  <c r="Q615" i="60"/>
  <c r="Q616" i="60" s="1"/>
  <c r="R18" i="60" s="1"/>
  <c r="R53" i="60" s="1"/>
  <c r="AC615" i="60"/>
  <c r="AC616" i="60" s="1"/>
  <c r="AD18" i="60" s="1"/>
  <c r="AD53" i="60" s="1"/>
  <c r="M596" i="60"/>
  <c r="M644" i="60"/>
  <c r="W644" i="60"/>
  <c r="K663" i="60"/>
  <c r="K664" i="60" s="1"/>
  <c r="L19" i="60" s="1"/>
  <c r="L54" i="60" s="1"/>
  <c r="Z615" i="60"/>
  <c r="Z616" i="60" s="1"/>
  <c r="AA18" i="60" s="1"/>
  <c r="AA53" i="60" s="1"/>
  <c r="AA615" i="60"/>
  <c r="AA616" i="60" s="1"/>
  <c r="AB18" i="60" s="1"/>
  <c r="AB53" i="60" s="1"/>
  <c r="T567" i="60"/>
  <c r="T568" i="60" s="1"/>
  <c r="U17" i="60" s="1"/>
  <c r="U52" i="60" s="1"/>
  <c r="J452" i="60"/>
  <c r="Z423" i="60"/>
  <c r="Z424" i="60" s="1"/>
  <c r="AA14" i="60" s="1"/>
  <c r="AA49" i="60" s="1"/>
  <c r="L423" i="60"/>
  <c r="L424" i="60" s="1"/>
  <c r="M14" i="60" s="1"/>
  <c r="M49" i="60" s="1"/>
  <c r="J423" i="60"/>
  <c r="J424" i="60" s="1"/>
  <c r="K14" i="60" s="1"/>
  <c r="K49" i="60" s="1"/>
  <c r="V423" i="60"/>
  <c r="V424" i="60" s="1"/>
  <c r="W14" i="60" s="1"/>
  <c r="W49" i="60" s="1"/>
  <c r="P423" i="60"/>
  <c r="P424" i="60" s="1"/>
  <c r="Q14" i="60" s="1"/>
  <c r="Q49" i="60" s="1"/>
  <c r="R615" i="60"/>
  <c r="R616" i="60" s="1"/>
  <c r="S18" i="60" s="1"/>
  <c r="S53" i="60" s="1"/>
  <c r="AC452" i="60"/>
  <c r="G160" i="60"/>
  <c r="H187" i="59"/>
  <c r="J9" i="59" s="1"/>
  <c r="W160" i="60"/>
  <c r="X187" i="59"/>
  <c r="Z9" i="59" s="1"/>
  <c r="H160" i="60"/>
  <c r="I187" i="59"/>
  <c r="K9" i="59" s="1"/>
  <c r="R279" i="60"/>
  <c r="R280" i="60" s="1"/>
  <c r="S11" i="60" s="1"/>
  <c r="S46" i="60" s="1"/>
  <c r="O500" i="60"/>
  <c r="H663" i="60"/>
  <c r="H664" i="60" s="1"/>
  <c r="I19" i="60" s="1"/>
  <c r="I54" i="60" s="1"/>
  <c r="E159" i="60"/>
  <c r="F187" i="59"/>
  <c r="H9" i="59" s="1"/>
  <c r="M158" i="60"/>
  <c r="N187" i="59"/>
  <c r="P9" i="59" s="1"/>
  <c r="U158" i="60"/>
  <c r="V187" i="59"/>
  <c r="X9" i="59" s="1"/>
  <c r="AC158" i="60"/>
  <c r="AD187" i="59"/>
  <c r="AF9" i="59" s="1"/>
  <c r="O308" i="60"/>
  <c r="AA375" i="60"/>
  <c r="AA376" i="60" s="1"/>
  <c r="AB13" i="60" s="1"/>
  <c r="AB48" i="60" s="1"/>
  <c r="W356" i="60"/>
  <c r="S356" i="60"/>
  <c r="H375" i="60"/>
  <c r="H376" i="60" s="1"/>
  <c r="I13" i="60" s="1"/>
  <c r="I48" i="60" s="1"/>
  <c r="V404" i="60"/>
  <c r="T404" i="60"/>
  <c r="I423" i="60"/>
  <c r="I424" i="60" s="1"/>
  <c r="J14" i="60" s="1"/>
  <c r="J49" i="60" s="1"/>
  <c r="H519" i="60"/>
  <c r="H520" i="60" s="1"/>
  <c r="I16" i="60" s="1"/>
  <c r="I51" i="60" s="1"/>
  <c r="P500" i="60"/>
  <c r="Y519" i="60"/>
  <c r="Y520" i="60" s="1"/>
  <c r="Z16" i="60" s="1"/>
  <c r="Z51" i="60" s="1"/>
  <c r="AD519" i="60"/>
  <c r="AD520" i="60" s="1"/>
  <c r="AE16" i="60" s="1"/>
  <c r="AE51" i="60" s="1"/>
  <c r="W548" i="60"/>
  <c r="Y596" i="60"/>
  <c r="M615" i="60"/>
  <c r="M616" i="60" s="1"/>
  <c r="N18" i="60" s="1"/>
  <c r="N53" i="60" s="1"/>
  <c r="Z596" i="60"/>
  <c r="H615" i="60"/>
  <c r="H616" i="60" s="1"/>
  <c r="I18" i="60" s="1"/>
  <c r="I53" i="60" s="1"/>
  <c r="AA644" i="60"/>
  <c r="U644" i="60"/>
  <c r="I663" i="60"/>
  <c r="I664" i="60" s="1"/>
  <c r="J19" i="60" s="1"/>
  <c r="J54" i="60" s="1"/>
  <c r="T663" i="60"/>
  <c r="T664" i="60" s="1"/>
  <c r="U19" i="60" s="1"/>
  <c r="U54" i="60" s="1"/>
  <c r="S663" i="60"/>
  <c r="S664" i="60" s="1"/>
  <c r="T19" i="60" s="1"/>
  <c r="T54" i="60" s="1"/>
  <c r="O160" i="60"/>
  <c r="P187" i="59"/>
  <c r="R9" i="59" s="1"/>
  <c r="R327" i="60"/>
  <c r="R328" i="60" s="1"/>
  <c r="S12" i="60" s="1"/>
  <c r="S47" i="60" s="1"/>
  <c r="Q423" i="60"/>
  <c r="Q424" i="60" s="1"/>
  <c r="R14" i="60" s="1"/>
  <c r="R49" i="60" s="1"/>
  <c r="F157" i="60"/>
  <c r="G187" i="59"/>
  <c r="I9" i="59" s="1"/>
  <c r="N157" i="60"/>
  <c r="O187" i="59"/>
  <c r="Q9" i="59" s="1"/>
  <c r="V157" i="60"/>
  <c r="W187" i="59"/>
  <c r="Y9" i="59" s="1"/>
  <c r="AD157" i="60"/>
  <c r="AE187" i="59"/>
  <c r="AG9" i="59" s="1"/>
  <c r="AB279" i="60"/>
  <c r="AB280" i="60" s="1"/>
  <c r="AC11" i="60" s="1"/>
  <c r="AC46" i="60" s="1"/>
  <c r="AC279" i="60"/>
  <c r="AC280" i="60" s="1"/>
  <c r="AD11" i="60" s="1"/>
  <c r="AD46" i="60" s="1"/>
  <c r="W327" i="60"/>
  <c r="W328" i="60" s="1"/>
  <c r="X12" i="60" s="1"/>
  <c r="X47" i="60" s="1"/>
  <c r="L327" i="60"/>
  <c r="L328" i="60" s="1"/>
  <c r="M12" i="60" s="1"/>
  <c r="M47" i="60" s="1"/>
  <c r="Y356" i="60"/>
  <c r="D353" i="60"/>
  <c r="Z375" i="60"/>
  <c r="Z376" i="60" s="1"/>
  <c r="AA13" i="60" s="1"/>
  <c r="AA48" i="60" s="1"/>
  <c r="L404" i="60"/>
  <c r="P192" i="59"/>
  <c r="R14" i="59" s="1"/>
  <c r="O399" i="60"/>
  <c r="O403" i="60"/>
  <c r="O400" i="60"/>
  <c r="O397" i="60"/>
  <c r="O398" i="60"/>
  <c r="O402" i="60"/>
  <c r="O401" i="60"/>
  <c r="AB423" i="60"/>
  <c r="AB424" i="60" s="1"/>
  <c r="AC14" i="60" s="1"/>
  <c r="AC49" i="60" s="1"/>
  <c r="E500" i="60"/>
  <c r="P519" i="60"/>
  <c r="P520" i="60" s="1"/>
  <c r="Q16" i="60" s="1"/>
  <c r="Q51" i="60" s="1"/>
  <c r="X500" i="60"/>
  <c r="AD548" i="60"/>
  <c r="V567" i="60"/>
  <c r="V568" i="60" s="1"/>
  <c r="W17" i="60" s="1"/>
  <c r="W52" i="60" s="1"/>
  <c r="Y548" i="60"/>
  <c r="T548" i="60"/>
  <c r="I567" i="60"/>
  <c r="I568" i="60" s="1"/>
  <c r="J17" i="60" s="1"/>
  <c r="J52" i="60" s="1"/>
  <c r="M567" i="60"/>
  <c r="M568" i="60" s="1"/>
  <c r="N17" i="60" s="1"/>
  <c r="N52" i="60" s="1"/>
  <c r="AA548" i="60"/>
  <c r="Q596" i="60"/>
  <c r="T596" i="60"/>
  <c r="E615" i="60"/>
  <c r="E616" i="60" s="1"/>
  <c r="F18" i="60" s="1"/>
  <c r="F53" i="60" s="1"/>
  <c r="R596" i="60"/>
  <c r="K596" i="60"/>
  <c r="Q663" i="60"/>
  <c r="Q664" i="60" s="1"/>
  <c r="R19" i="60" s="1"/>
  <c r="R54" i="60" s="1"/>
  <c r="AB663" i="60"/>
  <c r="AB664" i="60" s="1"/>
  <c r="AC19" i="60" s="1"/>
  <c r="AC54" i="60" s="1"/>
  <c r="D594" i="60"/>
  <c r="F279" i="60"/>
  <c r="F280" i="60" s="1"/>
  <c r="G11" i="60" s="1"/>
  <c r="G46" i="60" s="1"/>
  <c r="X160" i="60"/>
  <c r="Y187" i="59"/>
  <c r="AA9" i="59" s="1"/>
  <c r="AD327" i="60"/>
  <c r="AD328" i="60" s="1"/>
  <c r="AE12" i="60" s="1"/>
  <c r="AE47" i="60" s="1"/>
  <c r="P404" i="60"/>
  <c r="R644" i="60"/>
  <c r="D642" i="60"/>
  <c r="D639" i="60"/>
  <c r="I157" i="60"/>
  <c r="J187" i="59"/>
  <c r="L9" i="59" s="1"/>
  <c r="Q157" i="60"/>
  <c r="R187" i="59"/>
  <c r="T9" i="59" s="1"/>
  <c r="Y157" i="60"/>
  <c r="Z187" i="59"/>
  <c r="AB9" i="59" s="1"/>
  <c r="Z279" i="60"/>
  <c r="Z280" i="60" s="1"/>
  <c r="AA11" i="60" s="1"/>
  <c r="AA46" i="60" s="1"/>
  <c r="O279" i="60"/>
  <c r="O280" i="60" s="1"/>
  <c r="P11" i="60" s="1"/>
  <c r="P46" i="60" s="1"/>
  <c r="AA279" i="60"/>
  <c r="AA280" i="60" s="1"/>
  <c r="AB11" i="60" s="1"/>
  <c r="AB46" i="60" s="1"/>
  <c r="X279" i="60"/>
  <c r="X280" i="60" s="1"/>
  <c r="Y11" i="60" s="1"/>
  <c r="Y46" i="60" s="1"/>
  <c r="J279" i="60"/>
  <c r="J280" i="60" s="1"/>
  <c r="K11" i="60" s="1"/>
  <c r="K46" i="60" s="1"/>
  <c r="Y279" i="60"/>
  <c r="Y280" i="60" s="1"/>
  <c r="Z11" i="60" s="1"/>
  <c r="Z46" i="60" s="1"/>
  <c r="U327" i="60"/>
  <c r="U328" i="60" s="1"/>
  <c r="V12" i="60" s="1"/>
  <c r="V47" i="60" s="1"/>
  <c r="Z327" i="60"/>
  <c r="Z328" i="60" s="1"/>
  <c r="AA12" i="60" s="1"/>
  <c r="AA47" i="60" s="1"/>
  <c r="D351" i="60"/>
  <c r="L375" i="60"/>
  <c r="L376" i="60" s="1"/>
  <c r="M13" i="60" s="1"/>
  <c r="M48" i="60" s="1"/>
  <c r="J404" i="60"/>
  <c r="M423" i="60"/>
  <c r="M424" i="60" s="1"/>
  <c r="N14" i="60" s="1"/>
  <c r="N49" i="60" s="1"/>
  <c r="Y423" i="60"/>
  <c r="Y424" i="60" s="1"/>
  <c r="Z14" i="60" s="1"/>
  <c r="Z49" i="60" s="1"/>
  <c r="E193" i="59"/>
  <c r="D451" i="60"/>
  <c r="D445" i="60"/>
  <c r="D446" i="60"/>
  <c r="D448" i="60"/>
  <c r="M519" i="60"/>
  <c r="M520" i="60" s="1"/>
  <c r="N16" i="60" s="1"/>
  <c r="N51" i="60" s="1"/>
  <c r="R500" i="60"/>
  <c r="N519" i="60"/>
  <c r="N520" i="60" s="1"/>
  <c r="O16" i="60" s="1"/>
  <c r="O51" i="60" s="1"/>
  <c r="AB519" i="60"/>
  <c r="AB520" i="60" s="1"/>
  <c r="AC16" i="60" s="1"/>
  <c r="AC51" i="60" s="1"/>
  <c r="U548" i="60"/>
  <c r="J548" i="60"/>
  <c r="R567" i="60"/>
  <c r="R568" i="60" s="1"/>
  <c r="S17" i="60" s="1"/>
  <c r="S52" i="60" s="1"/>
  <c r="G567" i="60"/>
  <c r="G568" i="60" s="1"/>
  <c r="H17" i="60" s="1"/>
  <c r="H52" i="60" s="1"/>
  <c r="S567" i="60"/>
  <c r="S568" i="60" s="1"/>
  <c r="T17" i="60" s="1"/>
  <c r="T52" i="60" s="1"/>
  <c r="AB567" i="60"/>
  <c r="AB568" i="60" s="1"/>
  <c r="AC17" i="60" s="1"/>
  <c r="AC52" i="60" s="1"/>
  <c r="F567" i="60"/>
  <c r="F568" i="60" s="1"/>
  <c r="G17" i="60" s="1"/>
  <c r="G52" i="60" s="1"/>
  <c r="O548" i="60"/>
  <c r="AC596" i="60"/>
  <c r="G615" i="60"/>
  <c r="G616" i="60" s="1"/>
  <c r="H18" i="60" s="1"/>
  <c r="H53" i="60" s="1"/>
  <c r="G663" i="60"/>
  <c r="G664" i="60" s="1"/>
  <c r="H19" i="60" s="1"/>
  <c r="H54" i="60" s="1"/>
  <c r="P663" i="60"/>
  <c r="P664" i="60" s="1"/>
  <c r="Q19" i="60" s="1"/>
  <c r="Q54" i="60" s="1"/>
  <c r="AC663" i="60"/>
  <c r="AC664" i="60" s="1"/>
  <c r="AD19" i="60" s="1"/>
  <c r="AD54" i="60" s="1"/>
  <c r="D637" i="60"/>
  <c r="D450" i="60"/>
  <c r="L548" i="60"/>
  <c r="P160" i="60"/>
  <c r="Q187" i="59"/>
  <c r="S9" i="59" s="1"/>
  <c r="G279" i="60"/>
  <c r="G280" i="60" s="1"/>
  <c r="H11" i="60" s="1"/>
  <c r="H46" i="60" s="1"/>
  <c r="E195" i="59"/>
  <c r="D542" i="60"/>
  <c r="O615" i="60"/>
  <c r="O616" i="60" s="1"/>
  <c r="P18" i="60" s="1"/>
  <c r="P53" i="60" s="1"/>
  <c r="D643" i="60"/>
  <c r="J159" i="60"/>
  <c r="K187" i="59"/>
  <c r="M9" i="59" s="1"/>
  <c r="R159" i="60"/>
  <c r="S187" i="59"/>
  <c r="U9" i="59" s="1"/>
  <c r="Z159" i="60"/>
  <c r="AA187" i="59"/>
  <c r="AC9" i="59" s="1"/>
  <c r="W279" i="60"/>
  <c r="W280" i="60" s="1"/>
  <c r="X11" i="60" s="1"/>
  <c r="X46" i="60" s="1"/>
  <c r="Q327" i="60"/>
  <c r="Q328" i="60" s="1"/>
  <c r="R12" i="60" s="1"/>
  <c r="R47" i="60" s="1"/>
  <c r="D350" i="60"/>
  <c r="T356" i="60"/>
  <c r="V356" i="60"/>
  <c r="J375" i="60"/>
  <c r="J376" i="60" s="1"/>
  <c r="K13" i="60" s="1"/>
  <c r="K48" i="60" s="1"/>
  <c r="P356" i="60"/>
  <c r="E423" i="60"/>
  <c r="E424" i="60" s="1"/>
  <c r="F14" i="60" s="1"/>
  <c r="F49" i="60" s="1"/>
  <c r="X193" i="59"/>
  <c r="Z15" i="59" s="1"/>
  <c r="W448" i="60"/>
  <c r="W446" i="60"/>
  <c r="W449" i="60"/>
  <c r="W451" i="60"/>
  <c r="W445" i="60"/>
  <c r="W452" i="60" s="1"/>
  <c r="W450" i="60"/>
  <c r="W447" i="60"/>
  <c r="U519" i="60"/>
  <c r="U520" i="60" s="1"/>
  <c r="V16" i="60" s="1"/>
  <c r="V51" i="60" s="1"/>
  <c r="AA519" i="60"/>
  <c r="AA520" i="60" s="1"/>
  <c r="AB16" i="60" s="1"/>
  <c r="AB51" i="60" s="1"/>
  <c r="V519" i="60"/>
  <c r="V520" i="60" s="1"/>
  <c r="W16" i="60" s="1"/>
  <c r="W51" i="60" s="1"/>
  <c r="Z519" i="60"/>
  <c r="Z520" i="60" s="1"/>
  <c r="AA16" i="60" s="1"/>
  <c r="AA51" i="60" s="1"/>
  <c r="L500" i="60"/>
  <c r="K548" i="60"/>
  <c r="AA596" i="60"/>
  <c r="V644" i="60"/>
  <c r="Y644" i="60"/>
  <c r="O663" i="60"/>
  <c r="O664" i="60" s="1"/>
  <c r="P19" i="60" s="1"/>
  <c r="P54" i="60" s="1"/>
  <c r="D544" i="60"/>
  <c r="D543" i="60"/>
  <c r="D547" i="60"/>
  <c r="D546" i="60"/>
  <c r="AD279" i="60"/>
  <c r="AD280" i="60" s="1"/>
  <c r="AE11" i="60" s="1"/>
  <c r="AE46" i="60" s="1"/>
  <c r="K160" i="60"/>
  <c r="L187" i="59"/>
  <c r="N9" i="59" s="1"/>
  <c r="S160" i="60"/>
  <c r="T187" i="59"/>
  <c r="V9" i="59" s="1"/>
  <c r="AA160" i="60"/>
  <c r="AB187" i="59"/>
  <c r="AD9" i="59" s="1"/>
  <c r="E279" i="60"/>
  <c r="E280" i="60" s="1"/>
  <c r="F11" i="60" s="1"/>
  <c r="F46" i="60" s="1"/>
  <c r="N279" i="60"/>
  <c r="N280" i="60" s="1"/>
  <c r="O11" i="60" s="1"/>
  <c r="O46" i="60" s="1"/>
  <c r="P327" i="60"/>
  <c r="P328" i="60" s="1"/>
  <c r="Q12" i="60" s="1"/>
  <c r="Q47" i="60" s="1"/>
  <c r="D354" i="60"/>
  <c r="U356" i="60"/>
  <c r="AB375" i="60"/>
  <c r="AB376" i="60" s="1"/>
  <c r="AC13" i="60" s="1"/>
  <c r="AC48" i="60" s="1"/>
  <c r="Q356" i="60"/>
  <c r="AD356" i="60"/>
  <c r="X356" i="60"/>
  <c r="P193" i="59"/>
  <c r="R15" i="59" s="1"/>
  <c r="O448" i="60"/>
  <c r="O447" i="60"/>
  <c r="O446" i="60"/>
  <c r="O451" i="60"/>
  <c r="O449" i="60"/>
  <c r="O450" i="60"/>
  <c r="O445" i="60"/>
  <c r="AC500" i="60"/>
  <c r="F519" i="60"/>
  <c r="F520" i="60" s="1"/>
  <c r="G16" i="60" s="1"/>
  <c r="G51" i="60" s="1"/>
  <c r="T500" i="60"/>
  <c r="Q519" i="60"/>
  <c r="Q520" i="60" s="1"/>
  <c r="R16" i="60" s="1"/>
  <c r="R51" i="60" s="1"/>
  <c r="J500" i="60"/>
  <c r="I548" i="60"/>
  <c r="E196" i="59"/>
  <c r="D589" i="60"/>
  <c r="D592" i="60"/>
  <c r="W663" i="60"/>
  <c r="W664" i="60" s="1"/>
  <c r="X19" i="60" s="1"/>
  <c r="X54" i="60" s="1"/>
  <c r="D595" i="60"/>
  <c r="D545" i="60"/>
  <c r="E375" i="60"/>
  <c r="E376" i="60" s="1"/>
  <c r="F13" i="60" s="1"/>
  <c r="F48" i="60" s="1"/>
  <c r="H192" i="59"/>
  <c r="J14" i="59" s="1"/>
  <c r="G399" i="60"/>
  <c r="G403" i="60"/>
  <c r="G397" i="60"/>
  <c r="G400" i="60"/>
  <c r="G398" i="60"/>
  <c r="G402" i="60"/>
  <c r="G401" i="60"/>
  <c r="E197" i="59"/>
  <c r="D640" i="60"/>
  <c r="D641" i="60"/>
  <c r="L159" i="60"/>
  <c r="M187" i="59"/>
  <c r="O9" i="59" s="1"/>
  <c r="T159" i="60"/>
  <c r="U187" i="59"/>
  <c r="W9" i="59" s="1"/>
  <c r="AB159" i="60"/>
  <c r="AC187" i="59"/>
  <c r="AE9" i="59" s="1"/>
  <c r="M279" i="60"/>
  <c r="M280" i="60" s="1"/>
  <c r="N11" i="60" s="1"/>
  <c r="N46" i="60" s="1"/>
  <c r="V279" i="60"/>
  <c r="V280" i="60" s="1"/>
  <c r="W11" i="60" s="1"/>
  <c r="W46" i="60" s="1"/>
  <c r="D255" i="60"/>
  <c r="E189" i="59"/>
  <c r="G327" i="60"/>
  <c r="G328" i="60" s="1"/>
  <c r="H12" i="60" s="1"/>
  <c r="H47" i="60" s="1"/>
  <c r="X308" i="60"/>
  <c r="J327" i="60"/>
  <c r="J328" i="60" s="1"/>
  <c r="K12" i="60" s="1"/>
  <c r="K47" i="60" s="1"/>
  <c r="H308" i="60"/>
  <c r="I308" i="60"/>
  <c r="D352" i="60"/>
  <c r="K356" i="60"/>
  <c r="M375" i="60"/>
  <c r="M376" i="60" s="1"/>
  <c r="N13" i="60" s="1"/>
  <c r="N48" i="60" s="1"/>
  <c r="G375" i="60"/>
  <c r="G376" i="60" s="1"/>
  <c r="H13" i="60" s="1"/>
  <c r="H48" i="60" s="1"/>
  <c r="AD404" i="60"/>
  <c r="S404" i="60"/>
  <c r="H193" i="59"/>
  <c r="J15" i="59" s="1"/>
  <c r="G448" i="60"/>
  <c r="G446" i="60"/>
  <c r="G451" i="60"/>
  <c r="G445" i="60"/>
  <c r="G450" i="60"/>
  <c r="G447" i="60"/>
  <c r="G449" i="60"/>
  <c r="T519" i="60"/>
  <c r="T520" i="60" s="1"/>
  <c r="U16" i="60" s="1"/>
  <c r="U51" i="60" s="1"/>
  <c r="N500" i="60"/>
  <c r="K500" i="60"/>
  <c r="L663" i="60"/>
  <c r="L664" i="60" s="1"/>
  <c r="M19" i="60" s="1"/>
  <c r="M54" i="60" s="1"/>
  <c r="D449" i="60"/>
  <c r="D447" i="60"/>
  <c r="D205" i="60"/>
  <c r="E188" i="59"/>
  <c r="H110" i="60"/>
  <c r="I186" i="59"/>
  <c r="K8" i="59" s="1"/>
  <c r="X110" i="60"/>
  <c r="Y186" i="59"/>
  <c r="AA8" i="59" s="1"/>
  <c r="W110" i="60"/>
  <c r="X186" i="59"/>
  <c r="Z8" i="59" s="1"/>
  <c r="O110" i="60"/>
  <c r="P186" i="59"/>
  <c r="R8" i="59" s="1"/>
  <c r="G110" i="60"/>
  <c r="H186" i="59"/>
  <c r="J8" i="59" s="1"/>
  <c r="AD111" i="60"/>
  <c r="AE186" i="59"/>
  <c r="AG8" i="59" s="1"/>
  <c r="V111" i="60"/>
  <c r="W186" i="59"/>
  <c r="Y8" i="59" s="1"/>
  <c r="N111" i="60"/>
  <c r="O186" i="59"/>
  <c r="Q8" i="59" s="1"/>
  <c r="F111" i="60"/>
  <c r="G186" i="59"/>
  <c r="I8" i="59" s="1"/>
  <c r="AC111" i="60"/>
  <c r="AD186" i="59"/>
  <c r="AF8" i="59" s="1"/>
  <c r="U111" i="60"/>
  <c r="V186" i="59"/>
  <c r="X8" i="59" s="1"/>
  <c r="M111" i="60"/>
  <c r="N186" i="59"/>
  <c r="P8" i="59" s="1"/>
  <c r="AB110" i="60"/>
  <c r="AC186" i="59"/>
  <c r="AE8" i="59" s="1"/>
  <c r="T110" i="60"/>
  <c r="U186" i="59"/>
  <c r="W8" i="59" s="1"/>
  <c r="L110" i="60"/>
  <c r="M186" i="59"/>
  <c r="O8" i="59" s="1"/>
  <c r="P110" i="60"/>
  <c r="Q186" i="59"/>
  <c r="S8" i="59" s="1"/>
  <c r="E111" i="60"/>
  <c r="F186" i="59"/>
  <c r="H8" i="59" s="1"/>
  <c r="AA111" i="60"/>
  <c r="AB186" i="59"/>
  <c r="AD8" i="59" s="1"/>
  <c r="S111" i="60"/>
  <c r="T186" i="59"/>
  <c r="V8" i="59" s="1"/>
  <c r="K111" i="60"/>
  <c r="L186" i="59"/>
  <c r="N8" i="59" s="1"/>
  <c r="Z111" i="60"/>
  <c r="AA186" i="59"/>
  <c r="AC8" i="59" s="1"/>
  <c r="R111" i="60"/>
  <c r="S186" i="59"/>
  <c r="U8" i="59" s="1"/>
  <c r="J111" i="60"/>
  <c r="K186" i="59"/>
  <c r="M8" i="59" s="1"/>
  <c r="Y113" i="60"/>
  <c r="Z186" i="59"/>
  <c r="AB8" i="59" s="1"/>
  <c r="Q113" i="60"/>
  <c r="R186" i="59"/>
  <c r="T8" i="59" s="1"/>
  <c r="I113" i="60"/>
  <c r="J186" i="59"/>
  <c r="L8" i="59" s="1"/>
  <c r="V548" i="60"/>
  <c r="L567" i="60"/>
  <c r="L568" i="60" s="1"/>
  <c r="M17" i="60" s="1"/>
  <c r="M52" i="60" s="1"/>
  <c r="Z567" i="60"/>
  <c r="Z568" i="60" s="1"/>
  <c r="AA17" i="60" s="1"/>
  <c r="AA52" i="60" s="1"/>
  <c r="P567" i="60"/>
  <c r="P568" i="60" s="1"/>
  <c r="Q17" i="60" s="1"/>
  <c r="Q52" i="60" s="1"/>
  <c r="N548" i="60"/>
  <c r="Q567" i="60"/>
  <c r="Q568" i="60" s="1"/>
  <c r="R17" i="60" s="1"/>
  <c r="R52" i="60" s="1"/>
  <c r="S548" i="60"/>
  <c r="R548" i="60"/>
  <c r="H548" i="60"/>
  <c r="G548" i="60"/>
  <c r="J567" i="60"/>
  <c r="J568" i="60" s="1"/>
  <c r="K17" i="60" s="1"/>
  <c r="K52" i="60" s="1"/>
  <c r="G493" i="60"/>
  <c r="G494" i="60"/>
  <c r="G495" i="60"/>
  <c r="G499" i="60"/>
  <c r="G496" i="60"/>
  <c r="G497" i="60"/>
  <c r="G498" i="60"/>
  <c r="J519" i="60"/>
  <c r="J520" i="60" s="1"/>
  <c r="K16" i="60" s="1"/>
  <c r="K51" i="60" s="1"/>
  <c r="I500" i="60"/>
  <c r="S500" i="60"/>
  <c r="R519" i="60"/>
  <c r="R520" i="60" s="1"/>
  <c r="S16" i="60" s="1"/>
  <c r="S51" i="60" s="1"/>
  <c r="X519" i="60"/>
  <c r="X520" i="60" s="1"/>
  <c r="Y16" i="60" s="1"/>
  <c r="Y51" i="60" s="1"/>
  <c r="Q500" i="60"/>
  <c r="M500" i="60"/>
  <c r="H500" i="60"/>
  <c r="Y500" i="60"/>
  <c r="AC519" i="60"/>
  <c r="AC520" i="60" s="1"/>
  <c r="AD16" i="60" s="1"/>
  <c r="AD51" i="60" s="1"/>
  <c r="V500" i="60"/>
  <c r="AD500" i="60"/>
  <c r="W493" i="60"/>
  <c r="W499" i="60"/>
  <c r="W494" i="60"/>
  <c r="W495" i="60"/>
  <c r="W496" i="60"/>
  <c r="W497" i="60"/>
  <c r="W498" i="60"/>
  <c r="Z500" i="60"/>
  <c r="AB500" i="60"/>
  <c r="D494" i="60"/>
  <c r="D495" i="60"/>
  <c r="D496" i="60"/>
  <c r="D497" i="60"/>
  <c r="D498" i="60"/>
  <c r="D499" i="60"/>
  <c r="D493" i="60"/>
  <c r="D390" i="60"/>
  <c r="D403" i="60" s="1"/>
  <c r="W423" i="60"/>
  <c r="W424" i="60" s="1"/>
  <c r="X14" i="60" s="1"/>
  <c r="X49" i="60" s="1"/>
  <c r="D204" i="60"/>
  <c r="AB356" i="60"/>
  <c r="O375" i="60"/>
  <c r="O376" i="60" s="1"/>
  <c r="P13" i="60" s="1"/>
  <c r="P48" i="60" s="1"/>
  <c r="P375" i="60"/>
  <c r="P376" i="60" s="1"/>
  <c r="Q13" i="60" s="1"/>
  <c r="Q48" i="60" s="1"/>
  <c r="K375" i="60"/>
  <c r="K376" i="60" s="1"/>
  <c r="L13" i="60" s="1"/>
  <c r="L48" i="60" s="1"/>
  <c r="W375" i="60"/>
  <c r="W376" i="60" s="1"/>
  <c r="X13" i="60" s="1"/>
  <c r="X48" i="60" s="1"/>
  <c r="I375" i="60"/>
  <c r="I376" i="60" s="1"/>
  <c r="J13" i="60" s="1"/>
  <c r="J48" i="60" s="1"/>
  <c r="X375" i="60"/>
  <c r="X376" i="60" s="1"/>
  <c r="Y13" i="60" s="1"/>
  <c r="Y48" i="60" s="1"/>
  <c r="S375" i="60"/>
  <c r="S376" i="60" s="1"/>
  <c r="T13" i="60" s="1"/>
  <c r="T48" i="60" s="1"/>
  <c r="L356" i="60"/>
  <c r="Q375" i="60"/>
  <c r="Q376" i="60" s="1"/>
  <c r="R13" i="60" s="1"/>
  <c r="R48" i="60" s="1"/>
  <c r="F375" i="60"/>
  <c r="F376" i="60" s="1"/>
  <c r="G13" i="60" s="1"/>
  <c r="G48" i="60" s="1"/>
  <c r="U375" i="60"/>
  <c r="U376" i="60" s="1"/>
  <c r="V13" i="60" s="1"/>
  <c r="V48" i="60" s="1"/>
  <c r="V375" i="60"/>
  <c r="V376" i="60" s="1"/>
  <c r="W13" i="60" s="1"/>
  <c r="W48" i="60" s="1"/>
  <c r="AD375" i="60"/>
  <c r="AD376" i="60" s="1"/>
  <c r="AE13" i="60" s="1"/>
  <c r="AE48" i="60" s="1"/>
  <c r="E356" i="60"/>
  <c r="E327" i="60"/>
  <c r="E328" i="60" s="1"/>
  <c r="F12" i="60" s="1"/>
  <c r="F47" i="60" s="1"/>
  <c r="M308" i="60"/>
  <c r="D210" i="60"/>
  <c r="D256" i="60"/>
  <c r="D257" i="60"/>
  <c r="J308" i="60"/>
  <c r="U308" i="60"/>
  <c r="W308" i="60"/>
  <c r="D253" i="60"/>
  <c r="D303" i="60"/>
  <c r="L308" i="60"/>
  <c r="AC308" i="60"/>
  <c r="D301" i="60"/>
  <c r="L279" i="60"/>
  <c r="L280" i="60" s="1"/>
  <c r="M11" i="60" s="1"/>
  <c r="M46" i="60" s="1"/>
  <c r="T308" i="60"/>
  <c r="O327" i="60"/>
  <c r="O328" i="60" s="1"/>
  <c r="P12" i="60" s="1"/>
  <c r="P47" i="60" s="1"/>
  <c r="AA308" i="60"/>
  <c r="P308" i="60"/>
  <c r="AC327" i="60"/>
  <c r="AC328" i="60" s="1"/>
  <c r="AD12" i="60" s="1"/>
  <c r="AD47" i="60" s="1"/>
  <c r="X327" i="60"/>
  <c r="X328" i="60" s="1"/>
  <c r="Y12" i="60" s="1"/>
  <c r="Y47" i="60" s="1"/>
  <c r="D305" i="60"/>
  <c r="AB308" i="60"/>
  <c r="F308" i="60"/>
  <c r="F327" i="60"/>
  <c r="F328" i="60" s="1"/>
  <c r="G12" i="60" s="1"/>
  <c r="G47" i="60" s="1"/>
  <c r="H279" i="60"/>
  <c r="H280" i="60" s="1"/>
  <c r="I11" i="60" s="1"/>
  <c r="I46" i="60" s="1"/>
  <c r="I279" i="60"/>
  <c r="I280" i="60" s="1"/>
  <c r="J11" i="60" s="1"/>
  <c r="J46" i="60" s="1"/>
  <c r="K308" i="60"/>
  <c r="Y327" i="60"/>
  <c r="Y328" i="60" s="1"/>
  <c r="Z12" i="60" s="1"/>
  <c r="Z47" i="60" s="1"/>
  <c r="AD308" i="60"/>
  <c r="H327" i="60"/>
  <c r="H328" i="60" s="1"/>
  <c r="I12" i="60" s="1"/>
  <c r="I47" i="60" s="1"/>
  <c r="N327" i="60"/>
  <c r="N328" i="60" s="1"/>
  <c r="O12" i="60" s="1"/>
  <c r="O47" i="60" s="1"/>
  <c r="N308" i="60"/>
  <c r="Q308" i="60"/>
  <c r="M327" i="60"/>
  <c r="M328" i="60" s="1"/>
  <c r="N12" i="60" s="1"/>
  <c r="N47" i="60" s="1"/>
  <c r="D304" i="60"/>
  <c r="P279" i="60"/>
  <c r="P280" i="60" s="1"/>
  <c r="Q11" i="60" s="1"/>
  <c r="Q46" i="60" s="1"/>
  <c r="S308" i="60"/>
  <c r="R308" i="60"/>
  <c r="E308" i="60"/>
  <c r="V327" i="60"/>
  <c r="V328" i="60" s="1"/>
  <c r="W12" i="60" s="1"/>
  <c r="W47" i="60" s="1"/>
  <c r="V308" i="60"/>
  <c r="D206" i="60"/>
  <c r="D208" i="60"/>
  <c r="D258" i="60"/>
  <c r="D209" i="60"/>
  <c r="D207" i="60"/>
  <c r="D254" i="60"/>
  <c r="D259" i="60"/>
  <c r="F159" i="60"/>
  <c r="AB162" i="60"/>
  <c r="S159" i="60"/>
  <c r="AD160" i="60"/>
  <c r="Z158" i="60"/>
  <c r="S162" i="60"/>
  <c r="V160" i="60"/>
  <c r="S158" i="60"/>
  <c r="N160" i="60"/>
  <c r="O211" i="60"/>
  <c r="Y159" i="60"/>
  <c r="I160" i="60"/>
  <c r="I163" i="60"/>
  <c r="Q163" i="60"/>
  <c r="AA159" i="60"/>
  <c r="V260" i="60"/>
  <c r="AD260" i="60"/>
  <c r="P260" i="60"/>
  <c r="X260" i="60"/>
  <c r="L260" i="60"/>
  <c r="G260" i="60"/>
  <c r="S260" i="60"/>
  <c r="M260" i="60"/>
  <c r="N260" i="60"/>
  <c r="T260" i="60"/>
  <c r="Z260" i="60"/>
  <c r="AB260" i="60"/>
  <c r="R260" i="60"/>
  <c r="F260" i="60"/>
  <c r="K260" i="60"/>
  <c r="H260" i="60"/>
  <c r="I260" i="60"/>
  <c r="J260" i="60"/>
  <c r="E260" i="60"/>
  <c r="O260" i="60"/>
  <c r="Q260" i="60"/>
  <c r="U260" i="60"/>
  <c r="W260" i="60"/>
  <c r="Y260" i="60"/>
  <c r="AA260" i="60"/>
  <c r="AC260" i="60"/>
  <c r="T162" i="60"/>
  <c r="AB160" i="60"/>
  <c r="V159" i="60"/>
  <c r="K158" i="60"/>
  <c r="AC157" i="60"/>
  <c r="AD163" i="60"/>
  <c r="R162" i="60"/>
  <c r="T160" i="60"/>
  <c r="N159" i="60"/>
  <c r="AB157" i="60"/>
  <c r="Y163" i="60"/>
  <c r="L162" i="60"/>
  <c r="Q160" i="60"/>
  <c r="T157" i="60"/>
  <c r="T230" i="60"/>
  <c r="T231" i="60" s="1"/>
  <c r="U10" i="60" s="1"/>
  <c r="U45" i="60" s="1"/>
  <c r="W230" i="60"/>
  <c r="W231" i="60" s="1"/>
  <c r="X10" i="60" s="1"/>
  <c r="X45" i="60" s="1"/>
  <c r="T161" i="60"/>
  <c r="AB158" i="60"/>
  <c r="G211" i="60"/>
  <c r="K163" i="60"/>
  <c r="M161" i="60"/>
  <c r="AA158" i="60"/>
  <c r="L161" i="60"/>
  <c r="AA163" i="60"/>
  <c r="F163" i="60"/>
  <c r="K162" i="60"/>
  <c r="E161" i="60"/>
  <c r="L160" i="60"/>
  <c r="Q159" i="60"/>
  <c r="T158" i="60"/>
  <c r="U157" i="60"/>
  <c r="W211" i="60"/>
  <c r="S230" i="60"/>
  <c r="S231" i="60" s="1"/>
  <c r="T10" i="60" s="1"/>
  <c r="T45" i="60" s="1"/>
  <c r="J162" i="60"/>
  <c r="V163" i="60"/>
  <c r="AA162" i="60"/>
  <c r="AC161" i="60"/>
  <c r="F160" i="60"/>
  <c r="K159" i="60"/>
  <c r="R158" i="60"/>
  <c r="M157" i="60"/>
  <c r="L230" i="60"/>
  <c r="L231" i="60" s="1"/>
  <c r="M10" i="60" s="1"/>
  <c r="M45" i="60" s="1"/>
  <c r="S163" i="60"/>
  <c r="Z162" i="60"/>
  <c r="AB161" i="60"/>
  <c r="Y160" i="60"/>
  <c r="AD159" i="60"/>
  <c r="I159" i="60"/>
  <c r="L158" i="60"/>
  <c r="L157" i="60"/>
  <c r="U161" i="60"/>
  <c r="P230" i="60"/>
  <c r="P231" i="60" s="1"/>
  <c r="Q10" i="60" s="1"/>
  <c r="Q45" i="60" s="1"/>
  <c r="Q211" i="60"/>
  <c r="M230" i="60"/>
  <c r="M231" i="60" s="1"/>
  <c r="N10" i="60" s="1"/>
  <c r="N45" i="60" s="1"/>
  <c r="N163" i="60"/>
  <c r="J158" i="60"/>
  <c r="F230" i="60"/>
  <c r="F231" i="60" s="1"/>
  <c r="G10" i="60" s="1"/>
  <c r="G45" i="60" s="1"/>
  <c r="AC230" i="60"/>
  <c r="AC231" i="60" s="1"/>
  <c r="AD10" i="60" s="1"/>
  <c r="AD45" i="60" s="1"/>
  <c r="X163" i="60"/>
  <c r="H163" i="60"/>
  <c r="X159" i="60"/>
  <c r="P159" i="60"/>
  <c r="H159" i="60"/>
  <c r="W163" i="60"/>
  <c r="O163" i="60"/>
  <c r="G163" i="60"/>
  <c r="Y162" i="60"/>
  <c r="Q162" i="60"/>
  <c r="I162" i="60"/>
  <c r="AA161" i="60"/>
  <c r="S161" i="60"/>
  <c r="K161" i="60"/>
  <c r="AC160" i="60"/>
  <c r="U160" i="60"/>
  <c r="M160" i="60"/>
  <c r="E160" i="60"/>
  <c r="W159" i="60"/>
  <c r="O159" i="60"/>
  <c r="G159" i="60"/>
  <c r="Y158" i="60"/>
  <c r="Q158" i="60"/>
  <c r="I158" i="60"/>
  <c r="AA157" i="60"/>
  <c r="S157" i="60"/>
  <c r="K157" i="60"/>
  <c r="O230" i="60"/>
  <c r="O231" i="60" s="1"/>
  <c r="P10" i="60" s="1"/>
  <c r="P45" i="60" s="1"/>
  <c r="P162" i="60"/>
  <c r="R161" i="60"/>
  <c r="Z157" i="60"/>
  <c r="H162" i="60"/>
  <c r="Z161" i="60"/>
  <c r="J161" i="60"/>
  <c r="P158" i="60"/>
  <c r="R157" i="60"/>
  <c r="U114" i="60"/>
  <c r="AC163" i="60"/>
  <c r="U163" i="60"/>
  <c r="M163" i="60"/>
  <c r="E163" i="60"/>
  <c r="W162" i="60"/>
  <c r="O162" i="60"/>
  <c r="G162" i="60"/>
  <c r="Y161" i="60"/>
  <c r="Q161" i="60"/>
  <c r="I161" i="60"/>
  <c r="AC159" i="60"/>
  <c r="U159" i="60"/>
  <c r="M159" i="60"/>
  <c r="W158" i="60"/>
  <c r="O158" i="60"/>
  <c r="G158" i="60"/>
  <c r="M116" i="60"/>
  <c r="X162" i="60"/>
  <c r="X158" i="60"/>
  <c r="H158" i="60"/>
  <c r="J157" i="60"/>
  <c r="W113" i="60"/>
  <c r="AB163" i="60"/>
  <c r="T163" i="60"/>
  <c r="L163" i="60"/>
  <c r="AD162" i="60"/>
  <c r="V162" i="60"/>
  <c r="N162" i="60"/>
  <c r="F162" i="60"/>
  <c r="X161" i="60"/>
  <c r="P161" i="60"/>
  <c r="H161" i="60"/>
  <c r="Z160" i="60"/>
  <c r="R160" i="60"/>
  <c r="J160" i="60"/>
  <c r="AD158" i="60"/>
  <c r="V158" i="60"/>
  <c r="N158" i="60"/>
  <c r="F158" i="60"/>
  <c r="X157" i="60"/>
  <c r="P157" i="60"/>
  <c r="H157" i="60"/>
  <c r="P163" i="60"/>
  <c r="G113" i="60"/>
  <c r="D150" i="60"/>
  <c r="AC162" i="60"/>
  <c r="U162" i="60"/>
  <c r="M162" i="60"/>
  <c r="E162" i="60"/>
  <c r="W161" i="60"/>
  <c r="O161" i="60"/>
  <c r="G161" i="60"/>
  <c r="E158" i="60"/>
  <c r="W157" i="60"/>
  <c r="O157" i="60"/>
  <c r="G157" i="60"/>
  <c r="U112" i="60"/>
  <c r="Z163" i="60"/>
  <c r="R163" i="60"/>
  <c r="J163" i="60"/>
  <c r="AD161" i="60"/>
  <c r="V161" i="60"/>
  <c r="N161" i="60"/>
  <c r="F161" i="60"/>
  <c r="J230" i="60"/>
  <c r="J231" i="60" s="1"/>
  <c r="K10" i="60" s="1"/>
  <c r="K45" i="60" s="1"/>
  <c r="V110" i="60"/>
  <c r="E157" i="60"/>
  <c r="R230" i="60"/>
  <c r="R231" i="60" s="1"/>
  <c r="S10" i="60" s="1"/>
  <c r="S45" i="60" s="1"/>
  <c r="J211" i="60"/>
  <c r="R211" i="60"/>
  <c r="Z211" i="60"/>
  <c r="K211" i="60"/>
  <c r="S211" i="60"/>
  <c r="AA211" i="60"/>
  <c r="H211" i="60"/>
  <c r="P211" i="60"/>
  <c r="X211" i="60"/>
  <c r="L211" i="60"/>
  <c r="T211" i="60"/>
  <c r="AB211" i="60"/>
  <c r="E211" i="60"/>
  <c r="M211" i="60"/>
  <c r="U211" i="60"/>
  <c r="AC211" i="60"/>
  <c r="F211" i="60"/>
  <c r="N211" i="60"/>
  <c r="V211" i="60"/>
  <c r="AD211" i="60"/>
  <c r="X116" i="60"/>
  <c r="J116" i="60"/>
  <c r="N114" i="60"/>
  <c r="V113" i="60"/>
  <c r="F113" i="60"/>
  <c r="Q112" i="60"/>
  <c r="U110" i="60"/>
  <c r="W116" i="60"/>
  <c r="I116" i="60"/>
  <c r="M114" i="60"/>
  <c r="U113" i="60"/>
  <c r="E113" i="60"/>
  <c r="P112" i="60"/>
  <c r="N110" i="60"/>
  <c r="U116" i="60"/>
  <c r="H116" i="60"/>
  <c r="F114" i="60"/>
  <c r="P113" i="60"/>
  <c r="AC112" i="60"/>
  <c r="M112" i="60"/>
  <c r="M110" i="60"/>
  <c r="R116" i="60"/>
  <c r="G116" i="60"/>
  <c r="E114" i="60"/>
  <c r="O113" i="60"/>
  <c r="Z112" i="60"/>
  <c r="I112" i="60"/>
  <c r="F110" i="60"/>
  <c r="Q116" i="60"/>
  <c r="AD114" i="60"/>
  <c r="AD113" i="60"/>
  <c r="N113" i="60"/>
  <c r="Y112" i="60"/>
  <c r="H112" i="60"/>
  <c r="E110" i="60"/>
  <c r="AC116" i="60"/>
  <c r="P116" i="60"/>
  <c r="AC114" i="60"/>
  <c r="AC113" i="60"/>
  <c r="M113" i="60"/>
  <c r="X112" i="60"/>
  <c r="AD110" i="60"/>
  <c r="Y116" i="60"/>
  <c r="Z116" i="60"/>
  <c r="O116" i="60"/>
  <c r="V114" i="60"/>
  <c r="X113" i="60"/>
  <c r="H113" i="60"/>
  <c r="W112" i="60"/>
  <c r="AC110" i="60"/>
  <c r="Q115" i="60"/>
  <c r="AA114" i="60"/>
  <c r="S114" i="60"/>
  <c r="K114" i="60"/>
  <c r="O112" i="60"/>
  <c r="G112" i="60"/>
  <c r="Y111" i="60"/>
  <c r="Q111" i="60"/>
  <c r="I111" i="60"/>
  <c r="AA110" i="60"/>
  <c r="S110" i="60"/>
  <c r="K110" i="60"/>
  <c r="D103" i="60"/>
  <c r="AD116" i="60"/>
  <c r="V116" i="60"/>
  <c r="N116" i="60"/>
  <c r="F116" i="60"/>
  <c r="X115" i="60"/>
  <c r="P115" i="60"/>
  <c r="H115" i="60"/>
  <c r="Z114" i="60"/>
  <c r="R114" i="60"/>
  <c r="J114" i="60"/>
  <c r="AB113" i="60"/>
  <c r="T113" i="60"/>
  <c r="L113" i="60"/>
  <c r="AD112" i="60"/>
  <c r="V112" i="60"/>
  <c r="N112" i="60"/>
  <c r="F112" i="60"/>
  <c r="X111" i="60"/>
  <c r="P111" i="60"/>
  <c r="H111" i="60"/>
  <c r="Z110" i="60"/>
  <c r="R110" i="60"/>
  <c r="J110" i="60"/>
  <c r="O115" i="60"/>
  <c r="Y114" i="60"/>
  <c r="AA113" i="60"/>
  <c r="S113" i="60"/>
  <c r="K113" i="60"/>
  <c r="E112" i="60"/>
  <c r="W111" i="60"/>
  <c r="O111" i="60"/>
  <c r="G111" i="60"/>
  <c r="Y110" i="60"/>
  <c r="Q110" i="60"/>
  <c r="I110" i="60"/>
  <c r="W115" i="60"/>
  <c r="G115" i="60"/>
  <c r="I114" i="60"/>
  <c r="AB116" i="60"/>
  <c r="T116" i="60"/>
  <c r="L116" i="60"/>
  <c r="AD115" i="60"/>
  <c r="V115" i="60"/>
  <c r="N115" i="60"/>
  <c r="F115" i="60"/>
  <c r="X114" i="60"/>
  <c r="P114" i="60"/>
  <c r="H114" i="60"/>
  <c r="Z113" i="60"/>
  <c r="R113" i="60"/>
  <c r="J113" i="60"/>
  <c r="AB112" i="60"/>
  <c r="T112" i="60"/>
  <c r="L112" i="60"/>
  <c r="AA115" i="60"/>
  <c r="Y115" i="60"/>
  <c r="I115" i="60"/>
  <c r="E116" i="60"/>
  <c r="Q114" i="60"/>
  <c r="AA116" i="60"/>
  <c r="S116" i="60"/>
  <c r="K116" i="60"/>
  <c r="AC115" i="60"/>
  <c r="U115" i="60"/>
  <c r="M115" i="60"/>
  <c r="E115" i="60"/>
  <c r="W114" i="60"/>
  <c r="O114" i="60"/>
  <c r="G114" i="60"/>
  <c r="AA112" i="60"/>
  <c r="S112" i="60"/>
  <c r="K112" i="60"/>
  <c r="AB115" i="60"/>
  <c r="T115" i="60"/>
  <c r="L115" i="60"/>
  <c r="R112" i="60"/>
  <c r="J112" i="60"/>
  <c r="AB111" i="60"/>
  <c r="T111" i="60"/>
  <c r="L111" i="60"/>
  <c r="S115" i="60"/>
  <c r="K115" i="60"/>
  <c r="Z115" i="60"/>
  <c r="R115" i="60"/>
  <c r="J115" i="60"/>
  <c r="AB114" i="60"/>
  <c r="T114" i="60"/>
  <c r="L114" i="60"/>
  <c r="G200" i="59"/>
  <c r="I25" i="59" s="1"/>
  <c r="BA24" i="59" l="1"/>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56" i="60"/>
  <c r="D644" i="60"/>
  <c r="D375" i="60"/>
  <c r="D376" i="60" s="1"/>
  <c r="D548" i="60"/>
  <c r="O423" i="60"/>
  <c r="O424" i="60" s="1"/>
  <c r="P14" i="60" s="1"/>
  <c r="P49" i="60" s="1"/>
  <c r="D519" i="60"/>
  <c r="D520" i="60" s="1"/>
  <c r="E16" i="60" s="1"/>
  <c r="E51" i="60" s="1"/>
  <c r="G423" i="60"/>
  <c r="G424" i="60" s="1"/>
  <c r="H14" i="60" s="1"/>
  <c r="H49" i="60" s="1"/>
  <c r="G471" i="60"/>
  <c r="G472" i="60" s="1"/>
  <c r="H15" i="60" s="1"/>
  <c r="H50" i="60" s="1"/>
  <c r="G452" i="60"/>
  <c r="D163" i="60"/>
  <c r="E187" i="59"/>
  <c r="G404" i="60"/>
  <c r="D567" i="60"/>
  <c r="D471" i="60"/>
  <c r="D472" i="60" s="1"/>
  <c r="E15" i="60" s="1"/>
  <c r="E50" i="60" s="1"/>
  <c r="G500" i="60"/>
  <c r="E192" i="59"/>
  <c r="D399" i="60"/>
  <c r="D401" i="60"/>
  <c r="D402" i="60"/>
  <c r="D397" i="60"/>
  <c r="D398" i="60"/>
  <c r="D400" i="60"/>
  <c r="W519" i="60"/>
  <c r="W520" i="60" s="1"/>
  <c r="X16" i="60" s="1"/>
  <c r="X51" i="60" s="1"/>
  <c r="D452" i="60"/>
  <c r="D663" i="60"/>
  <c r="O404" i="60"/>
  <c r="D615" i="60"/>
  <c r="D596" i="60"/>
  <c r="O452" i="60"/>
  <c r="D110" i="60"/>
  <c r="E186" i="59"/>
  <c r="W500" i="60"/>
  <c r="G519" i="60"/>
  <c r="G520" i="60" s="1"/>
  <c r="H16" i="60" s="1"/>
  <c r="H51" i="60" s="1"/>
  <c r="D500" i="60"/>
  <c r="D230" i="60"/>
  <c r="AA230" i="60" s="1"/>
  <c r="AA231" i="60" s="1"/>
  <c r="AB10" i="60" s="1"/>
  <c r="AB45" i="60" s="1"/>
  <c r="D279" i="60"/>
  <c r="D280" i="60" s="1"/>
  <c r="E11" i="60" s="1"/>
  <c r="E46" i="60" s="1"/>
  <c r="N164" i="60"/>
  <c r="D260" i="60"/>
  <c r="D211" i="60"/>
  <c r="D327" i="60"/>
  <c r="D328" i="60" s="1"/>
  <c r="E12" i="60" s="1"/>
  <c r="E47" i="60" s="1"/>
  <c r="D308" i="60"/>
  <c r="O164" i="60"/>
  <c r="I182" i="60"/>
  <c r="I183" i="60" s="1"/>
  <c r="J9" i="60" s="1"/>
  <c r="J44" i="60" s="1"/>
  <c r="AB164" i="60"/>
  <c r="G164" i="60"/>
  <c r="E164" i="60"/>
  <c r="P164" i="60"/>
  <c r="L164" i="60"/>
  <c r="Y164" i="60"/>
  <c r="R164" i="60"/>
  <c r="F164" i="60"/>
  <c r="AB182" i="60"/>
  <c r="AB183" i="60" s="1"/>
  <c r="AC9" i="60" s="1"/>
  <c r="AC44" i="60" s="1"/>
  <c r="G182" i="60"/>
  <c r="G183" i="60" s="1"/>
  <c r="H9" i="60" s="1"/>
  <c r="H44" i="60" s="1"/>
  <c r="AD182" i="60"/>
  <c r="AD183" i="60" s="1"/>
  <c r="AE9" i="60" s="1"/>
  <c r="AE44" i="60" s="1"/>
  <c r="AA164" i="60"/>
  <c r="T182" i="60"/>
  <c r="T183" i="60" s="1"/>
  <c r="U9" i="60" s="1"/>
  <c r="U44" i="60" s="1"/>
  <c r="AD164" i="60"/>
  <c r="K182" i="60"/>
  <c r="K183" i="60" s="1"/>
  <c r="L9" i="60" s="1"/>
  <c r="L44" i="60" s="1"/>
  <c r="O182" i="60"/>
  <c r="O183" i="60" s="1"/>
  <c r="P9" i="60" s="1"/>
  <c r="P44" i="60" s="1"/>
  <c r="N182" i="60"/>
  <c r="N183" i="60" s="1"/>
  <c r="O9" i="60" s="1"/>
  <c r="O44" i="60" s="1"/>
  <c r="Y136" i="60"/>
  <c r="Y137" i="60" s="1"/>
  <c r="Z8" i="60" s="1"/>
  <c r="Z43" i="60" s="1"/>
  <c r="Y182" i="60"/>
  <c r="Y183" i="60" s="1"/>
  <c r="Z9" i="60" s="1"/>
  <c r="Z44" i="60" s="1"/>
  <c r="S182" i="60"/>
  <c r="S183" i="60" s="1"/>
  <c r="T9" i="60" s="1"/>
  <c r="T44" i="60" s="1"/>
  <c r="V136" i="60"/>
  <c r="V137" i="60" s="1"/>
  <c r="W8" i="60" s="1"/>
  <c r="W43" i="60" s="1"/>
  <c r="Z182" i="60"/>
  <c r="Z183" i="60" s="1"/>
  <c r="AA9" i="60" s="1"/>
  <c r="AA44" i="60" s="1"/>
  <c r="M164" i="60"/>
  <c r="K164" i="60"/>
  <c r="V164" i="60"/>
  <c r="J164" i="60"/>
  <c r="M182" i="60"/>
  <c r="M183" i="60" s="1"/>
  <c r="N9" i="60" s="1"/>
  <c r="N44" i="60" s="1"/>
  <c r="W136" i="60"/>
  <c r="W137" i="60" s="1"/>
  <c r="X8" i="60" s="1"/>
  <c r="X43" i="60" s="1"/>
  <c r="AB136" i="60"/>
  <c r="AB137" i="60" s="1"/>
  <c r="AC8" i="60" s="1"/>
  <c r="AC43" i="60" s="1"/>
  <c r="X164" i="60"/>
  <c r="AC182" i="60"/>
  <c r="AC183" i="60" s="1"/>
  <c r="AD9" i="60" s="1"/>
  <c r="AD44" i="60" s="1"/>
  <c r="AA182" i="60"/>
  <c r="AA183" i="60" s="1"/>
  <c r="AB9" i="60" s="1"/>
  <c r="AB44" i="60" s="1"/>
  <c r="T164" i="60"/>
  <c r="W182" i="60"/>
  <c r="W183" i="60" s="1"/>
  <c r="X9" i="60" s="1"/>
  <c r="X44" i="60" s="1"/>
  <c r="H164" i="60"/>
  <c r="R182" i="60"/>
  <c r="R183" i="60" s="1"/>
  <c r="S9" i="60" s="1"/>
  <c r="S44" i="60" s="1"/>
  <c r="I164" i="60"/>
  <c r="U164" i="60"/>
  <c r="AC164" i="60"/>
  <c r="Z164" i="60"/>
  <c r="Q164" i="60"/>
  <c r="T136" i="60"/>
  <c r="T137" i="60" s="1"/>
  <c r="U8" i="60" s="1"/>
  <c r="U43" i="60" s="1"/>
  <c r="O136" i="60"/>
  <c r="O137" i="60" s="1"/>
  <c r="P8" i="60" s="1"/>
  <c r="P43" i="60" s="1"/>
  <c r="Q182" i="60"/>
  <c r="Q183" i="60" s="1"/>
  <c r="R9" i="60" s="1"/>
  <c r="R44" i="60" s="1"/>
  <c r="V182" i="60"/>
  <c r="V183" i="60" s="1"/>
  <c r="W9" i="60" s="1"/>
  <c r="W44" i="60" s="1"/>
  <c r="AC136" i="60"/>
  <c r="AC137" i="60" s="1"/>
  <c r="AD8" i="60" s="1"/>
  <c r="AD43" i="60" s="1"/>
  <c r="AD136" i="60"/>
  <c r="AD137" i="60" s="1"/>
  <c r="AE8" i="60" s="1"/>
  <c r="AE43" i="60" s="1"/>
  <c r="H136" i="60"/>
  <c r="H137" i="60" s="1"/>
  <c r="I8" i="60" s="1"/>
  <c r="I43" i="60" s="1"/>
  <c r="P136" i="60"/>
  <c r="P137" i="60" s="1"/>
  <c r="Q8" i="60" s="1"/>
  <c r="Q43" i="60" s="1"/>
  <c r="J182" i="60"/>
  <c r="J183" i="60" s="1"/>
  <c r="K9" i="60" s="1"/>
  <c r="K44" i="60" s="1"/>
  <c r="L182" i="60"/>
  <c r="L183" i="60" s="1"/>
  <c r="M9" i="60" s="1"/>
  <c r="M44" i="60" s="1"/>
  <c r="E182" i="60"/>
  <c r="E183" i="60" s="1"/>
  <c r="F9" i="60" s="1"/>
  <c r="F44" i="60" s="1"/>
  <c r="U182" i="60"/>
  <c r="U183" i="60" s="1"/>
  <c r="V9" i="60" s="1"/>
  <c r="V44" i="60" s="1"/>
  <c r="F182" i="60"/>
  <c r="F183" i="60" s="1"/>
  <c r="G9" i="60" s="1"/>
  <c r="G44" i="60" s="1"/>
  <c r="X136" i="60"/>
  <c r="X137" i="60" s="1"/>
  <c r="Y8" i="60" s="1"/>
  <c r="Y43" i="60" s="1"/>
  <c r="P182" i="60"/>
  <c r="P183" i="60" s="1"/>
  <c r="Q9" i="60" s="1"/>
  <c r="Q44" i="60" s="1"/>
  <c r="D160" i="60"/>
  <c r="D162" i="60"/>
  <c r="D159" i="60"/>
  <c r="D161" i="60"/>
  <c r="L136" i="60"/>
  <c r="L137" i="60" s="1"/>
  <c r="M8" i="60" s="1"/>
  <c r="M43" i="60" s="1"/>
  <c r="G136" i="60"/>
  <c r="G137" i="60" s="1"/>
  <c r="H8" i="60" s="1"/>
  <c r="H43" i="60" s="1"/>
  <c r="W164" i="60"/>
  <c r="S164" i="60"/>
  <c r="H182" i="60"/>
  <c r="H183" i="60" s="1"/>
  <c r="I9" i="60" s="1"/>
  <c r="I44" i="60" s="1"/>
  <c r="D158" i="60"/>
  <c r="X182" i="60"/>
  <c r="X183" i="60" s="1"/>
  <c r="Y9" i="60" s="1"/>
  <c r="Y44" i="60" s="1"/>
  <c r="D157" i="60"/>
  <c r="J136" i="60"/>
  <c r="J137" i="60" s="1"/>
  <c r="K8" i="60" s="1"/>
  <c r="K43" i="60" s="1"/>
  <c r="AA136" i="60"/>
  <c r="AA137" i="60" s="1"/>
  <c r="AB8" i="60" s="1"/>
  <c r="AB43" i="60" s="1"/>
  <c r="M136" i="60"/>
  <c r="M137" i="60" s="1"/>
  <c r="N8" i="60" s="1"/>
  <c r="N43" i="60" s="1"/>
  <c r="S136" i="60"/>
  <c r="S137" i="60" s="1"/>
  <c r="T8" i="60" s="1"/>
  <c r="T43" i="60" s="1"/>
  <c r="Z136" i="60"/>
  <c r="Z137" i="60" s="1"/>
  <c r="AA8" i="60" s="1"/>
  <c r="AA43" i="60" s="1"/>
  <c r="I136" i="60"/>
  <c r="I137" i="60" s="1"/>
  <c r="J8" i="60" s="1"/>
  <c r="J43" i="60" s="1"/>
  <c r="D111" i="60"/>
  <c r="F136" i="60"/>
  <c r="F137" i="60" s="1"/>
  <c r="G8" i="60" s="1"/>
  <c r="G43" i="60" s="1"/>
  <c r="K136" i="60"/>
  <c r="K137" i="60" s="1"/>
  <c r="L8" i="60" s="1"/>
  <c r="L43" i="60" s="1"/>
  <c r="U136" i="60"/>
  <c r="U137" i="60" s="1"/>
  <c r="V8" i="60" s="1"/>
  <c r="V43" i="60" s="1"/>
  <c r="N136" i="60"/>
  <c r="N137" i="60" s="1"/>
  <c r="O8" i="60" s="1"/>
  <c r="O43" i="60" s="1"/>
  <c r="Q136" i="60"/>
  <c r="Q137" i="60" s="1"/>
  <c r="R8" i="60" s="1"/>
  <c r="R43" i="60" s="1"/>
  <c r="D116" i="60"/>
  <c r="E136" i="60"/>
  <c r="E137" i="60" s="1"/>
  <c r="F8" i="60" s="1"/>
  <c r="F43" i="60" s="1"/>
  <c r="R136" i="60"/>
  <c r="R137" i="60" s="1"/>
  <c r="S8" i="60" s="1"/>
  <c r="S43" i="60" s="1"/>
  <c r="D115" i="60"/>
  <c r="D112" i="60"/>
  <c r="D114" i="60"/>
  <c r="D113" i="60"/>
  <c r="Q74" i="58" l="1"/>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404" i="60"/>
  <c r="D423" i="60"/>
  <c r="D424" i="60" s="1"/>
  <c r="E14" i="60" s="1"/>
  <c r="E49" i="60" s="1"/>
  <c r="X567" i="60"/>
  <c r="X568" i="60" s="1"/>
  <c r="Y17" i="60" s="1"/>
  <c r="Y52" i="60" s="1"/>
  <c r="D568" i="60"/>
  <c r="E17" i="60" s="1"/>
  <c r="E52" i="60" s="1"/>
  <c r="X615" i="60"/>
  <c r="X616" i="60" s="1"/>
  <c r="Y18" i="60" s="1"/>
  <c r="Y53" i="60" s="1"/>
  <c r="D616" i="60"/>
  <c r="E18" i="60" s="1"/>
  <c r="E53" i="60" s="1"/>
  <c r="X663" i="60"/>
  <c r="X664" i="60" s="1"/>
  <c r="Y19" i="60" s="1"/>
  <c r="Y54" i="60" s="1"/>
  <c r="AD663" i="60"/>
  <c r="AD664" i="60" s="1"/>
  <c r="AE19" i="60" s="1"/>
  <c r="AE54" i="60" s="1"/>
  <c r="Z663" i="60"/>
  <c r="Z664" i="60" s="1"/>
  <c r="AA19" i="60" s="1"/>
  <c r="AA54" i="60" s="1"/>
  <c r="J663" i="60"/>
  <c r="J664" i="60" s="1"/>
  <c r="K19" i="60" s="1"/>
  <c r="K54" i="60" s="1"/>
  <c r="D664" i="60"/>
  <c r="E19" i="60" s="1"/>
  <c r="E54" i="60" s="1"/>
  <c r="N230" i="60"/>
  <c r="N231" i="60" s="1"/>
  <c r="O10" i="60" s="1"/>
  <c r="O45" i="60" s="1"/>
  <c r="M471" i="60"/>
  <c r="M472" i="60" s="1"/>
  <c r="N15" i="60" s="1"/>
  <c r="N50" i="60" s="1"/>
  <c r="J471" i="60"/>
  <c r="J472" i="60" s="1"/>
  <c r="K15" i="60" s="1"/>
  <c r="K50" i="60" s="1"/>
  <c r="V471" i="60"/>
  <c r="V472" i="60" s="1"/>
  <c r="W15" i="60" s="1"/>
  <c r="W50" i="60" s="1"/>
  <c r="AC471" i="60"/>
  <c r="AC472" i="60" s="1"/>
  <c r="AD15" i="60" s="1"/>
  <c r="AD50" i="60" s="1"/>
  <c r="Y471" i="60"/>
  <c r="Y472" i="60" s="1"/>
  <c r="Z15" i="60" s="1"/>
  <c r="Z50" i="60" s="1"/>
  <c r="L471" i="60"/>
  <c r="L472" i="60" s="1"/>
  <c r="M15" i="60" s="1"/>
  <c r="M50" i="60" s="1"/>
  <c r="X471" i="60"/>
  <c r="X472" i="60" s="1"/>
  <c r="Y15" i="60" s="1"/>
  <c r="Y50" i="60" s="1"/>
  <c r="U471" i="60"/>
  <c r="U472" i="60" s="1"/>
  <c r="V15" i="60" s="1"/>
  <c r="V50" i="60" s="1"/>
  <c r="T471" i="60"/>
  <c r="T472" i="60" s="1"/>
  <c r="U15" i="60" s="1"/>
  <c r="U50" i="60" s="1"/>
  <c r="N471" i="60"/>
  <c r="N472" i="60" s="1"/>
  <c r="O15" i="60" s="1"/>
  <c r="O50" i="60" s="1"/>
  <c r="AD471" i="60"/>
  <c r="AD472" i="60" s="1"/>
  <c r="AE15" i="60" s="1"/>
  <c r="AE50" i="60" s="1"/>
  <c r="K471" i="60"/>
  <c r="K472" i="60" s="1"/>
  <c r="L15" i="60" s="1"/>
  <c r="L50" i="60" s="1"/>
  <c r="AB471" i="60"/>
  <c r="AB472" i="60" s="1"/>
  <c r="AC15" i="60" s="1"/>
  <c r="AC50" i="60" s="1"/>
  <c r="Z471" i="60"/>
  <c r="Z472" i="60" s="1"/>
  <c r="AA15" i="60" s="1"/>
  <c r="AA50" i="60" s="1"/>
  <c r="AA471" i="60"/>
  <c r="AA472" i="60" s="1"/>
  <c r="AB15" i="60" s="1"/>
  <c r="AB50" i="60" s="1"/>
  <c r="P471" i="60"/>
  <c r="P472" i="60" s="1"/>
  <c r="Q15" i="60" s="1"/>
  <c r="Q50" i="60" s="1"/>
  <c r="S471" i="60"/>
  <c r="S472" i="60" s="1"/>
  <c r="T15" i="60" s="1"/>
  <c r="T50" i="60" s="1"/>
  <c r="H471" i="60"/>
  <c r="H472" i="60" s="1"/>
  <c r="I15" i="60" s="1"/>
  <c r="I50" i="60" s="1"/>
  <c r="E471" i="60"/>
  <c r="E472" i="60" s="1"/>
  <c r="F15" i="60" s="1"/>
  <c r="F50" i="60" s="1"/>
  <c r="I471" i="60"/>
  <c r="I472" i="60" s="1"/>
  <c r="J15" i="60" s="1"/>
  <c r="J50" i="60" s="1"/>
  <c r="W471" i="60"/>
  <c r="W472" i="60" s="1"/>
  <c r="X15" i="60" s="1"/>
  <c r="X50" i="60" s="1"/>
  <c r="O471" i="60"/>
  <c r="O472" i="60" s="1"/>
  <c r="P15" i="60" s="1"/>
  <c r="P50" i="60" s="1"/>
  <c r="Y230" i="60"/>
  <c r="Y231" i="60" s="1"/>
  <c r="Z10" i="60" s="1"/>
  <c r="Z45" i="60" s="1"/>
  <c r="E230" i="60"/>
  <c r="E231" i="60" s="1"/>
  <c r="F10" i="60" s="1"/>
  <c r="F45" i="60" s="1"/>
  <c r="Z230" i="60"/>
  <c r="Z231" i="60" s="1"/>
  <c r="AA10" i="60" s="1"/>
  <c r="AA45" i="60" s="1"/>
  <c r="U230" i="60"/>
  <c r="U231" i="60" s="1"/>
  <c r="V10" i="60" s="1"/>
  <c r="V45" i="60" s="1"/>
  <c r="I230" i="60"/>
  <c r="I231" i="60" s="1"/>
  <c r="J10" i="60" s="1"/>
  <c r="J45" i="60" s="1"/>
  <c r="G230" i="60"/>
  <c r="G231" i="60" s="1"/>
  <c r="H10" i="60" s="1"/>
  <c r="H45" i="60" s="1"/>
  <c r="X230" i="60"/>
  <c r="X231" i="60" s="1"/>
  <c r="Y10" i="60" s="1"/>
  <c r="Y45" i="60" s="1"/>
  <c r="K230" i="60"/>
  <c r="K231" i="60" s="1"/>
  <c r="L10" i="60" s="1"/>
  <c r="L45" i="60" s="1"/>
  <c r="Q230" i="60"/>
  <c r="Q231" i="60" s="1"/>
  <c r="R10" i="60" s="1"/>
  <c r="R45" i="60" s="1"/>
  <c r="V230" i="60"/>
  <c r="V231" i="60" s="1"/>
  <c r="W10" i="60" s="1"/>
  <c r="W45" i="60" s="1"/>
  <c r="H230" i="60"/>
  <c r="H231" i="60" s="1"/>
  <c r="I10" i="60" s="1"/>
  <c r="I45" i="60" s="1"/>
  <c r="D231" i="60"/>
  <c r="E10" i="60" s="1"/>
  <c r="E45" i="60" s="1"/>
  <c r="AD230" i="60"/>
  <c r="AD231" i="60" s="1"/>
  <c r="AE10" i="60" s="1"/>
  <c r="AE45" i="60" s="1"/>
  <c r="AB230" i="60"/>
  <c r="AB231" i="60" s="1"/>
  <c r="AC10" i="60" s="1"/>
  <c r="AC45" i="60" s="1"/>
  <c r="D164" i="60"/>
  <c r="D182" i="60"/>
  <c r="D183" i="60" s="1"/>
  <c r="E9" i="60" s="1"/>
  <c r="E44" i="60" s="1"/>
  <c r="D136" i="60"/>
  <c r="D137" i="60" s="1"/>
  <c r="E8" i="60" s="1"/>
  <c r="E43" i="60" s="1"/>
  <c r="D117" i="60"/>
  <c r="D230" i="59"/>
  <c r="D231" i="59"/>
  <c r="D232" i="59"/>
  <c r="D233" i="59"/>
  <c r="D109" i="59"/>
  <c r="D110" i="59" s="1"/>
  <c r="G96" i="59"/>
  <c r="H96" i="59"/>
  <c r="I96" i="59"/>
  <c r="J96" i="59"/>
  <c r="K96" i="59"/>
  <c r="L96" i="59"/>
  <c r="M96" i="59"/>
  <c r="N96" i="59"/>
  <c r="O96" i="59"/>
  <c r="P96" i="59"/>
  <c r="Q96" i="59"/>
  <c r="R96" i="59"/>
  <c r="S96" i="59"/>
  <c r="T96" i="59"/>
  <c r="U96" i="59"/>
  <c r="V96" i="59"/>
  <c r="W96" i="59"/>
  <c r="X96" i="59"/>
  <c r="Y96" i="59"/>
  <c r="Z96" i="59"/>
  <c r="AA96" i="59"/>
  <c r="AB96" i="59"/>
  <c r="AC96" i="59"/>
  <c r="AD96" i="59"/>
  <c r="AE96" i="59"/>
  <c r="AF96" i="59"/>
  <c r="F96" i="59"/>
  <c r="F23" i="60"/>
  <c r="F58" i="60" s="1"/>
  <c r="B22" i="60"/>
  <c r="B57" i="60" s="1"/>
  <c r="B23" i="60"/>
  <c r="B58" i="60" s="1"/>
  <c r="B21" i="60"/>
  <c r="B56" i="60" s="1"/>
  <c r="F122" i="61"/>
  <c r="D122" i="61"/>
  <c r="G199" i="59"/>
  <c r="G4" i="59"/>
  <c r="E25" i="59"/>
  <c r="E24" i="59"/>
  <c r="C25" i="59"/>
  <c r="C26" i="59"/>
  <c r="C149" i="59" s="1"/>
  <c r="C150"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80" i="43"/>
  <c r="B122" i="61"/>
  <c r="B91" i="61"/>
  <c r="B123" i="61"/>
  <c r="B92" i="61"/>
  <c r="AB90" i="61"/>
  <c r="B121" i="61"/>
  <c r="B90" i="61"/>
  <c r="AC92" i="61"/>
  <c r="E199"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309" i="43"/>
  <c r="E310" i="43"/>
  <c r="E311" i="43"/>
  <c r="E319" i="43"/>
  <c r="C345" i="43" s="1"/>
  <c r="C377" i="43" s="1"/>
  <c r="E318" i="43"/>
  <c r="C344"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135" i="43"/>
  <c r="C522" i="43"/>
  <c r="C624" i="43"/>
  <c r="Y426" i="43"/>
  <c r="Y404" i="43"/>
  <c r="Q426" i="43"/>
  <c r="Q404" i="43"/>
  <c r="X426" i="43"/>
  <c r="X404" i="43"/>
  <c r="P426" i="43"/>
  <c r="P404" i="43"/>
  <c r="H426" i="43"/>
  <c r="H404" i="43"/>
  <c r="I426" i="43"/>
  <c r="I404" i="43"/>
  <c r="W426" i="43"/>
  <c r="W404" i="43"/>
  <c r="O426" i="43"/>
  <c r="O404" i="43"/>
  <c r="G426" i="43"/>
  <c r="G404" i="43"/>
  <c r="V426" i="43"/>
  <c r="V404" i="43"/>
  <c r="N426" i="43"/>
  <c r="N404" i="43"/>
  <c r="AC426" i="43"/>
  <c r="AC404" i="43"/>
  <c r="U426" i="43"/>
  <c r="U404" i="43"/>
  <c r="M426" i="43"/>
  <c r="M404" i="43"/>
  <c r="E426" i="43"/>
  <c r="E404" i="43"/>
  <c r="AB426" i="43"/>
  <c r="AB404" i="43"/>
  <c r="T426" i="43"/>
  <c r="T404" i="43"/>
  <c r="L426" i="43"/>
  <c r="L404" i="43"/>
  <c r="D426" i="43"/>
  <c r="D404" i="43"/>
  <c r="C426" i="43"/>
  <c r="C404" i="43"/>
  <c r="AA426" i="43"/>
  <c r="AA404" i="43"/>
  <c r="S426" i="43"/>
  <c r="S404" i="43"/>
  <c r="K426" i="43"/>
  <c r="K404" i="43"/>
  <c r="F426" i="43"/>
  <c r="F404" i="43"/>
  <c r="Z426" i="43"/>
  <c r="Z404" i="43"/>
  <c r="R426" i="43"/>
  <c r="R404" i="43"/>
  <c r="J426" i="43"/>
  <c r="J404" i="43"/>
  <c r="C396"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74" i="43"/>
  <c r="C367" i="43" s="1"/>
  <c r="C174" i="43"/>
  <c r="C381" i="43" s="1"/>
  <c r="A11" i="43"/>
  <c r="A10" i="43"/>
  <c r="A7" i="43"/>
  <c r="A5" i="43"/>
  <c r="A6" i="43"/>
  <c r="A4" i="43"/>
  <c r="E260" i="59"/>
  <c r="F257" i="59" s="1"/>
  <c r="C22" i="59"/>
  <c r="C147" i="59" s="1"/>
  <c r="C148" i="59" s="1"/>
  <c r="C20" i="59"/>
  <c r="C19" i="59"/>
  <c r="C143" i="59" s="1"/>
  <c r="C144" i="59" s="1"/>
  <c r="C18" i="59"/>
  <c r="C141" i="59" s="1"/>
  <c r="C142" i="59" s="1"/>
  <c r="E16" i="59"/>
  <c r="C16" i="59"/>
  <c r="E15" i="59"/>
  <c r="C15" i="59"/>
  <c r="E14" i="59"/>
  <c r="C14" i="59"/>
  <c r="C12" i="59"/>
  <c r="C11" i="59"/>
  <c r="C131" i="59" s="1"/>
  <c r="C132" i="59" s="1"/>
  <c r="C10" i="59"/>
  <c r="C129" i="59" s="1"/>
  <c r="C130" i="59" s="1"/>
  <c r="C9" i="59"/>
  <c r="C8" i="59"/>
  <c r="C6" i="59"/>
  <c r="C123" i="59" s="1"/>
  <c r="C124" i="59" s="1"/>
  <c r="N94" i="58"/>
  <c r="CL4" i="59" l="1"/>
  <c r="CL12" i="59" s="1"/>
  <c r="CL20" i="59" s="1"/>
  <c r="CL28" i="59" s="1"/>
  <c r="CL36" i="59" s="1"/>
  <c r="CL46" i="59" s="1"/>
  <c r="C125" i="59"/>
  <c r="C126" i="59"/>
  <c r="C128" i="59"/>
  <c r="C127"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69" i="43"/>
  <c r="W641" i="43" s="1"/>
  <c r="W651" i="43" s="1"/>
  <c r="W439" i="43"/>
  <c r="W448" i="43" s="1"/>
  <c r="R469" i="43"/>
  <c r="R478" i="43" s="1"/>
  <c r="R439" i="43"/>
  <c r="R448" i="43" s="1"/>
  <c r="L469" i="43"/>
  <c r="L478" i="43" s="1"/>
  <c r="L439" i="43"/>
  <c r="L448" i="43" s="1"/>
  <c r="M469" i="43"/>
  <c r="M641" i="43" s="1"/>
  <c r="M651" i="43" s="1"/>
  <c r="M439" i="43"/>
  <c r="M448" i="43" s="1"/>
  <c r="V469" i="43"/>
  <c r="V478" i="43" s="1"/>
  <c r="V439" i="43"/>
  <c r="V448" i="43" s="1"/>
  <c r="I469" i="43"/>
  <c r="I478" i="43" s="1"/>
  <c r="I439" i="43"/>
  <c r="I448" i="43" s="1"/>
  <c r="Q469" i="43"/>
  <c r="Q478" i="43" s="1"/>
  <c r="Q439" i="43"/>
  <c r="Q448" i="43" s="1"/>
  <c r="D469" i="43"/>
  <c r="D641" i="43" s="1"/>
  <c r="D651" i="43" s="1"/>
  <c r="D439" i="43"/>
  <c r="D448" i="43" s="1"/>
  <c r="S469" i="43"/>
  <c r="S478" i="43" s="1"/>
  <c r="S439" i="43"/>
  <c r="S448" i="43" s="1"/>
  <c r="K469" i="43"/>
  <c r="K478" i="43" s="1"/>
  <c r="K439" i="43"/>
  <c r="K448" i="43" s="1"/>
  <c r="Z469" i="43"/>
  <c r="Z478" i="43" s="1"/>
  <c r="Z439" i="43"/>
  <c r="Z448" i="43" s="1"/>
  <c r="AA469" i="43"/>
  <c r="AA478" i="43" s="1"/>
  <c r="AA439" i="43"/>
  <c r="AA448" i="43" s="1"/>
  <c r="T469" i="43"/>
  <c r="T478" i="43" s="1"/>
  <c r="T439" i="43"/>
  <c r="T448" i="43" s="1"/>
  <c r="U469" i="43"/>
  <c r="U478" i="43" s="1"/>
  <c r="U439" i="43"/>
  <c r="U448" i="43" s="1"/>
  <c r="G469" i="43"/>
  <c r="G478" i="43" s="1"/>
  <c r="G439" i="43"/>
  <c r="G448" i="43" s="1"/>
  <c r="H469" i="43"/>
  <c r="H478" i="43" s="1"/>
  <c r="H439" i="43"/>
  <c r="H448" i="43" s="1"/>
  <c r="Y469" i="43"/>
  <c r="Y478" i="43" s="1"/>
  <c r="Y439" i="43"/>
  <c r="Y448" i="43" s="1"/>
  <c r="N469" i="43"/>
  <c r="N478" i="43" s="1"/>
  <c r="N439" i="43"/>
  <c r="N448" i="43" s="1"/>
  <c r="E469" i="43"/>
  <c r="E641" i="43" s="1"/>
  <c r="E651" i="43" s="1"/>
  <c r="E439" i="43"/>
  <c r="E448" i="43" s="1"/>
  <c r="F469" i="43"/>
  <c r="F641" i="43" s="1"/>
  <c r="F651" i="43" s="1"/>
  <c r="F439" i="43"/>
  <c r="F448" i="43" s="1"/>
  <c r="C469" i="43"/>
  <c r="C641" i="43" s="1"/>
  <c r="C651" i="43" s="1"/>
  <c r="C439" i="43"/>
  <c r="C448" i="43" s="1"/>
  <c r="AB469" i="43"/>
  <c r="AB478" i="43" s="1"/>
  <c r="AB439" i="43"/>
  <c r="AB448" i="43" s="1"/>
  <c r="AC469" i="43"/>
  <c r="AC478" i="43" s="1"/>
  <c r="AC439" i="43"/>
  <c r="AC448" i="43" s="1"/>
  <c r="O469" i="43"/>
  <c r="O641" i="43" s="1"/>
  <c r="O651" i="43" s="1"/>
  <c r="O439" i="43"/>
  <c r="O448" i="43" s="1"/>
  <c r="P469" i="43"/>
  <c r="P478" i="43" s="1"/>
  <c r="P439" i="43"/>
  <c r="P448" i="43" s="1"/>
  <c r="J469" i="43"/>
  <c r="J641" i="43" s="1"/>
  <c r="J651" i="43" s="1"/>
  <c r="J439" i="43"/>
  <c r="J448" i="43" s="1"/>
  <c r="X469" i="43"/>
  <c r="X478" i="43" s="1"/>
  <c r="X439" i="43"/>
  <c r="X448" i="43" s="1"/>
  <c r="M478" i="43"/>
  <c r="Q641" i="43"/>
  <c r="Q651" i="43" s="1"/>
  <c r="R641" i="43"/>
  <c r="R651" i="43" s="1"/>
  <c r="Z641" i="43"/>
  <c r="Z651" i="43" s="1"/>
  <c r="Y641" i="43"/>
  <c r="Y651" i="43" s="1"/>
  <c r="C478" i="43"/>
  <c r="P641" i="43"/>
  <c r="P651" i="43" s="1"/>
  <c r="K641" i="43"/>
  <c r="K651" i="43" s="1"/>
  <c r="W478"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521" i="43"/>
  <c r="H623" i="43" s="1"/>
  <c r="H633" i="43" s="1"/>
  <c r="AA521" i="43"/>
  <c r="AA623" i="43" s="1"/>
  <c r="AA633" i="43" s="1"/>
  <c r="F413" i="43"/>
  <c r="C413" i="43"/>
  <c r="AB521" i="43"/>
  <c r="AB664" i="43" s="1"/>
  <c r="AB677" i="43" s="1"/>
  <c r="AC413" i="43"/>
  <c r="O413" i="43"/>
  <c r="P413" i="43"/>
  <c r="T521" i="43"/>
  <c r="T623" i="43" s="1"/>
  <c r="T633" i="43" s="1"/>
  <c r="K413" i="43"/>
  <c r="D413" i="43"/>
  <c r="E413" i="43"/>
  <c r="N413" i="43"/>
  <c r="W413" i="43"/>
  <c r="X413" i="43"/>
  <c r="U413" i="43"/>
  <c r="G413" i="43"/>
  <c r="R413" i="43"/>
  <c r="S413" i="43"/>
  <c r="L413" i="43"/>
  <c r="M521" i="43"/>
  <c r="M664" i="43" s="1"/>
  <c r="M677" i="43" s="1"/>
  <c r="V413" i="43"/>
  <c r="I413" i="43"/>
  <c r="Q413" i="43"/>
  <c r="Z413" i="43"/>
  <c r="Y413" i="43"/>
  <c r="J413" i="43"/>
  <c r="C142"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33" i="59" s="1"/>
  <c r="C134"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39" i="59" s="1"/>
  <c r="C140"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37" i="59" s="1"/>
  <c r="C138" i="59" s="1"/>
  <c r="AI14" i="59"/>
  <c r="C69" i="59"/>
  <c r="AI16" i="59"/>
  <c r="C73" i="59"/>
  <c r="C145" i="59" s="1"/>
  <c r="C146" i="59" s="1"/>
  <c r="AI20" i="59"/>
  <c r="AA68" i="58"/>
  <c r="AZ25" i="59"/>
  <c r="V67" i="58"/>
  <c r="T122" i="61"/>
  <c r="AC20" i="61"/>
  <c r="AD22" i="61"/>
  <c r="C363" i="43"/>
  <c r="AD97" i="61"/>
  <c r="AD27" i="61" s="1"/>
  <c r="AD91" i="61"/>
  <c r="F311" i="43"/>
  <c r="C354" i="43"/>
  <c r="C394" i="43" s="1"/>
  <c r="F310" i="43"/>
  <c r="C353" i="43"/>
  <c r="C380" i="43" s="1"/>
  <c r="F309" i="43"/>
  <c r="C352" i="43"/>
  <c r="C366" i="43" s="1"/>
  <c r="C346" i="43"/>
  <c r="F318" i="43"/>
  <c r="F319"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21" i="43"/>
  <c r="Y623" i="43" s="1"/>
  <c r="Y633" i="43" s="1"/>
  <c r="AA413" i="43"/>
  <c r="U521" i="43"/>
  <c r="U623" i="43" s="1"/>
  <c r="U633" i="43" s="1"/>
  <c r="T413" i="43"/>
  <c r="AC521" i="43"/>
  <c r="AC623" i="43" s="1"/>
  <c r="AC633" i="43" s="1"/>
  <c r="Z521" i="43"/>
  <c r="Z623" i="43" s="1"/>
  <c r="Z633" i="43" s="1"/>
  <c r="G521" i="43"/>
  <c r="G664" i="43" s="1"/>
  <c r="G677" i="43" s="1"/>
  <c r="O521" i="43"/>
  <c r="O623" i="43" s="1"/>
  <c r="O633" i="43" s="1"/>
  <c r="F521" i="43"/>
  <c r="F623" i="43" s="1"/>
  <c r="F633" i="43" s="1"/>
  <c r="AB413" i="43"/>
  <c r="E521" i="43"/>
  <c r="E623" i="43" s="1"/>
  <c r="E633" i="43" s="1"/>
  <c r="C521" i="43"/>
  <c r="C623" i="43" s="1"/>
  <c r="C633" i="43" s="1"/>
  <c r="P521" i="43"/>
  <c r="P664" i="43" s="1"/>
  <c r="P677" i="43" s="1"/>
  <c r="I521" i="43"/>
  <c r="I664" i="43" s="1"/>
  <c r="I677" i="43" s="1"/>
  <c r="M413" i="43"/>
  <c r="V521" i="43"/>
  <c r="Q521" i="43"/>
  <c r="L521" i="43"/>
  <c r="AC626" i="43"/>
  <c r="AC627" i="43" s="1"/>
  <c r="U626" i="43"/>
  <c r="U627" i="43" s="1"/>
  <c r="M626" i="43"/>
  <c r="M627" i="43" s="1"/>
  <c r="E626" i="43"/>
  <c r="E627" i="43" s="1"/>
  <c r="F626" i="43"/>
  <c r="F627" i="43" s="1"/>
  <c r="V626" i="43"/>
  <c r="V627" i="43" s="1"/>
  <c r="N626" i="43"/>
  <c r="N627" i="43" s="1"/>
  <c r="D626" i="43"/>
  <c r="AB626" i="43"/>
  <c r="AB627" i="43" s="1"/>
  <c r="Y626" i="43"/>
  <c r="Y627" i="43" s="1"/>
  <c r="K626" i="43"/>
  <c r="K627" i="43" s="1"/>
  <c r="X626" i="43"/>
  <c r="X627" i="43" s="1"/>
  <c r="O626" i="43"/>
  <c r="O627" i="43" s="1"/>
  <c r="AA626" i="43"/>
  <c r="AA627" i="43" s="1"/>
  <c r="H626" i="43"/>
  <c r="H627" i="43" s="1"/>
  <c r="Z626" i="43"/>
  <c r="Z627" i="43" s="1"/>
  <c r="T626" i="43"/>
  <c r="T627" i="43" s="1"/>
  <c r="G626" i="43"/>
  <c r="G627" i="43" s="1"/>
  <c r="W626" i="43"/>
  <c r="W627" i="43" s="1"/>
  <c r="S626" i="43"/>
  <c r="S627" i="43" s="1"/>
  <c r="R626" i="43"/>
  <c r="R627" i="43" s="1"/>
  <c r="L626" i="43"/>
  <c r="L627" i="43" s="1"/>
  <c r="P626" i="43"/>
  <c r="P627" i="43" s="1"/>
  <c r="J626" i="43"/>
  <c r="J627" i="43" s="1"/>
  <c r="I626" i="43"/>
  <c r="I627" i="43" s="1"/>
  <c r="Q626" i="43"/>
  <c r="Q627" i="43" s="1"/>
  <c r="E524" i="43"/>
  <c r="E525" i="43" s="1"/>
  <c r="E7" i="43" s="1"/>
  <c r="D524" i="43"/>
  <c r="D525" i="43" s="1"/>
  <c r="D7" i="43" s="1"/>
  <c r="AA524" i="43"/>
  <c r="AA525" i="43" s="1"/>
  <c r="Q524" i="43"/>
  <c r="Q525" i="43" s="1"/>
  <c r="Z524" i="43"/>
  <c r="Z525" i="43" s="1"/>
  <c r="M524" i="43"/>
  <c r="M525" i="43" s="1"/>
  <c r="X524" i="43"/>
  <c r="X525" i="43" s="1"/>
  <c r="T524" i="43"/>
  <c r="T525" i="43" s="1"/>
  <c r="Y524" i="43"/>
  <c r="Y525" i="43" s="1"/>
  <c r="K524" i="43"/>
  <c r="K525" i="43" s="1"/>
  <c r="W524" i="43"/>
  <c r="W525" i="43" s="1"/>
  <c r="V524" i="43"/>
  <c r="V525" i="43" s="1"/>
  <c r="R524" i="43"/>
  <c r="R525" i="43" s="1"/>
  <c r="G524" i="43"/>
  <c r="G525" i="43" s="1"/>
  <c r="L524" i="43"/>
  <c r="L525" i="43" s="1"/>
  <c r="O524" i="43"/>
  <c r="O525" i="43" s="1"/>
  <c r="J524" i="43"/>
  <c r="J525" i="43" s="1"/>
  <c r="I524" i="43"/>
  <c r="I525" i="43" s="1"/>
  <c r="P524" i="43"/>
  <c r="P525" i="43" s="1"/>
  <c r="U524" i="43"/>
  <c r="U525" i="43" s="1"/>
  <c r="N524" i="43"/>
  <c r="N525" i="43" s="1"/>
  <c r="AC524" i="43"/>
  <c r="AC525" i="43" s="1"/>
  <c r="S524" i="43"/>
  <c r="S525" i="43" s="1"/>
  <c r="H524" i="43"/>
  <c r="H525" i="43" s="1"/>
  <c r="AB524" i="43"/>
  <c r="AB525" i="43" s="1"/>
  <c r="F524" i="43"/>
  <c r="F525" i="43" s="1"/>
  <c r="D521" i="43"/>
  <c r="X521" i="43"/>
  <c r="J521" i="43"/>
  <c r="K521" i="43"/>
  <c r="N521" i="43"/>
  <c r="W521" i="43"/>
  <c r="R521" i="43"/>
  <c r="S521" i="43"/>
  <c r="E367" i="43"/>
  <c r="D107" i="61"/>
  <c r="G9" i="59"/>
  <c r="G20" i="59"/>
  <c r="G8" i="59"/>
  <c r="G18" i="59"/>
  <c r="G19" i="59"/>
  <c r="F252" i="59"/>
  <c r="F258" i="59"/>
  <c r="F259" i="59"/>
  <c r="F250" i="59"/>
  <c r="F251" i="59"/>
  <c r="F253" i="59"/>
  <c r="F254" i="59"/>
  <c r="F255" i="59"/>
  <c r="F256" i="59"/>
  <c r="F65" i="58"/>
  <c r="F52" i="58"/>
  <c r="BG43" i="59" l="1"/>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78" i="43"/>
  <c r="L641" i="43"/>
  <c r="L651" i="43" s="1"/>
  <c r="V641" i="43"/>
  <c r="V651" i="43" s="1"/>
  <c r="X641" i="43"/>
  <c r="X651" i="43" s="1"/>
  <c r="O478" i="43"/>
  <c r="BF69" i="59"/>
  <c r="BF82" i="59" s="1"/>
  <c r="BF95" i="59" s="1"/>
  <c r="BF107" i="59" s="1"/>
  <c r="BF118" i="59" s="1"/>
  <c r="AC641" i="43"/>
  <c r="AC651" i="43" s="1"/>
  <c r="G641" i="43"/>
  <c r="G651" i="43" s="1"/>
  <c r="S641" i="43"/>
  <c r="S651" i="43" s="1"/>
  <c r="J478" i="43"/>
  <c r="AX69" i="59"/>
  <c r="AX82" i="59" s="1"/>
  <c r="AX95" i="59" s="1"/>
  <c r="AX107" i="59" s="1"/>
  <c r="AX118" i="59" s="1"/>
  <c r="N641" i="43"/>
  <c r="N651" i="43" s="1"/>
  <c r="BI43" i="59"/>
  <c r="BI54" i="59" s="1"/>
  <c r="D478" i="43"/>
  <c r="I641" i="43"/>
  <c r="I651" i="43" s="1"/>
  <c r="T641" i="43"/>
  <c r="T651" i="43" s="1"/>
  <c r="U641" i="43"/>
  <c r="U651" i="43" s="1"/>
  <c r="AB641" i="43"/>
  <c r="AB651" i="43" s="1"/>
  <c r="F478" i="43"/>
  <c r="H641" i="43"/>
  <c r="H651" i="43" s="1"/>
  <c r="AA641" i="43"/>
  <c r="AA651" i="43" s="1"/>
  <c r="AB623" i="43"/>
  <c r="AB633" i="43" s="1"/>
  <c r="M623" i="43"/>
  <c r="M633"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144" i="43"/>
  <c r="D344" i="43" s="1"/>
  <c r="D363" i="43" s="1"/>
  <c r="AK6" i="59"/>
  <c r="AK34" i="59" s="1"/>
  <c r="E107" i="61"/>
  <c r="D153" i="43"/>
  <c r="D353" i="43" s="1"/>
  <c r="D380" i="43" s="1"/>
  <c r="AK22" i="59"/>
  <c r="AK37" i="59" s="1"/>
  <c r="E120" i="61"/>
  <c r="BO29" i="59"/>
  <c r="BO37" i="59" s="1"/>
  <c r="AA664" i="43"/>
  <c r="AA677" i="43" s="1"/>
  <c r="AN69" i="59"/>
  <c r="AN82" i="59" s="1"/>
  <c r="AN95" i="59" s="1"/>
  <c r="AN107" i="59" s="1"/>
  <c r="AN118" i="59" s="1"/>
  <c r="BA43" i="59"/>
  <c r="BA54" i="59" s="1"/>
  <c r="AT43" i="59"/>
  <c r="AT54" i="59" s="1"/>
  <c r="AS69" i="59"/>
  <c r="AS82" i="59" s="1"/>
  <c r="AS95" i="59" s="1"/>
  <c r="AS107" i="59" s="1"/>
  <c r="AS118" i="59" s="1"/>
  <c r="H664" i="43"/>
  <c r="H677" i="43" s="1"/>
  <c r="T664" i="43"/>
  <c r="T677" i="43" s="1"/>
  <c r="BP29" i="59"/>
  <c r="C361" i="43"/>
  <c r="AO69" i="59"/>
  <c r="AO82" i="59" s="1"/>
  <c r="AO95" i="59" s="1"/>
  <c r="AO107" i="59" s="1"/>
  <c r="AO118" i="59" s="1"/>
  <c r="AU69" i="59"/>
  <c r="AU82" i="59" s="1"/>
  <c r="AU95" i="59" s="1"/>
  <c r="AU107" i="59" s="1"/>
  <c r="AU118" i="59" s="1"/>
  <c r="B76" i="43"/>
  <c r="B75" i="43"/>
  <c r="B103" i="43"/>
  <c r="B102" i="43"/>
  <c r="B101" i="43"/>
  <c r="BA25" i="59"/>
  <c r="W67" i="58"/>
  <c r="U122" i="61"/>
  <c r="AB68" i="58"/>
  <c r="AD21" i="61"/>
  <c r="AD20" i="61"/>
  <c r="F312" i="43"/>
  <c r="D106" i="61"/>
  <c r="D132" i="61" s="1"/>
  <c r="D39" i="61"/>
  <c r="D75" i="61"/>
  <c r="AB27" i="60"/>
  <c r="AB62" i="60" s="1"/>
  <c r="AC24" i="60"/>
  <c r="AC59" i="60" s="1"/>
  <c r="H20" i="60"/>
  <c r="G55" i="60"/>
  <c r="AB28" i="60"/>
  <c r="AB63" i="60" s="1"/>
  <c r="J23" i="60"/>
  <c r="J58" i="60" s="1"/>
  <c r="H21" i="60"/>
  <c r="G56" i="60"/>
  <c r="H22" i="60"/>
  <c r="G57" i="60"/>
  <c r="U664" i="43"/>
  <c r="U677" i="43" s="1"/>
  <c r="C525" i="43"/>
  <c r="H635" i="43"/>
  <c r="H636" i="43" s="1"/>
  <c r="O635" i="43"/>
  <c r="O636" i="43" s="1"/>
  <c r="T635" i="43"/>
  <c r="T636" i="43" s="1"/>
  <c r="S635" i="43"/>
  <c r="S636" i="43" s="1"/>
  <c r="L635" i="43"/>
  <c r="L636" i="43" s="1"/>
  <c r="X635" i="43"/>
  <c r="X636" i="43" s="1"/>
  <c r="AC635" i="43"/>
  <c r="AC636" i="43" s="1"/>
  <c r="G635" i="43"/>
  <c r="G636" i="43" s="1"/>
  <c r="M635" i="43"/>
  <c r="M636" i="43" s="1"/>
  <c r="N635" i="43"/>
  <c r="N636" i="43" s="1"/>
  <c r="R635" i="43"/>
  <c r="R636" i="43" s="1"/>
  <c r="Z635" i="43"/>
  <c r="Z636" i="43" s="1"/>
  <c r="U635" i="43"/>
  <c r="U636" i="43" s="1"/>
  <c r="V635" i="43"/>
  <c r="V636" i="43" s="1"/>
  <c r="Q635" i="43"/>
  <c r="Q636" i="43" s="1"/>
  <c r="P635" i="43"/>
  <c r="P636" i="43" s="1"/>
  <c r="W635" i="43"/>
  <c r="W636" i="43" s="1"/>
  <c r="AA635" i="43"/>
  <c r="AA636" i="43" s="1"/>
  <c r="F635" i="43"/>
  <c r="F636" i="43" s="1"/>
  <c r="I635" i="43"/>
  <c r="I636" i="43" s="1"/>
  <c r="K635" i="43"/>
  <c r="K636" i="43" s="1"/>
  <c r="D635" i="43"/>
  <c r="D636" i="43" s="1"/>
  <c r="AB635" i="43"/>
  <c r="AB636" i="43" s="1"/>
  <c r="J635" i="43"/>
  <c r="J636" i="43" s="1"/>
  <c r="Y635" i="43"/>
  <c r="Y636" i="43" s="1"/>
  <c r="E635" i="43"/>
  <c r="E636" i="43" s="1"/>
  <c r="Y664" i="43"/>
  <c r="Y677" i="43" s="1"/>
  <c r="Z664" i="43"/>
  <c r="Z677" i="43" s="1"/>
  <c r="G623" i="43"/>
  <c r="G633" i="43" s="1"/>
  <c r="AC664" i="43"/>
  <c r="AC677" i="43" s="1"/>
  <c r="O664" i="43"/>
  <c r="O677" i="43" s="1"/>
  <c r="P623" i="43"/>
  <c r="P633" i="43" s="1"/>
  <c r="F664" i="43"/>
  <c r="F677" i="43" s="1"/>
  <c r="E664" i="43"/>
  <c r="E677" i="43" s="1"/>
  <c r="I623" i="43"/>
  <c r="I633" i="43" s="1"/>
  <c r="C664" i="43"/>
  <c r="C677" i="43" s="1"/>
  <c r="X623" i="43"/>
  <c r="X633" i="43" s="1"/>
  <c r="X664" i="43"/>
  <c r="X677" i="43" s="1"/>
  <c r="V623" i="43"/>
  <c r="V633" i="43" s="1"/>
  <c r="V664" i="43"/>
  <c r="V677" i="43" s="1"/>
  <c r="W623" i="43"/>
  <c r="W633" i="43" s="1"/>
  <c r="W664" i="43"/>
  <c r="W677" i="43" s="1"/>
  <c r="L623" i="43"/>
  <c r="L633" i="43" s="1"/>
  <c r="L664" i="43"/>
  <c r="L677" i="43" s="1"/>
  <c r="N623" i="43"/>
  <c r="N633" i="43" s="1"/>
  <c r="N664" i="43"/>
  <c r="N677" i="43" s="1"/>
  <c r="D623" i="43"/>
  <c r="D633" i="43" s="1"/>
  <c r="D664" i="43"/>
  <c r="D677" i="43" s="1"/>
  <c r="S623" i="43"/>
  <c r="S633" i="43" s="1"/>
  <c r="S664" i="43"/>
  <c r="S677" i="43" s="1"/>
  <c r="R623" i="43"/>
  <c r="R633" i="43" s="1"/>
  <c r="R664" i="43"/>
  <c r="R677" i="43" s="1"/>
  <c r="K623" i="43"/>
  <c r="K633" i="43" s="1"/>
  <c r="K664" i="43"/>
  <c r="K677" i="43" s="1"/>
  <c r="J623" i="43"/>
  <c r="J633" i="43" s="1"/>
  <c r="J664" i="43"/>
  <c r="J677" i="43" s="1"/>
  <c r="Q623" i="43"/>
  <c r="Q633" i="43" s="1"/>
  <c r="Q664" i="43"/>
  <c r="Q677" i="43" s="1"/>
  <c r="C524" i="43"/>
  <c r="C626" i="43"/>
  <c r="C627" i="43" s="1"/>
  <c r="D627"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52" i="43" l="1"/>
  <c r="D366"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144" i="43"/>
  <c r="E344" i="43" s="1"/>
  <c r="E363" i="43" s="1"/>
  <c r="AL6" i="59"/>
  <c r="AL34" i="59" s="1"/>
  <c r="F107" i="61"/>
  <c r="D345" i="43"/>
  <c r="D377" i="43" s="1"/>
  <c r="V74" i="58"/>
  <c r="V32" i="58" s="1"/>
  <c r="CD8" i="59"/>
  <c r="CD22" i="59" s="1"/>
  <c r="D354" i="43"/>
  <c r="AL22" i="59"/>
  <c r="AL37" i="59" s="1"/>
  <c r="F120" i="61"/>
  <c r="E526" i="43"/>
  <c r="D526" i="43"/>
  <c r="D470" i="43" s="1"/>
  <c r="D642" i="43" s="1"/>
  <c r="BP31" i="59"/>
  <c r="BP37" i="59"/>
  <c r="BO39" i="59"/>
  <c r="BO40" i="59"/>
  <c r="B79" i="43"/>
  <c r="B77" i="43"/>
  <c r="B82" i="43"/>
  <c r="B81" i="43"/>
  <c r="B83" i="43"/>
  <c r="B78" i="43"/>
  <c r="AC68" i="58"/>
  <c r="BB25" i="59"/>
  <c r="X67" i="58"/>
  <c r="V122" i="61"/>
  <c r="AC28" i="60"/>
  <c r="AC63" i="60" s="1"/>
  <c r="I22" i="60"/>
  <c r="H57" i="60"/>
  <c r="I20" i="60"/>
  <c r="H55" i="60"/>
  <c r="I21" i="60"/>
  <c r="H56" i="60"/>
  <c r="AD24" i="60"/>
  <c r="AD59" i="60" s="1"/>
  <c r="K23" i="60"/>
  <c r="K58" i="60" s="1"/>
  <c r="AC27" i="60"/>
  <c r="AC62" i="60" s="1"/>
  <c r="B105" i="43"/>
  <c r="C635" i="43"/>
  <c r="C636" i="43" s="1"/>
  <c r="N95" i="58"/>
  <c r="E64" i="58" s="1"/>
  <c r="K526" i="43"/>
  <c r="Z526" i="43"/>
  <c r="G526" i="43"/>
  <c r="T526" i="43"/>
  <c r="R526" i="43"/>
  <c r="H526" i="43"/>
  <c r="W526" i="43"/>
  <c r="X526" i="43"/>
  <c r="F526" i="43"/>
  <c r="M526" i="43"/>
  <c r="P526" i="43"/>
  <c r="AC526" i="43"/>
  <c r="Q526" i="43"/>
  <c r="U526" i="43"/>
  <c r="N526" i="43"/>
  <c r="AA526" i="43"/>
  <c r="Y526" i="43"/>
  <c r="J526" i="43"/>
  <c r="V526" i="43"/>
  <c r="L526" i="43"/>
  <c r="O526" i="43"/>
  <c r="AB526" i="43"/>
  <c r="I526" i="43"/>
  <c r="S526" i="43"/>
  <c r="H65" i="58"/>
  <c r="E153" i="43"/>
  <c r="H52" i="58"/>
  <c r="E345" i="43" l="1"/>
  <c r="E377"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51" i="43"/>
  <c r="D119" i="61"/>
  <c r="AJ20" i="59"/>
  <c r="F144" i="43"/>
  <c r="F345" i="43" s="1"/>
  <c r="F377" i="43" s="1"/>
  <c r="AM6" i="59"/>
  <c r="AM34" i="59" s="1"/>
  <c r="G107" i="61"/>
  <c r="BH24" i="59"/>
  <c r="BH38" i="59" s="1"/>
  <c r="AD66" i="58"/>
  <c r="AB121" i="61"/>
  <c r="AM22" i="59"/>
  <c r="AM37" i="59" s="1"/>
  <c r="G120" i="61"/>
  <c r="U470" i="43"/>
  <c r="U642" i="43" s="1"/>
  <c r="U472" i="43"/>
  <c r="U644" i="43" s="1"/>
  <c r="U471" i="43"/>
  <c r="U643" i="43" s="1"/>
  <c r="AA470" i="43"/>
  <c r="AA642" i="43" s="1"/>
  <c r="AA472" i="43"/>
  <c r="AA644" i="43" s="1"/>
  <c r="AA471" i="43"/>
  <c r="AA643" i="43" s="1"/>
  <c r="AB470" i="43"/>
  <c r="AB642" i="43" s="1"/>
  <c r="AB472" i="43"/>
  <c r="AB644" i="43" s="1"/>
  <c r="AB471" i="43"/>
  <c r="AB643" i="43" s="1"/>
  <c r="O472" i="43"/>
  <c r="O644" i="43" s="1"/>
  <c r="O470" i="43"/>
  <c r="O642" i="43" s="1"/>
  <c r="O471" i="43"/>
  <c r="O643" i="43" s="1"/>
  <c r="Q471" i="43"/>
  <c r="Q643" i="43" s="1"/>
  <c r="Q470" i="43"/>
  <c r="Q642" i="43" s="1"/>
  <c r="Q472" i="43"/>
  <c r="Q644" i="43" s="1"/>
  <c r="R471" i="43"/>
  <c r="R643" i="43" s="1"/>
  <c r="R470" i="43"/>
  <c r="R642" i="43" s="1"/>
  <c r="R472" i="43"/>
  <c r="R644" i="43" s="1"/>
  <c r="T470" i="43"/>
  <c r="T642" i="43" s="1"/>
  <c r="T472" i="43"/>
  <c r="T644" i="43" s="1"/>
  <c r="T471" i="43"/>
  <c r="T643" i="43" s="1"/>
  <c r="AC470" i="43"/>
  <c r="AC642" i="43" s="1"/>
  <c r="AC472" i="43"/>
  <c r="AC644" i="43" s="1"/>
  <c r="AC471" i="43"/>
  <c r="AC643" i="43" s="1"/>
  <c r="V471" i="43"/>
  <c r="V643" i="43" s="1"/>
  <c r="V470" i="43"/>
  <c r="V642" i="43" s="1"/>
  <c r="V472" i="43"/>
  <c r="V644" i="43" s="1"/>
  <c r="P470" i="43"/>
  <c r="P642" i="43" s="1"/>
  <c r="P472" i="43"/>
  <c r="P644" i="43" s="1"/>
  <c r="P471" i="43"/>
  <c r="P643" i="43" s="1"/>
  <c r="G470" i="43"/>
  <c r="G642" i="43" s="1"/>
  <c r="G471" i="43"/>
  <c r="G643" i="43" s="1"/>
  <c r="G472" i="43"/>
  <c r="G644" i="43" s="1"/>
  <c r="L470" i="43"/>
  <c r="L642" i="43" s="1"/>
  <c r="L471" i="43"/>
  <c r="L643" i="43" s="1"/>
  <c r="L472" i="43"/>
  <c r="L644" i="43" s="1"/>
  <c r="J470" i="43"/>
  <c r="J642" i="43" s="1"/>
  <c r="J472" i="43"/>
  <c r="J644" i="43" s="1"/>
  <c r="J471" i="43"/>
  <c r="J643" i="43" s="1"/>
  <c r="Z470" i="43"/>
  <c r="Z642" i="43" s="1"/>
  <c r="Z471" i="43"/>
  <c r="Z643" i="43" s="1"/>
  <c r="Z472" i="43"/>
  <c r="Z644" i="43" s="1"/>
  <c r="S470" i="43"/>
  <c r="S642" i="43" s="1"/>
  <c r="S472" i="43"/>
  <c r="S644" i="43" s="1"/>
  <c r="S471" i="43"/>
  <c r="S643" i="43" s="1"/>
  <c r="X471" i="43"/>
  <c r="X643" i="43" s="1"/>
  <c r="X472" i="43"/>
  <c r="X644" i="43" s="1"/>
  <c r="X470" i="43"/>
  <c r="X642" i="43" s="1"/>
  <c r="H470" i="43"/>
  <c r="H642" i="43" s="1"/>
  <c r="H471" i="43"/>
  <c r="H643" i="43" s="1"/>
  <c r="H472" i="43"/>
  <c r="H644" i="43" s="1"/>
  <c r="M470" i="43"/>
  <c r="M642" i="43" s="1"/>
  <c r="M472" i="43"/>
  <c r="M644" i="43" s="1"/>
  <c r="M471" i="43"/>
  <c r="M643" i="43" s="1"/>
  <c r="Y471" i="43"/>
  <c r="Y643" i="43" s="1"/>
  <c r="Y472" i="43"/>
  <c r="Y644" i="43" s="1"/>
  <c r="Y470" i="43"/>
  <c r="Y642" i="43" s="1"/>
  <c r="F471" i="43"/>
  <c r="F643" i="43" s="1"/>
  <c r="F470" i="43"/>
  <c r="F642" i="43" s="1"/>
  <c r="F472" i="43"/>
  <c r="F644" i="43" s="1"/>
  <c r="K470" i="43"/>
  <c r="K642" i="43" s="1"/>
  <c r="K471" i="43"/>
  <c r="K643" i="43" s="1"/>
  <c r="K472" i="43"/>
  <c r="K644" i="43" s="1"/>
  <c r="D471" i="43"/>
  <c r="D643" i="43" s="1"/>
  <c r="D472" i="43"/>
  <c r="D644" i="43" s="1"/>
  <c r="D479" i="43"/>
  <c r="I472" i="43"/>
  <c r="I644" i="43" s="1"/>
  <c r="I470" i="43"/>
  <c r="I642" i="43" s="1"/>
  <c r="I471" i="43"/>
  <c r="I643" i="43" s="1"/>
  <c r="N472" i="43"/>
  <c r="N644" i="43" s="1"/>
  <c r="N470" i="43"/>
  <c r="N642" i="43" s="1"/>
  <c r="N471" i="43"/>
  <c r="N643" i="43" s="1"/>
  <c r="W471" i="43"/>
  <c r="W643" i="43" s="1"/>
  <c r="W470" i="43"/>
  <c r="W642" i="43" s="1"/>
  <c r="W472" i="43"/>
  <c r="W644" i="43" s="1"/>
  <c r="E470" i="43"/>
  <c r="E642" i="43" s="1"/>
  <c r="E472" i="43"/>
  <c r="E644" i="43" s="1"/>
  <c r="E471" i="43"/>
  <c r="E643" i="43" s="1"/>
  <c r="BP39" i="59"/>
  <c r="BP40" i="59"/>
  <c r="BO41" i="59"/>
  <c r="BO42" i="59" s="1"/>
  <c r="D125" i="61"/>
  <c r="D124" i="61"/>
  <c r="BC25" i="59"/>
  <c r="W122" i="61"/>
  <c r="Y67" i="58"/>
  <c r="AD68" i="58"/>
  <c r="E352" i="43"/>
  <c r="E366" i="43" s="1"/>
  <c r="E353" i="43"/>
  <c r="E380" i="43" s="1"/>
  <c r="E354" i="43"/>
  <c r="J21" i="60"/>
  <c r="I56" i="60"/>
  <c r="AD27" i="60"/>
  <c r="AD62" i="60" s="1"/>
  <c r="J20" i="60"/>
  <c r="I55" i="60"/>
  <c r="L23" i="60"/>
  <c r="L58" i="60" s="1"/>
  <c r="J22" i="60"/>
  <c r="I57" i="60"/>
  <c r="AE24" i="60"/>
  <c r="AE59" i="60" s="1"/>
  <c r="AD28" i="60"/>
  <c r="AD63" i="60" s="1"/>
  <c r="B84" i="43"/>
  <c r="C526" i="43"/>
  <c r="E61" i="58"/>
  <c r="E58" i="58"/>
  <c r="E57" i="58"/>
  <c r="E54" i="58"/>
  <c r="E53" i="58"/>
  <c r="E59" i="58"/>
  <c r="E56" i="58"/>
  <c r="E63" i="58"/>
  <c r="E55" i="58"/>
  <c r="E60" i="58"/>
  <c r="I65" i="58"/>
  <c r="F153" i="43"/>
  <c r="I52" i="58"/>
  <c r="F64" i="58"/>
  <c r="F62" i="58"/>
  <c r="AB646" i="43" l="1"/>
  <c r="AB655" i="43" s="1"/>
  <c r="BV7" i="59"/>
  <c r="CI7" i="59"/>
  <c r="G479" i="43"/>
  <c r="CN7" i="59"/>
  <c r="CB7" i="59"/>
  <c r="K479" i="43"/>
  <c r="BY7" i="59"/>
  <c r="BU7" i="59"/>
  <c r="AC479" i="43"/>
  <c r="Q479" i="43"/>
  <c r="CA7" i="59"/>
  <c r="CD7" i="59"/>
  <c r="P479" i="43"/>
  <c r="CE7" i="59"/>
  <c r="AA479" i="43"/>
  <c r="BW7" i="59"/>
  <c r="X125" i="61"/>
  <c r="BT7" i="59"/>
  <c r="F479" i="43"/>
  <c r="BS7" i="59"/>
  <c r="S479" i="43"/>
  <c r="T479" i="43"/>
  <c r="O479" i="43"/>
  <c r="CK7" i="59"/>
  <c r="L479" i="43"/>
  <c r="V479" i="43"/>
  <c r="CC7" i="59"/>
  <c r="BZ7" i="59"/>
  <c r="CF7" i="59"/>
  <c r="W646" i="43"/>
  <c r="Y479" i="43"/>
  <c r="H479" i="43"/>
  <c r="BR7" i="59"/>
  <c r="R479" i="43"/>
  <c r="U479" i="43"/>
  <c r="BX7" i="59"/>
  <c r="J479" i="43"/>
  <c r="CL7" i="59"/>
  <c r="CJ7" i="59"/>
  <c r="X479" i="43"/>
  <c r="Z479" i="43"/>
  <c r="CM7" i="59"/>
  <c r="F344" i="43"/>
  <c r="F363" i="43" s="1"/>
  <c r="BN39" i="59"/>
  <c r="BN41" i="59" s="1"/>
  <c r="BN42" i="59" s="1"/>
  <c r="E473" i="43"/>
  <c r="E479" i="43"/>
  <c r="I473" i="43"/>
  <c r="I479" i="43"/>
  <c r="F473" i="43"/>
  <c r="M473" i="43"/>
  <c r="M479" i="43"/>
  <c r="T125" i="61"/>
  <c r="O473" i="43"/>
  <c r="V473" i="43"/>
  <c r="W473" i="43"/>
  <c r="W479" i="43"/>
  <c r="N473" i="43"/>
  <c r="N479" i="43"/>
  <c r="L125" i="61"/>
  <c r="AD125" i="61"/>
  <c r="AB473" i="43"/>
  <c r="AB479" i="43"/>
  <c r="O125" i="61"/>
  <c r="F55" i="58"/>
  <c r="D110" i="61"/>
  <c r="AJ10" i="59"/>
  <c r="F58" i="58"/>
  <c r="AJ13" i="59"/>
  <c r="D113" i="61"/>
  <c r="C150" i="43"/>
  <c r="D118" i="61"/>
  <c r="AJ19" i="59"/>
  <c r="F61" i="58"/>
  <c r="AJ16" i="59"/>
  <c r="D116" i="61"/>
  <c r="F60" i="58"/>
  <c r="E115" i="61" s="1"/>
  <c r="D115" i="61"/>
  <c r="AJ15" i="59"/>
  <c r="F56" i="58"/>
  <c r="G56" i="58" s="1"/>
  <c r="D111" i="61"/>
  <c r="AJ11" i="59"/>
  <c r="F57" i="58"/>
  <c r="AJ12" i="59"/>
  <c r="D112" i="61"/>
  <c r="F59" i="58"/>
  <c r="AK14" i="59" s="1"/>
  <c r="AJ14" i="59"/>
  <c r="D114" i="61"/>
  <c r="G144" i="43"/>
  <c r="G344" i="43" s="1"/>
  <c r="G363" i="43" s="1"/>
  <c r="AN6" i="59"/>
  <c r="AN34" i="59" s="1"/>
  <c r="H107" i="61"/>
  <c r="C149"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47" i="43"/>
  <c r="AK10" i="59"/>
  <c r="E110" i="61"/>
  <c r="G61" i="58"/>
  <c r="AK16" i="59"/>
  <c r="E116" i="61"/>
  <c r="D149" i="43"/>
  <c r="AK18" i="59"/>
  <c r="E117" i="61"/>
  <c r="X473" i="43"/>
  <c r="G473" i="43"/>
  <c r="J473" i="43"/>
  <c r="AC473" i="43"/>
  <c r="Q473" i="43"/>
  <c r="K473" i="43"/>
  <c r="P473" i="43"/>
  <c r="AA473" i="43"/>
  <c r="S473" i="43"/>
  <c r="L473" i="43"/>
  <c r="T473" i="43"/>
  <c r="D473" i="43"/>
  <c r="Z473" i="43"/>
  <c r="R473" i="43"/>
  <c r="Y473" i="43"/>
  <c r="H473" i="43"/>
  <c r="U473" i="43"/>
  <c r="BP41" i="59"/>
  <c r="BP42" i="59" s="1"/>
  <c r="BN7" i="59"/>
  <c r="BN6" i="59"/>
  <c r="AE68" i="58"/>
  <c r="BD25" i="59"/>
  <c r="Z67" i="58"/>
  <c r="X122" i="61"/>
  <c r="F352" i="43"/>
  <c r="F366" i="43" s="1"/>
  <c r="F354" i="43"/>
  <c r="F353" i="43"/>
  <c r="F380" i="43" s="1"/>
  <c r="K20" i="60"/>
  <c r="J55" i="60"/>
  <c r="AE27" i="60"/>
  <c r="AE62" i="60" s="1"/>
  <c r="M23" i="60"/>
  <c r="M58" i="60" s="1"/>
  <c r="AE28" i="60"/>
  <c r="AE63" i="60" s="1"/>
  <c r="K22" i="60"/>
  <c r="J57" i="60"/>
  <c r="K21" i="60"/>
  <c r="J56" i="60"/>
  <c r="G55" i="58"/>
  <c r="H55" i="58" s="1"/>
  <c r="F63" i="58"/>
  <c r="G53" i="58"/>
  <c r="G62" i="58"/>
  <c r="J65" i="58"/>
  <c r="G153" i="43"/>
  <c r="G64" i="58"/>
  <c r="D151" i="43"/>
  <c r="J52" i="58"/>
  <c r="H208" i="43"/>
  <c r="AJ36" i="59" l="1"/>
  <c r="E111" i="61"/>
  <c r="G54" i="58"/>
  <c r="E114" i="61"/>
  <c r="D146" i="43"/>
  <c r="W655" i="43"/>
  <c r="W652" i="43"/>
  <c r="K125" i="61"/>
  <c r="AB654" i="43"/>
  <c r="Z646" i="43"/>
  <c r="Z655" i="43" s="1"/>
  <c r="R646" i="43"/>
  <c r="R655" i="43" s="1"/>
  <c r="H646" i="43"/>
  <c r="V646" i="43"/>
  <c r="V652" i="43" s="1"/>
  <c r="K646" i="43"/>
  <c r="K655" i="43" s="1"/>
  <c r="AB652" i="43"/>
  <c r="M646" i="43"/>
  <c r="M654" i="43" s="1"/>
  <c r="I125" i="61"/>
  <c r="X646" i="43"/>
  <c r="X655" i="43" s="1"/>
  <c r="Y646" i="43"/>
  <c r="Y655" i="43" s="1"/>
  <c r="L646" i="43"/>
  <c r="L655" i="43" s="1"/>
  <c r="S646" i="43"/>
  <c r="S655" i="43" s="1"/>
  <c r="W654" i="43"/>
  <c r="P646" i="43"/>
  <c r="P655" i="43" s="1"/>
  <c r="Q646" i="43"/>
  <c r="Q655" i="43" s="1"/>
  <c r="N646" i="43"/>
  <c r="N654" i="43" s="1"/>
  <c r="I646" i="43"/>
  <c r="U646" i="43"/>
  <c r="U655" i="43" s="1"/>
  <c r="O646" i="43"/>
  <c r="O654" i="43" s="1"/>
  <c r="AC646" i="43"/>
  <c r="AC655" i="43" s="1"/>
  <c r="E646" i="43"/>
  <c r="BP7" i="59"/>
  <c r="D646" i="43"/>
  <c r="D652" i="43" s="1"/>
  <c r="J646" i="43"/>
  <c r="J655" i="43" s="1"/>
  <c r="AB653" i="43"/>
  <c r="W653" i="43"/>
  <c r="T646" i="43"/>
  <c r="T655" i="43" s="1"/>
  <c r="F646" i="43"/>
  <c r="F653" i="43" s="1"/>
  <c r="AA646" i="43"/>
  <c r="AA655" i="43" s="1"/>
  <c r="G646" i="43"/>
  <c r="G655" i="43" s="1"/>
  <c r="N125" i="61"/>
  <c r="J125" i="61"/>
  <c r="U125" i="61"/>
  <c r="AB125" i="61"/>
  <c r="V125" i="61"/>
  <c r="S125" i="61"/>
  <c r="H125" i="61"/>
  <c r="Q125" i="61"/>
  <c r="BS6" i="59"/>
  <c r="BS21" i="59" s="1"/>
  <c r="BS23" i="59" s="1"/>
  <c r="CH7" i="59"/>
  <c r="M125" i="61"/>
  <c r="F125" i="61"/>
  <c r="G345" i="43"/>
  <c r="G377" i="43" s="1"/>
  <c r="C152" i="43"/>
  <c r="E303" i="43" s="1"/>
  <c r="E300" i="43" s="1"/>
  <c r="C335" i="43" s="1"/>
  <c r="C365"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144" i="43"/>
  <c r="H344" i="43" s="1"/>
  <c r="H363" i="43" s="1"/>
  <c r="AO6" i="59"/>
  <c r="AO34" i="59" s="1"/>
  <c r="I107" i="61"/>
  <c r="E109" i="61"/>
  <c r="D145" i="43"/>
  <c r="D148" i="43" s="1"/>
  <c r="AK8" i="59"/>
  <c r="E108" i="61"/>
  <c r="D150" i="43"/>
  <c r="D152" i="43" s="1"/>
  <c r="AK19" i="59"/>
  <c r="AK36" i="59" s="1"/>
  <c r="E118" i="61"/>
  <c r="E151" i="43"/>
  <c r="AL20" i="59"/>
  <c r="F119" i="61"/>
  <c r="E146" i="43"/>
  <c r="AL9" i="59"/>
  <c r="F109" i="61"/>
  <c r="H59" i="58"/>
  <c r="AL14" i="59"/>
  <c r="F114" i="61"/>
  <c r="H60" i="58"/>
  <c r="AL15" i="59"/>
  <c r="F115" i="61"/>
  <c r="H53" i="58"/>
  <c r="I53" i="58" s="1"/>
  <c r="AL8" i="59"/>
  <c r="F108" i="61"/>
  <c r="E147" i="43"/>
  <c r="AL10" i="59"/>
  <c r="F110" i="61"/>
  <c r="H56" i="58"/>
  <c r="AL11" i="59"/>
  <c r="F111" i="61"/>
  <c r="F147" i="43"/>
  <c r="AM10" i="59"/>
  <c r="G110" i="61"/>
  <c r="AO22" i="59"/>
  <c r="AO37" i="59" s="1"/>
  <c r="I120" i="61"/>
  <c r="E149" i="43"/>
  <c r="AL18" i="59"/>
  <c r="F117" i="61"/>
  <c r="H61" i="58"/>
  <c r="AL16" i="59"/>
  <c r="F116" i="61"/>
  <c r="BN21" i="59"/>
  <c r="BN23" i="59" s="1"/>
  <c r="BE25" i="59"/>
  <c r="AA67" i="58"/>
  <c r="Y122" i="61"/>
  <c r="G353" i="43"/>
  <c r="G380" i="43" s="1"/>
  <c r="G352" i="43"/>
  <c r="G366" i="43" s="1"/>
  <c r="G354" i="43"/>
  <c r="N23" i="60"/>
  <c r="N58" i="60" s="1"/>
  <c r="L21" i="60"/>
  <c r="K56" i="60"/>
  <c r="L22" i="60"/>
  <c r="K57" i="60"/>
  <c r="L20" i="60"/>
  <c r="K55" i="60"/>
  <c r="H54" i="58"/>
  <c r="G63" i="58"/>
  <c r="H62" i="58"/>
  <c r="E145" i="43"/>
  <c r="I55" i="58"/>
  <c r="H64" i="58"/>
  <c r="K65" i="58"/>
  <c r="H153" i="43"/>
  <c r="K52" i="58"/>
  <c r="AK35" i="59" l="1"/>
  <c r="R654" i="43"/>
  <c r="S654" i="43"/>
  <c r="S653" i="43"/>
  <c r="U654" i="43"/>
  <c r="Q653" i="43"/>
  <c r="Q654" i="43"/>
  <c r="L654" i="43"/>
  <c r="G652" i="43"/>
  <c r="G654" i="43"/>
  <c r="H655" i="43"/>
  <c r="H654" i="43"/>
  <c r="F652" i="43"/>
  <c r="D653" i="43"/>
  <c r="E301" i="43"/>
  <c r="C336" i="43" s="1"/>
  <c r="C379" i="43" s="1"/>
  <c r="H653" i="43"/>
  <c r="D654" i="43"/>
  <c r="E302" i="43"/>
  <c r="P653" i="43"/>
  <c r="P654" i="43"/>
  <c r="AC652" i="43"/>
  <c r="T653" i="43"/>
  <c r="U653" i="43"/>
  <c r="X653" i="43"/>
  <c r="W656" i="43"/>
  <c r="Y652" i="43"/>
  <c r="AB656" i="43"/>
  <c r="X652" i="43"/>
  <c r="R653" i="43"/>
  <c r="G653" i="43"/>
  <c r="X654" i="43"/>
  <c r="I655" i="43"/>
  <c r="I652" i="43"/>
  <c r="N655" i="43"/>
  <c r="N652" i="43"/>
  <c r="P652" i="43"/>
  <c r="P656" i="43" s="1"/>
  <c r="K652" i="43"/>
  <c r="V655" i="43"/>
  <c r="V654" i="43"/>
  <c r="N653" i="43"/>
  <c r="K654" i="43"/>
  <c r="AA652" i="43"/>
  <c r="Z653" i="43"/>
  <c r="E655" i="43"/>
  <c r="E652" i="43"/>
  <c r="V653" i="43"/>
  <c r="J654" i="43"/>
  <c r="E654" i="43"/>
  <c r="Z652" i="43"/>
  <c r="F655" i="43"/>
  <c r="F654" i="43"/>
  <c r="Y653" i="43"/>
  <c r="U652" i="43"/>
  <c r="E653" i="43"/>
  <c r="S652" i="43"/>
  <c r="I653" i="43"/>
  <c r="AA653" i="43"/>
  <c r="H652" i="43"/>
  <c r="AC654" i="43"/>
  <c r="O655" i="43"/>
  <c r="O653" i="43"/>
  <c r="AA654" i="43"/>
  <c r="M655" i="43"/>
  <c r="M652" i="43"/>
  <c r="T654" i="43"/>
  <c r="J652" i="43"/>
  <c r="O652" i="43"/>
  <c r="Y654" i="43"/>
  <c r="I654" i="43"/>
  <c r="K653" i="43"/>
  <c r="T652" i="43"/>
  <c r="D655" i="43"/>
  <c r="M653" i="43"/>
  <c r="Z654" i="43"/>
  <c r="AC653" i="43"/>
  <c r="Q652" i="43"/>
  <c r="L652" i="43"/>
  <c r="J653" i="43"/>
  <c r="L653" i="43"/>
  <c r="R652"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345" i="43"/>
  <c r="H377" i="43" s="1"/>
  <c r="H57" i="58"/>
  <c r="AL12" i="59"/>
  <c r="F112" i="61"/>
  <c r="Z74" i="58"/>
  <c r="Z32" i="58" s="1"/>
  <c r="CH8" i="59"/>
  <c r="CH22" i="59" s="1"/>
  <c r="H58" i="58"/>
  <c r="F113" i="61"/>
  <c r="AL13" i="59"/>
  <c r="I144" i="43"/>
  <c r="I345" i="43" s="1"/>
  <c r="I377" i="43" s="1"/>
  <c r="AP6" i="59"/>
  <c r="AP34" i="59" s="1"/>
  <c r="J107" i="61"/>
  <c r="E148" i="43"/>
  <c r="E150" i="43"/>
  <c r="E152" i="43" s="1"/>
  <c r="AL19" i="59"/>
  <c r="AL36" i="59" s="1"/>
  <c r="F118" i="61"/>
  <c r="I59" i="58"/>
  <c r="AM14" i="59"/>
  <c r="G114" i="61"/>
  <c r="I60" i="58"/>
  <c r="AM15" i="59"/>
  <c r="G115" i="61"/>
  <c r="I61" i="58"/>
  <c r="AM16" i="59"/>
  <c r="G116" i="61"/>
  <c r="F145" i="43"/>
  <c r="AM8" i="59"/>
  <c r="G108" i="61"/>
  <c r="G145" i="43"/>
  <c r="AN8" i="59"/>
  <c r="H108" i="61"/>
  <c r="G147" i="43"/>
  <c r="AN10" i="59"/>
  <c r="H110" i="61"/>
  <c r="F149" i="43"/>
  <c r="AM18" i="59"/>
  <c r="G117" i="61"/>
  <c r="AP22" i="59"/>
  <c r="AP37" i="59" s="1"/>
  <c r="J120" i="61"/>
  <c r="F146" i="43"/>
  <c r="AM9" i="59"/>
  <c r="G109" i="61"/>
  <c r="F151" i="43"/>
  <c r="AM20" i="59"/>
  <c r="G119" i="61"/>
  <c r="I56" i="58"/>
  <c r="AM11" i="59"/>
  <c r="G111" i="61"/>
  <c r="BF25" i="59"/>
  <c r="AB67" i="58"/>
  <c r="Z122" i="61"/>
  <c r="H352" i="43"/>
  <c r="H366" i="43" s="1"/>
  <c r="H354" i="43"/>
  <c r="H353" i="43"/>
  <c r="H380" i="43" s="1"/>
  <c r="G355" i="43"/>
  <c r="F300" i="43"/>
  <c r="F302" i="43"/>
  <c r="C337" i="43"/>
  <c r="C393" i="43" s="1"/>
  <c r="F320" i="43"/>
  <c r="M20" i="60"/>
  <c r="L55" i="60"/>
  <c r="M22" i="60"/>
  <c r="L57" i="60"/>
  <c r="M21" i="60"/>
  <c r="L56" i="60"/>
  <c r="O23" i="60"/>
  <c r="O58" i="60" s="1"/>
  <c r="H63" i="58"/>
  <c r="I54" i="58"/>
  <c r="I62" i="58"/>
  <c r="J62" i="58" s="1"/>
  <c r="J55" i="58"/>
  <c r="I64" i="58"/>
  <c r="J53" i="58"/>
  <c r="L65" i="58"/>
  <c r="I153" i="43"/>
  <c r="L52" i="58"/>
  <c r="AL35" i="59" l="1"/>
  <c r="F301" i="43"/>
  <c r="V656" i="43"/>
  <c r="U656" i="43"/>
  <c r="Q656" i="43"/>
  <c r="S656" i="43"/>
  <c r="G656" i="43"/>
  <c r="D656" i="43"/>
  <c r="T656" i="43"/>
  <c r="L656" i="43"/>
  <c r="X656" i="43"/>
  <c r="F656" i="43"/>
  <c r="H656" i="43"/>
  <c r="K656" i="43"/>
  <c r="AA656" i="43"/>
  <c r="AC656" i="43"/>
  <c r="Y656" i="43"/>
  <c r="R656" i="43"/>
  <c r="N656" i="43"/>
  <c r="E656" i="43"/>
  <c r="J656" i="43"/>
  <c r="O656" i="43"/>
  <c r="Z656" i="43"/>
  <c r="M656" i="43"/>
  <c r="I656" i="43"/>
  <c r="I344" i="43"/>
  <c r="I363" i="43" s="1"/>
  <c r="CH23" i="59"/>
  <c r="I58" i="58"/>
  <c r="AM13" i="59"/>
  <c r="G113" i="61"/>
  <c r="AA74" i="58"/>
  <c r="AA32" i="58" s="1"/>
  <c r="CI8" i="59"/>
  <c r="CI22" i="59" s="1"/>
  <c r="CI23" i="59" s="1"/>
  <c r="J144" i="43"/>
  <c r="J344" i="43" s="1"/>
  <c r="J363" i="43" s="1"/>
  <c r="AQ6" i="59"/>
  <c r="AQ34" i="59" s="1"/>
  <c r="K107" i="61"/>
  <c r="AM12" i="59"/>
  <c r="G112" i="61"/>
  <c r="I57" i="58"/>
  <c r="F148" i="43"/>
  <c r="H149" i="43"/>
  <c r="AO18" i="59"/>
  <c r="I117" i="61"/>
  <c r="F150" i="43"/>
  <c r="F152" i="43" s="1"/>
  <c r="F335" i="43" s="1"/>
  <c r="F365" i="43" s="1"/>
  <c r="AM19" i="59"/>
  <c r="AM36" i="59" s="1"/>
  <c r="G118" i="61"/>
  <c r="J60" i="58"/>
  <c r="AN15" i="59"/>
  <c r="H115" i="61"/>
  <c r="J56" i="58"/>
  <c r="AN11" i="59"/>
  <c r="H111" i="61"/>
  <c r="H145" i="43"/>
  <c r="AO8" i="59"/>
  <c r="I108" i="61"/>
  <c r="J59" i="58"/>
  <c r="AN14" i="59"/>
  <c r="H114" i="61"/>
  <c r="G151" i="43"/>
  <c r="AN20" i="59"/>
  <c r="H119" i="61"/>
  <c r="AQ22" i="59"/>
  <c r="AQ37" i="59" s="1"/>
  <c r="K120" i="61"/>
  <c r="H147" i="43"/>
  <c r="AO10" i="59"/>
  <c r="I110" i="61"/>
  <c r="J61" i="58"/>
  <c r="AN16" i="59"/>
  <c r="H116" i="61"/>
  <c r="G146" i="43"/>
  <c r="G148" i="43" s="1"/>
  <c r="AN9" i="59"/>
  <c r="H109" i="61"/>
  <c r="G149" i="43"/>
  <c r="AN18" i="59"/>
  <c r="H117" i="61"/>
  <c r="BG25" i="59"/>
  <c r="AA122" i="61"/>
  <c r="AC67" i="58"/>
  <c r="I353" i="43"/>
  <c r="I380" i="43" s="1"/>
  <c r="I352" i="43"/>
  <c r="I366" i="43" s="1"/>
  <c r="I354" i="43"/>
  <c r="F303" i="43"/>
  <c r="F355" i="43"/>
  <c r="H346" i="43"/>
  <c r="D346" i="43"/>
  <c r="E337" i="43"/>
  <c r="D337" i="43"/>
  <c r="E335" i="43"/>
  <c r="E365" i="43" s="1"/>
  <c r="D335" i="43"/>
  <c r="D365" i="43" s="1"/>
  <c r="C338" i="43"/>
  <c r="E336" i="43"/>
  <c r="E379" i="43" s="1"/>
  <c r="D336" i="43"/>
  <c r="D379" i="43" s="1"/>
  <c r="P23" i="60"/>
  <c r="P58" i="60" s="1"/>
  <c r="N20" i="60"/>
  <c r="M55" i="60"/>
  <c r="N21" i="60"/>
  <c r="M56" i="60"/>
  <c r="N22" i="60"/>
  <c r="M57" i="60"/>
  <c r="K55" i="58"/>
  <c r="L55" i="58" s="1"/>
  <c r="J54" i="58"/>
  <c r="I63" i="58"/>
  <c r="K53" i="58"/>
  <c r="J64" i="58"/>
  <c r="M65" i="58"/>
  <c r="J153" i="43"/>
  <c r="M52" i="58"/>
  <c r="K62" i="58"/>
  <c r="AM35" i="59" l="1"/>
  <c r="F337" i="43"/>
  <c r="J345" i="43"/>
  <c r="J377" i="43" s="1"/>
  <c r="J57" i="58"/>
  <c r="AN12" i="59"/>
  <c r="H112" i="61"/>
  <c r="AB74" i="58"/>
  <c r="AB32" i="58" s="1"/>
  <c r="CJ8" i="59"/>
  <c r="CJ22" i="59" s="1"/>
  <c r="CJ23" i="59" s="1"/>
  <c r="K144" i="43"/>
  <c r="K344" i="43" s="1"/>
  <c r="K363" i="43" s="1"/>
  <c r="AR6" i="59"/>
  <c r="AR34" i="59" s="1"/>
  <c r="L107" i="61"/>
  <c r="J58" i="58"/>
  <c r="H113" i="61"/>
  <c r="AN13" i="59"/>
  <c r="F336" i="43"/>
  <c r="F379" i="43" s="1"/>
  <c r="K60" i="58"/>
  <c r="AO15" i="59"/>
  <c r="I115" i="61"/>
  <c r="K56" i="58"/>
  <c r="AO11" i="59"/>
  <c r="I111" i="61"/>
  <c r="AR22" i="59"/>
  <c r="AR37" i="59" s="1"/>
  <c r="L120" i="61"/>
  <c r="K59" i="58"/>
  <c r="AO14" i="59"/>
  <c r="I114" i="61"/>
  <c r="AN19" i="59"/>
  <c r="AN36" i="59" s="1"/>
  <c r="H118" i="61"/>
  <c r="K61" i="58"/>
  <c r="AO16" i="59"/>
  <c r="I116" i="61"/>
  <c r="I147" i="43"/>
  <c r="AP10" i="59"/>
  <c r="J110" i="61"/>
  <c r="H151" i="43"/>
  <c r="AO20" i="59"/>
  <c r="I119" i="61"/>
  <c r="I149" i="43"/>
  <c r="AP18" i="59"/>
  <c r="J117" i="61"/>
  <c r="H146" i="43"/>
  <c r="H148" i="43" s="1"/>
  <c r="AO9" i="59"/>
  <c r="I109" i="61"/>
  <c r="J147" i="43"/>
  <c r="AQ10" i="59"/>
  <c r="K110" i="61"/>
  <c r="I145" i="43"/>
  <c r="AP8" i="59"/>
  <c r="J108" i="61"/>
  <c r="BH25" i="59"/>
  <c r="AD67" i="58"/>
  <c r="AB122" i="61"/>
  <c r="J354" i="43"/>
  <c r="J353" i="43"/>
  <c r="J380" i="43" s="1"/>
  <c r="J352" i="43"/>
  <c r="J366" i="43" s="1"/>
  <c r="E355" i="43"/>
  <c r="D355" i="43"/>
  <c r="H355" i="43"/>
  <c r="I355" i="43"/>
  <c r="C355" i="43"/>
  <c r="F346" i="43"/>
  <c r="I346" i="43"/>
  <c r="E346" i="43"/>
  <c r="G346" i="43"/>
  <c r="D338" i="43"/>
  <c r="E338" i="43"/>
  <c r="Q23" i="60"/>
  <c r="Q58" i="60" s="1"/>
  <c r="O22" i="60"/>
  <c r="N57" i="60"/>
  <c r="O21" i="60"/>
  <c r="N56" i="60"/>
  <c r="O20" i="60"/>
  <c r="N55" i="60"/>
  <c r="K54" i="58"/>
  <c r="G150" i="43"/>
  <c r="G152" i="43" s="1"/>
  <c r="J63" i="58"/>
  <c r="L53" i="58"/>
  <c r="K64" i="58"/>
  <c r="N65" i="58"/>
  <c r="K153" i="43"/>
  <c r="N52" i="58"/>
  <c r="L62" i="58"/>
  <c r="M55" i="58"/>
  <c r="AN35" i="59" l="1"/>
  <c r="J346" i="43"/>
  <c r="K345" i="43"/>
  <c r="K377" i="43" s="1"/>
  <c r="AC74" i="58"/>
  <c r="AC32" i="58" s="1"/>
  <c r="CK8" i="59"/>
  <c r="CK22" i="59" s="1"/>
  <c r="CK23" i="59" s="1"/>
  <c r="L144" i="43"/>
  <c r="L345" i="43" s="1"/>
  <c r="L377" i="43" s="1"/>
  <c r="AS6" i="59"/>
  <c r="AS34" i="59" s="1"/>
  <c r="M107" i="61"/>
  <c r="K58" i="58"/>
  <c r="I113" i="61"/>
  <c r="AO13" i="59"/>
  <c r="I112" i="61"/>
  <c r="AO12" i="59"/>
  <c r="K57" i="58"/>
  <c r="F338" i="43"/>
  <c r="L56" i="58"/>
  <c r="AP11" i="59"/>
  <c r="J111" i="61"/>
  <c r="AO19" i="59"/>
  <c r="AO36" i="59" s="1"/>
  <c r="I118" i="61"/>
  <c r="K147" i="43"/>
  <c r="AR10" i="59"/>
  <c r="L110" i="61"/>
  <c r="I146" i="43"/>
  <c r="I148" i="43" s="1"/>
  <c r="AP9" i="59"/>
  <c r="J109" i="61"/>
  <c r="J145" i="43"/>
  <c r="AQ8" i="59"/>
  <c r="K108" i="61"/>
  <c r="L61" i="58"/>
  <c r="AP16" i="59"/>
  <c r="J116" i="61"/>
  <c r="J149" i="43"/>
  <c r="AQ18" i="59"/>
  <c r="K117" i="61"/>
  <c r="AS22" i="59"/>
  <c r="AS37" i="59" s="1"/>
  <c r="M120" i="61"/>
  <c r="L59" i="58"/>
  <c r="AP14" i="59"/>
  <c r="J114" i="61"/>
  <c r="L60" i="58"/>
  <c r="AP15" i="59"/>
  <c r="J115" i="61"/>
  <c r="I151" i="43"/>
  <c r="AP20" i="59"/>
  <c r="J119" i="61"/>
  <c r="BI25" i="59"/>
  <c r="AC122" i="61"/>
  <c r="AE67" i="58"/>
  <c r="J355" i="43"/>
  <c r="K352" i="43"/>
  <c r="K366" i="43" s="1"/>
  <c r="K354" i="43"/>
  <c r="K353" i="43"/>
  <c r="K380" i="43" s="1"/>
  <c r="G337" i="43"/>
  <c r="G335" i="43"/>
  <c r="G365" i="43" s="1"/>
  <c r="G336" i="43"/>
  <c r="G379" i="43" s="1"/>
  <c r="P20" i="60"/>
  <c r="O55" i="60"/>
  <c r="R23" i="60"/>
  <c r="R58" i="60" s="1"/>
  <c r="P21" i="60"/>
  <c r="O56" i="60"/>
  <c r="P22" i="60"/>
  <c r="O57" i="60"/>
  <c r="L64" i="58"/>
  <c r="M64" i="58" s="1"/>
  <c r="L54" i="58"/>
  <c r="H150" i="43"/>
  <c r="H152" i="43" s="1"/>
  <c r="K63" i="58"/>
  <c r="M53" i="58"/>
  <c r="O65" i="58"/>
  <c r="L153" i="43"/>
  <c r="O52" i="58"/>
  <c r="M62" i="58"/>
  <c r="N55" i="58"/>
  <c r="AO35" i="59" l="1"/>
  <c r="K346" i="43"/>
  <c r="L344" i="43"/>
  <c r="L363" i="43" s="1"/>
  <c r="L58" i="58"/>
  <c r="AP13" i="59"/>
  <c r="J113" i="61"/>
  <c r="L57" i="58"/>
  <c r="AP12" i="59"/>
  <c r="J112" i="61"/>
  <c r="M144" i="43"/>
  <c r="M345" i="43" s="1"/>
  <c r="M377" i="43" s="1"/>
  <c r="AT6" i="59"/>
  <c r="AT34" i="59" s="1"/>
  <c r="N107" i="61"/>
  <c r="AD74" i="58"/>
  <c r="AD32" i="58" s="1"/>
  <c r="CL8" i="59"/>
  <c r="CL22" i="59" s="1"/>
  <c r="CL23" i="59" s="1"/>
  <c r="M60" i="58"/>
  <c r="AQ15" i="59"/>
  <c r="K115" i="61"/>
  <c r="K145" i="43"/>
  <c r="AR8" i="59"/>
  <c r="L108" i="61"/>
  <c r="AP19" i="59"/>
  <c r="AP36" i="59" s="1"/>
  <c r="J118" i="61"/>
  <c r="M59" i="58"/>
  <c r="AQ14" i="59"/>
  <c r="K114" i="61"/>
  <c r="M56" i="58"/>
  <c r="AQ11" i="59"/>
  <c r="K111" i="61"/>
  <c r="M61" i="58"/>
  <c r="AQ16" i="59"/>
  <c r="K116" i="61"/>
  <c r="L147" i="43"/>
  <c r="AS10" i="59"/>
  <c r="M110" i="61"/>
  <c r="K149" i="43"/>
  <c r="AR18" i="59"/>
  <c r="L117" i="61"/>
  <c r="J146" i="43"/>
  <c r="J148" i="43" s="1"/>
  <c r="AQ9" i="59"/>
  <c r="K109" i="61"/>
  <c r="AT22" i="59"/>
  <c r="AT37" i="59" s="1"/>
  <c r="N120" i="61"/>
  <c r="K151" i="43"/>
  <c r="AR20" i="59"/>
  <c r="L119" i="61"/>
  <c r="J151" i="43"/>
  <c r="AQ20" i="59"/>
  <c r="K119" i="61"/>
  <c r="AD122" i="61"/>
  <c r="BJ25" i="59"/>
  <c r="L353" i="43"/>
  <c r="L380" i="43" s="1"/>
  <c r="L354" i="43"/>
  <c r="L352" i="43"/>
  <c r="L366" i="43" s="1"/>
  <c r="K355" i="43"/>
  <c r="G338" i="43"/>
  <c r="L346" i="43"/>
  <c r="H335" i="43"/>
  <c r="H365" i="43" s="1"/>
  <c r="H337" i="43"/>
  <c r="H336" i="43"/>
  <c r="H379" i="43" s="1"/>
  <c r="Q20" i="60"/>
  <c r="P55" i="60"/>
  <c r="Q22" i="60"/>
  <c r="P57" i="60"/>
  <c r="Q21" i="60"/>
  <c r="P56" i="60"/>
  <c r="S23" i="60"/>
  <c r="S58" i="60" s="1"/>
  <c r="M54" i="58"/>
  <c r="N54" i="58" s="1"/>
  <c r="I150" i="43"/>
  <c r="I152" i="43" s="1"/>
  <c r="L63" i="58"/>
  <c r="N53" i="58"/>
  <c r="P65" i="58"/>
  <c r="M153" i="43"/>
  <c r="P52" i="58"/>
  <c r="N64" i="58"/>
  <c r="N62" i="58"/>
  <c r="O55" i="58"/>
  <c r="AP35" i="59" l="1"/>
  <c r="M344" i="43"/>
  <c r="M363" i="43" s="1"/>
  <c r="N144" i="43"/>
  <c r="N345" i="43" s="1"/>
  <c r="N377" i="43" s="1"/>
  <c r="AU6" i="59"/>
  <c r="AU34" i="59" s="1"/>
  <c r="O107" i="61"/>
  <c r="K112" i="61"/>
  <c r="AQ12" i="59"/>
  <c r="M57" i="58"/>
  <c r="AE74" i="58"/>
  <c r="AE32" i="58" s="1"/>
  <c r="CM8" i="59"/>
  <c r="CM22" i="59" s="1"/>
  <c r="CM23" i="59" s="1"/>
  <c r="M58" i="58"/>
  <c r="K113" i="61"/>
  <c r="AQ13" i="59"/>
  <c r="M147" i="43"/>
  <c r="AT10" i="59"/>
  <c r="N110" i="61"/>
  <c r="N56" i="58"/>
  <c r="AR11" i="59"/>
  <c r="L111" i="61"/>
  <c r="N61" i="58"/>
  <c r="AR16" i="59"/>
  <c r="L116" i="61"/>
  <c r="L145" i="43"/>
  <c r="AS8" i="59"/>
  <c r="M108" i="61"/>
  <c r="AQ19" i="59"/>
  <c r="AQ36" i="59" s="1"/>
  <c r="K118" i="61"/>
  <c r="L149" i="43"/>
  <c r="AS18" i="59"/>
  <c r="M117" i="61"/>
  <c r="K146" i="43"/>
  <c r="K148" i="43" s="1"/>
  <c r="AR9" i="59"/>
  <c r="L109" i="61"/>
  <c r="L146" i="43"/>
  <c r="AS9" i="59"/>
  <c r="M109" i="61"/>
  <c r="AU22" i="59"/>
  <c r="AU37" i="59" s="1"/>
  <c r="O120" i="61"/>
  <c r="L151" i="43"/>
  <c r="AS20" i="59"/>
  <c r="M119" i="61"/>
  <c r="N59" i="58"/>
  <c r="AR14" i="59"/>
  <c r="L114" i="61"/>
  <c r="N60" i="58"/>
  <c r="AR15" i="59"/>
  <c r="L115" i="61"/>
  <c r="L355" i="43"/>
  <c r="M354" i="43"/>
  <c r="M352" i="43"/>
  <c r="M366" i="43" s="1"/>
  <c r="M353" i="43"/>
  <c r="M380" i="43" s="1"/>
  <c r="H338" i="43"/>
  <c r="I336" i="43"/>
  <c r="I379" i="43" s="1"/>
  <c r="I337" i="43"/>
  <c r="I335" i="43"/>
  <c r="I365" i="43" s="1"/>
  <c r="T23" i="60"/>
  <c r="T58" i="60" s="1"/>
  <c r="R20" i="60"/>
  <c r="Q55" i="60"/>
  <c r="R21" i="60"/>
  <c r="Q56" i="60"/>
  <c r="R22" i="60"/>
  <c r="Q57" i="60"/>
  <c r="J150" i="43"/>
  <c r="J152" i="43" s="1"/>
  <c r="M63" i="58"/>
  <c r="O53" i="58"/>
  <c r="Q65" i="58"/>
  <c r="N153" i="43"/>
  <c r="Q52" i="58"/>
  <c r="P55" i="58"/>
  <c r="O62" i="58"/>
  <c r="O64" i="58"/>
  <c r="O54" i="58"/>
  <c r="I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AQ35" i="59" l="1"/>
  <c r="L148" i="43"/>
  <c r="N344" i="43"/>
  <c r="N363" i="43" s="1"/>
  <c r="M346" i="43"/>
  <c r="CN8" i="59"/>
  <c r="CN22" i="59" s="1"/>
  <c r="CN23" i="59" s="1"/>
  <c r="AR12" i="59"/>
  <c r="L112" i="61"/>
  <c r="N57" i="58"/>
  <c r="O144" i="43"/>
  <c r="O345" i="43" s="1"/>
  <c r="O377" i="43" s="1"/>
  <c r="AV6" i="59"/>
  <c r="AV34" i="59" s="1"/>
  <c r="P107" i="61"/>
  <c r="N58" i="58"/>
  <c r="L113" i="61"/>
  <c r="AR13" i="59"/>
  <c r="O56" i="58"/>
  <c r="AS11" i="59"/>
  <c r="M111" i="61"/>
  <c r="M145" i="43"/>
  <c r="AT8" i="59"/>
  <c r="N108" i="61"/>
  <c r="M151" i="43"/>
  <c r="AT20" i="59"/>
  <c r="N119" i="61"/>
  <c r="O60" i="58"/>
  <c r="AS15" i="59"/>
  <c r="M115" i="61"/>
  <c r="M146" i="43"/>
  <c r="AT9" i="59"/>
  <c r="N109" i="61"/>
  <c r="M149" i="43"/>
  <c r="AT18" i="59"/>
  <c r="N117" i="61"/>
  <c r="O59" i="58"/>
  <c r="AS14" i="59"/>
  <c r="M114" i="61"/>
  <c r="AV22" i="59"/>
  <c r="AV37" i="59" s="1"/>
  <c r="P120" i="61"/>
  <c r="AR19" i="59"/>
  <c r="AR36" i="59" s="1"/>
  <c r="L118" i="61"/>
  <c r="N147" i="43"/>
  <c r="AU10" i="59"/>
  <c r="O110" i="61"/>
  <c r="O61" i="58"/>
  <c r="AS16" i="59"/>
  <c r="M116" i="61"/>
  <c r="N346" i="43"/>
  <c r="N352" i="43"/>
  <c r="N366" i="43" s="1"/>
  <c r="N353" i="43"/>
  <c r="N380" i="43" s="1"/>
  <c r="N354" i="43"/>
  <c r="M355" i="43"/>
  <c r="J337" i="43"/>
  <c r="J336" i="43"/>
  <c r="J379" i="43" s="1"/>
  <c r="J335" i="43"/>
  <c r="J365" i="43" s="1"/>
  <c r="I338" i="43"/>
  <c r="S22" i="60"/>
  <c r="R57" i="60"/>
  <c r="U23" i="60"/>
  <c r="U58" i="60" s="1"/>
  <c r="S21" i="60"/>
  <c r="R56" i="60"/>
  <c r="S20" i="60"/>
  <c r="R55" i="60"/>
  <c r="H3" i="61"/>
  <c r="I39" i="60"/>
  <c r="P53" i="58"/>
  <c r="Q53" i="58" s="1"/>
  <c r="K150" i="43"/>
  <c r="K152" i="43" s="1"/>
  <c r="N63" i="58"/>
  <c r="R65" i="58"/>
  <c r="O153" i="43"/>
  <c r="I219" i="43"/>
  <c r="C145" i="43"/>
  <c r="C147" i="43"/>
  <c r="R52" i="58"/>
  <c r="Q55" i="58"/>
  <c r="P64" i="58"/>
  <c r="P54" i="58"/>
  <c r="P62" i="58"/>
  <c r="K192" i="43"/>
  <c r="E219" i="43"/>
  <c r="AD4" i="60"/>
  <c r="V4" i="60"/>
  <c r="AB219" i="43"/>
  <c r="N4" i="60"/>
  <c r="AC4" i="60"/>
  <c r="U4" i="60"/>
  <c r="M4" i="60"/>
  <c r="F4" i="60"/>
  <c r="AB4" i="60"/>
  <c r="T4" i="60"/>
  <c r="L4" i="60"/>
  <c r="AA4" i="60"/>
  <c r="S4" i="60"/>
  <c r="K4" i="60"/>
  <c r="Z4" i="60"/>
  <c r="R4" i="60"/>
  <c r="Y4" i="60"/>
  <c r="Q4" i="60"/>
  <c r="X4" i="60"/>
  <c r="P4" i="60"/>
  <c r="H4" i="60"/>
  <c r="AE4" i="60"/>
  <c r="W4" i="60"/>
  <c r="O4" i="60"/>
  <c r="G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AR35" i="59" l="1"/>
  <c r="O344" i="43"/>
  <c r="O363" i="43" s="1"/>
  <c r="O57" i="58"/>
  <c r="AS12" i="59"/>
  <c r="M112" i="61"/>
  <c r="P144" i="43"/>
  <c r="P344" i="43" s="1"/>
  <c r="P363" i="43" s="1"/>
  <c r="AW6" i="59"/>
  <c r="AW34" i="59" s="1"/>
  <c r="Q107" i="61"/>
  <c r="O58" i="58"/>
  <c r="M113" i="61"/>
  <c r="AS13" i="59"/>
  <c r="M148" i="43"/>
  <c r="N149" i="43"/>
  <c r="AU18" i="59"/>
  <c r="O117" i="61"/>
  <c r="AW22" i="59"/>
  <c r="AW37" i="59" s="1"/>
  <c r="Q120" i="61"/>
  <c r="AS19" i="59"/>
  <c r="AS36" i="59" s="1"/>
  <c r="M118" i="61"/>
  <c r="P59" i="58"/>
  <c r="AT14" i="59"/>
  <c r="N114" i="61"/>
  <c r="N146" i="43"/>
  <c r="AU9" i="59"/>
  <c r="O109" i="61"/>
  <c r="N151" i="43"/>
  <c r="AU20" i="59"/>
  <c r="O119" i="61"/>
  <c r="O147" i="43"/>
  <c r="AV10" i="59"/>
  <c r="P110" i="61"/>
  <c r="P60" i="58"/>
  <c r="AT15" i="59"/>
  <c r="N115" i="61"/>
  <c r="P56" i="58"/>
  <c r="AT11" i="59"/>
  <c r="N111" i="61"/>
  <c r="O145" i="43"/>
  <c r="AV8" i="59"/>
  <c r="P108" i="61"/>
  <c r="N145" i="43"/>
  <c r="AU8" i="59"/>
  <c r="O108" i="61"/>
  <c r="P61" i="58"/>
  <c r="AT16" i="59"/>
  <c r="N116" i="61"/>
  <c r="O352" i="43"/>
  <c r="O366" i="43" s="1"/>
  <c r="O354" i="43"/>
  <c r="O353" i="43"/>
  <c r="O380" i="43" s="1"/>
  <c r="N355" i="43"/>
  <c r="J338" i="43"/>
  <c r="K337" i="43"/>
  <c r="K335" i="43"/>
  <c r="K365" i="43" s="1"/>
  <c r="K336" i="43"/>
  <c r="K379"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50" i="43"/>
  <c r="L152" i="43" s="1"/>
  <c r="O63" i="58"/>
  <c r="S65" i="58"/>
  <c r="P153" i="43"/>
  <c r="C143" i="43"/>
  <c r="C362" i="43" s="1"/>
  <c r="J393" i="43"/>
  <c r="D393" i="43"/>
  <c r="H393" i="43"/>
  <c r="F393" i="43"/>
  <c r="D394" i="43"/>
  <c r="L394" i="43"/>
  <c r="H394" i="43"/>
  <c r="N394" i="43"/>
  <c r="J394" i="43"/>
  <c r="K394" i="43"/>
  <c r="M394" i="43"/>
  <c r="F394" i="43"/>
  <c r="G394" i="43"/>
  <c r="I394" i="43"/>
  <c r="I393" i="43"/>
  <c r="G393" i="43"/>
  <c r="C148" i="43"/>
  <c r="J4" i="60"/>
  <c r="D219" i="43"/>
  <c r="K193" i="43"/>
  <c r="S52" i="58"/>
  <c r="Q54" i="58"/>
  <c r="Q62" i="58"/>
  <c r="Q64" i="58"/>
  <c r="R53" i="58"/>
  <c r="R55" i="58"/>
  <c r="B114" i="43"/>
  <c r="B116" i="43" s="1"/>
  <c r="AS35" i="59" l="1"/>
  <c r="O346" i="43"/>
  <c r="P345" i="43"/>
  <c r="P377" i="43" s="1"/>
  <c r="P58" i="58"/>
  <c r="N113" i="61"/>
  <c r="AT13" i="59"/>
  <c r="Q144" i="43"/>
  <c r="Q345" i="43" s="1"/>
  <c r="Q377" i="43" s="1"/>
  <c r="AX6" i="59"/>
  <c r="AX34" i="59" s="1"/>
  <c r="R107" i="61"/>
  <c r="P57" i="58"/>
  <c r="AT12" i="59"/>
  <c r="N112" i="61"/>
  <c r="N148" i="43"/>
  <c r="Q60" i="58"/>
  <c r="AU15" i="59"/>
  <c r="O115" i="61"/>
  <c r="AT19" i="59"/>
  <c r="AT36" i="59" s="1"/>
  <c r="N118" i="61"/>
  <c r="Q61" i="58"/>
  <c r="AU16" i="59"/>
  <c r="O116" i="61"/>
  <c r="P147" i="43"/>
  <c r="AW10" i="59"/>
  <c r="Q110" i="61"/>
  <c r="Q56" i="58"/>
  <c r="AU11" i="59"/>
  <c r="O111" i="61"/>
  <c r="Q59" i="58"/>
  <c r="AU14" i="59"/>
  <c r="O114" i="61"/>
  <c r="O146" i="43"/>
  <c r="O148" i="43" s="1"/>
  <c r="AV9" i="59"/>
  <c r="P109" i="61"/>
  <c r="P145" i="43"/>
  <c r="AW8" i="59"/>
  <c r="Q108" i="61"/>
  <c r="O151" i="43"/>
  <c r="AV20" i="59"/>
  <c r="P119" i="61"/>
  <c r="AX22" i="59"/>
  <c r="AX37" i="59" s="1"/>
  <c r="R120" i="61"/>
  <c r="O149" i="43"/>
  <c r="AV18" i="59"/>
  <c r="P117" i="61"/>
  <c r="O355" i="43"/>
  <c r="P352" i="43"/>
  <c r="P366" i="43" s="1"/>
  <c r="P353" i="43"/>
  <c r="P380" i="43" s="1"/>
  <c r="P354"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P63" i="58"/>
  <c r="O394" i="43"/>
  <c r="T65" i="58"/>
  <c r="Q153" i="43"/>
  <c r="E394" i="43"/>
  <c r="E393" i="43"/>
  <c r="C156" i="43"/>
  <c r="T52" i="58"/>
  <c r="R54" i="58"/>
  <c r="R64" i="58"/>
  <c r="S53" i="58"/>
  <c r="R62" i="58"/>
  <c r="S55" i="58"/>
  <c r="AT35" i="59" l="1"/>
  <c r="P346" i="43"/>
  <c r="Q344" i="43"/>
  <c r="Q363" i="43" s="1"/>
  <c r="Q57" i="58"/>
  <c r="AU12" i="59"/>
  <c r="O112" i="61"/>
  <c r="R144" i="43"/>
  <c r="R345" i="43" s="1"/>
  <c r="R377" i="43" s="1"/>
  <c r="AY6" i="59"/>
  <c r="AY34" i="59" s="1"/>
  <c r="S107" i="61"/>
  <c r="Q58" i="58"/>
  <c r="AU13" i="59"/>
  <c r="O113" i="61"/>
  <c r="Q145" i="43"/>
  <c r="AX8" i="59"/>
  <c r="R108" i="61"/>
  <c r="AY22" i="59"/>
  <c r="AY37" i="59" s="1"/>
  <c r="S120" i="61"/>
  <c r="R61" i="58"/>
  <c r="AV16" i="59"/>
  <c r="P116" i="61"/>
  <c r="P149" i="43"/>
  <c r="AW18" i="59"/>
  <c r="Q117" i="61"/>
  <c r="AU19" i="59"/>
  <c r="AU36" i="59" s="1"/>
  <c r="O118" i="61"/>
  <c r="P151" i="43"/>
  <c r="AW20" i="59"/>
  <c r="Q119" i="61"/>
  <c r="P146" i="43"/>
  <c r="P148" i="43" s="1"/>
  <c r="AW9" i="59"/>
  <c r="Q109" i="61"/>
  <c r="R60" i="58"/>
  <c r="AV15" i="59"/>
  <c r="P115" i="61"/>
  <c r="R56" i="58"/>
  <c r="AV11" i="59"/>
  <c r="P111" i="61"/>
  <c r="Q147" i="43"/>
  <c r="AX10" i="59"/>
  <c r="R110" i="61"/>
  <c r="R59" i="58"/>
  <c r="AV14" i="59"/>
  <c r="P114" i="61"/>
  <c r="C369" i="43"/>
  <c r="C36" i="43" s="1"/>
  <c r="P355" i="43"/>
  <c r="Q353" i="43"/>
  <c r="Q380" i="43" s="1"/>
  <c r="Q352" i="43"/>
  <c r="Q366" i="43" s="1"/>
  <c r="Q354" i="43"/>
  <c r="L338" i="43"/>
  <c r="M337" i="43"/>
  <c r="M335" i="43"/>
  <c r="M365" i="43" s="1"/>
  <c r="M336" i="43"/>
  <c r="M379" i="43" s="1"/>
  <c r="E292" i="43"/>
  <c r="C328" i="43" s="1"/>
  <c r="C392" i="43" s="1"/>
  <c r="E291" i="43"/>
  <c r="D326" i="43"/>
  <c r="D364" i="43" s="1"/>
  <c r="V20" i="60"/>
  <c r="U55" i="60"/>
  <c r="X23" i="60"/>
  <c r="X58" i="60" s="1"/>
  <c r="V22" i="60"/>
  <c r="U57" i="60"/>
  <c r="V21" i="60"/>
  <c r="U56" i="60"/>
  <c r="I75" i="61"/>
  <c r="I106" i="61"/>
  <c r="I132" i="61" s="1"/>
  <c r="I39" i="61"/>
  <c r="L393" i="43"/>
  <c r="N150" i="43"/>
  <c r="N152" i="43" s="1"/>
  <c r="Q63" i="58"/>
  <c r="U65" i="58"/>
  <c r="R153" i="43"/>
  <c r="P394" i="43"/>
  <c r="U52" i="58"/>
  <c r="S62" i="58"/>
  <c r="S64" i="58"/>
  <c r="T53" i="58"/>
  <c r="T55" i="58"/>
  <c r="S54" i="58"/>
  <c r="AU35" i="59" l="1"/>
  <c r="R344" i="43"/>
  <c r="R363" i="43" s="1"/>
  <c r="Q346" i="43"/>
  <c r="R58" i="58"/>
  <c r="AV13" i="59"/>
  <c r="P113" i="61"/>
  <c r="S144" i="43"/>
  <c r="S344" i="43" s="1"/>
  <c r="S363" i="43" s="1"/>
  <c r="AZ6" i="59"/>
  <c r="AZ34" i="59" s="1"/>
  <c r="T107" i="61"/>
  <c r="P112" i="61"/>
  <c r="R57" i="58"/>
  <c r="AV12" i="59"/>
  <c r="R145" i="43"/>
  <c r="AY8" i="59"/>
  <c r="S108" i="61"/>
  <c r="S61" i="58"/>
  <c r="AW16" i="59"/>
  <c r="Q116" i="61"/>
  <c r="AV19" i="59"/>
  <c r="AV36" i="59" s="1"/>
  <c r="P118" i="61"/>
  <c r="Q151" i="43"/>
  <c r="AX20" i="59"/>
  <c r="R119" i="61"/>
  <c r="S56" i="58"/>
  <c r="AW11" i="59"/>
  <c r="Q111" i="61"/>
  <c r="S59" i="58"/>
  <c r="AW14" i="59"/>
  <c r="Q114" i="61"/>
  <c r="Q149" i="43"/>
  <c r="AX18" i="59"/>
  <c r="R117" i="61"/>
  <c r="Q146" i="43"/>
  <c r="Q148" i="43" s="1"/>
  <c r="Q328" i="43" s="1"/>
  <c r="AX9" i="59"/>
  <c r="R109" i="61"/>
  <c r="AZ22" i="59"/>
  <c r="AZ37" i="59" s="1"/>
  <c r="T120" i="61"/>
  <c r="R147" i="43"/>
  <c r="AY10" i="59"/>
  <c r="S110" i="61"/>
  <c r="S60" i="58"/>
  <c r="AW15" i="59"/>
  <c r="Q115" i="61"/>
  <c r="C35" i="43"/>
  <c r="C39" i="43"/>
  <c r="C33" i="43"/>
  <c r="C38" i="43"/>
  <c r="C37" i="43"/>
  <c r="C34" i="43"/>
  <c r="C4" i="43"/>
  <c r="Q355" i="43"/>
  <c r="R354" i="43"/>
  <c r="R353" i="43"/>
  <c r="R380" i="43" s="1"/>
  <c r="R352" i="43"/>
  <c r="R366" i="43" s="1"/>
  <c r="R346" i="43"/>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W21" i="60"/>
  <c r="V56" i="60"/>
  <c r="Y23" i="60"/>
  <c r="Y58" i="60" s="1"/>
  <c r="W22" i="60"/>
  <c r="V57" i="60"/>
  <c r="W20" i="60"/>
  <c r="V55" i="60"/>
  <c r="O150" i="43"/>
  <c r="O152" i="43" s="1"/>
  <c r="R63" i="58"/>
  <c r="M393" i="43"/>
  <c r="V65" i="58"/>
  <c r="S153" i="43"/>
  <c r="Q394" i="43"/>
  <c r="V52" i="58"/>
  <c r="U55" i="58"/>
  <c r="U53" i="58"/>
  <c r="T62" i="58"/>
  <c r="T54" i="58"/>
  <c r="T64" i="58"/>
  <c r="AV35" i="59" l="1"/>
  <c r="S345" i="43"/>
  <c r="S377" i="43" s="1"/>
  <c r="AW12" i="59"/>
  <c r="Q112" i="61"/>
  <c r="S57" i="58"/>
  <c r="T144" i="43"/>
  <c r="T345" i="43" s="1"/>
  <c r="T377" i="43" s="1"/>
  <c r="BA6" i="59"/>
  <c r="BA34" i="59" s="1"/>
  <c r="U107" i="61"/>
  <c r="S58" i="58"/>
  <c r="Q113" i="61"/>
  <c r="AW13" i="59"/>
  <c r="Q326" i="43"/>
  <c r="Q364" i="43" s="1"/>
  <c r="R146" i="43"/>
  <c r="R148" i="43" s="1"/>
  <c r="R328" i="43" s="1"/>
  <c r="AY9" i="59"/>
  <c r="S109" i="61"/>
  <c r="T61" i="58"/>
  <c r="AX16" i="59"/>
  <c r="R116" i="61"/>
  <c r="R149" i="43"/>
  <c r="AY18" i="59"/>
  <c r="S117" i="61"/>
  <c r="AW19" i="59"/>
  <c r="AW36" i="59" s="1"/>
  <c r="Q118" i="61"/>
  <c r="S145" i="43"/>
  <c r="AZ8" i="59"/>
  <c r="T108" i="61"/>
  <c r="T59" i="58"/>
  <c r="AX14" i="59"/>
  <c r="R114" i="61"/>
  <c r="T60" i="58"/>
  <c r="AX15" i="59"/>
  <c r="R115" i="61"/>
  <c r="S147" i="43"/>
  <c r="AZ10" i="59"/>
  <c r="T110" i="61"/>
  <c r="V55" i="58"/>
  <c r="T56" i="58"/>
  <c r="AX11" i="59"/>
  <c r="R111" i="61"/>
  <c r="R151"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X20" i="60"/>
  <c r="W55" i="60"/>
  <c r="Z23" i="60"/>
  <c r="Z58" i="60" s="1"/>
  <c r="X22" i="60"/>
  <c r="W57" i="60"/>
  <c r="X21" i="60"/>
  <c r="W56" i="60"/>
  <c r="N393" i="43"/>
  <c r="U54" i="58"/>
  <c r="P150" i="43"/>
  <c r="P152" i="43" s="1"/>
  <c r="S63" i="58"/>
  <c r="W52" i="58"/>
  <c r="U62" i="58"/>
  <c r="U64" i="58"/>
  <c r="W65" i="58"/>
  <c r="T153" i="43"/>
  <c r="R394" i="43"/>
  <c r="V53" i="58"/>
  <c r="W55" i="58"/>
  <c r="AW35" i="59" l="1"/>
  <c r="S346" i="43"/>
  <c r="T344" i="43"/>
  <c r="T363" i="43" s="1"/>
  <c r="R327" i="43"/>
  <c r="R378" i="43" s="1"/>
  <c r="R326" i="43"/>
  <c r="R364" i="43" s="1"/>
  <c r="U144" i="43"/>
  <c r="BB6" i="59"/>
  <c r="BB34" i="59" s="1"/>
  <c r="V107" i="61"/>
  <c r="T58" i="58"/>
  <c r="R113" i="61"/>
  <c r="AX13" i="59"/>
  <c r="AX12" i="59"/>
  <c r="R112" i="61"/>
  <c r="T57" i="58"/>
  <c r="U59" i="58"/>
  <c r="AY14" i="59"/>
  <c r="S114" i="61"/>
  <c r="U147" i="43"/>
  <c r="BB10" i="59"/>
  <c r="V110" i="61"/>
  <c r="AX19" i="59"/>
  <c r="AX36" i="59" s="1"/>
  <c r="R118" i="61"/>
  <c r="U56" i="58"/>
  <c r="AY11" i="59"/>
  <c r="S111" i="61"/>
  <c r="T145" i="43"/>
  <c r="BA8" i="59"/>
  <c r="U108" i="61"/>
  <c r="T147" i="43"/>
  <c r="BA10" i="59"/>
  <c r="U110" i="61"/>
  <c r="U61" i="58"/>
  <c r="AY16" i="59"/>
  <c r="S116" i="61"/>
  <c r="S146" i="43"/>
  <c r="S148" i="43" s="1"/>
  <c r="S327" i="43" s="1"/>
  <c r="S378" i="43" s="1"/>
  <c r="AZ9" i="59"/>
  <c r="T109" i="61"/>
  <c r="U60" i="58"/>
  <c r="AY15" i="59"/>
  <c r="S115" i="61"/>
  <c r="S149" i="43"/>
  <c r="AZ18" i="59"/>
  <c r="T117" i="61"/>
  <c r="BB22" i="59"/>
  <c r="BB37" i="59" s="1"/>
  <c r="V120" i="61"/>
  <c r="S151" i="43"/>
  <c r="AZ20" i="59"/>
  <c r="T119" i="61"/>
  <c r="AJ101" i="59"/>
  <c r="AJ96" i="59"/>
  <c r="AJ97" i="59"/>
  <c r="AJ98" i="59"/>
  <c r="AJ99" i="59"/>
  <c r="AJ100" i="59"/>
  <c r="C24" i="43"/>
  <c r="AJ76" i="59"/>
  <c r="C25" i="43"/>
  <c r="AJ85" i="59"/>
  <c r="AJ86" i="59"/>
  <c r="AJ87" i="59"/>
  <c r="AJ88" i="59"/>
  <c r="AJ83" i="59"/>
  <c r="AJ84"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U344" i="43"/>
  <c r="U363" i="43" s="1"/>
  <c r="U345" i="43"/>
  <c r="U377" i="43" s="1"/>
  <c r="P335" i="43"/>
  <c r="P365" i="43" s="1"/>
  <c r="P337" i="43"/>
  <c r="P336" i="43"/>
  <c r="P379" i="43" s="1"/>
  <c r="O338" i="43"/>
  <c r="Y21" i="60"/>
  <c r="X56" i="60"/>
  <c r="Y22" i="60"/>
  <c r="X57" i="60"/>
  <c r="AA23" i="60"/>
  <c r="AA58" i="60" s="1"/>
  <c r="Y20" i="60"/>
  <c r="X55" i="60"/>
  <c r="O393" i="43"/>
  <c r="Q150" i="43"/>
  <c r="Q152" i="43" s="1"/>
  <c r="T63" i="58"/>
  <c r="V54" i="58"/>
  <c r="W53" i="58"/>
  <c r="X52" i="58"/>
  <c r="V62" i="58"/>
  <c r="V64" i="58"/>
  <c r="X65" i="58"/>
  <c r="U153" i="43"/>
  <c r="S394" i="43"/>
  <c r="X55" i="58"/>
  <c r="AX35" i="59" l="1"/>
  <c r="T346" i="43"/>
  <c r="R392" i="43"/>
  <c r="V144" i="43"/>
  <c r="V345" i="43" s="1"/>
  <c r="V377"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47" i="43"/>
  <c r="BC10" i="59"/>
  <c r="W110" i="61"/>
  <c r="V60" i="58"/>
  <c r="AZ15" i="59"/>
  <c r="T115" i="61"/>
  <c r="AY19" i="59"/>
  <c r="AY36" i="59" s="1"/>
  <c r="S118" i="61"/>
  <c r="BC22" i="59"/>
  <c r="BC37" i="59" s="1"/>
  <c r="W120" i="61"/>
  <c r="U145" i="43"/>
  <c r="BB8" i="59"/>
  <c r="V108" i="61"/>
  <c r="T146" i="43"/>
  <c r="T148" i="43" s="1"/>
  <c r="T326" i="43" s="1"/>
  <c r="T364" i="43" s="1"/>
  <c r="BA9" i="59"/>
  <c r="U109" i="61"/>
  <c r="S328" i="43"/>
  <c r="T151" i="43"/>
  <c r="BA20" i="59"/>
  <c r="U119" i="61"/>
  <c r="T149" i="43"/>
  <c r="BA18" i="59"/>
  <c r="U117" i="61"/>
  <c r="V61" i="58"/>
  <c r="AZ16" i="59"/>
  <c r="T116" i="61"/>
  <c r="S326" i="43"/>
  <c r="S364" i="43" s="1"/>
  <c r="S392" i="43" s="1"/>
  <c r="V56" i="58"/>
  <c r="AZ11" i="59"/>
  <c r="T111" i="61"/>
  <c r="V59" i="58"/>
  <c r="AZ14" i="59"/>
  <c r="T114" i="61"/>
  <c r="AJ121" i="59"/>
  <c r="E20" i="58" s="1"/>
  <c r="E21" i="58" s="1"/>
  <c r="E22" i="58" s="1"/>
  <c r="AJ123" i="59"/>
  <c r="AJ122" i="59"/>
  <c r="AJ102" i="59"/>
  <c r="AJ89" i="59"/>
  <c r="C27" i="43"/>
  <c r="U354" i="43"/>
  <c r="U352" i="43"/>
  <c r="U366" i="43" s="1"/>
  <c r="U353" i="43"/>
  <c r="U380" i="43" s="1"/>
  <c r="T355" i="43"/>
  <c r="U346" i="43"/>
  <c r="Q336" i="43"/>
  <c r="Q379" i="43" s="1"/>
  <c r="Q337" i="43"/>
  <c r="Q335" i="43"/>
  <c r="Q365" i="43" s="1"/>
  <c r="P338" i="43"/>
  <c r="AB23" i="60"/>
  <c r="AB58" i="60" s="1"/>
  <c r="Z22" i="60"/>
  <c r="Y57" i="60"/>
  <c r="Z20" i="60"/>
  <c r="Y55" i="60"/>
  <c r="Z21" i="60"/>
  <c r="Y56" i="60"/>
  <c r="W54" i="58"/>
  <c r="P393" i="43"/>
  <c r="W62" i="58"/>
  <c r="X53" i="58"/>
  <c r="Y53" i="58" s="1"/>
  <c r="R150" i="43"/>
  <c r="R152" i="43" s="1"/>
  <c r="U63" i="58"/>
  <c r="Y52" i="58"/>
  <c r="W64" i="58"/>
  <c r="T394" i="43"/>
  <c r="Y65" i="58"/>
  <c r="V153" i="43"/>
  <c r="Y55" i="58"/>
  <c r="AY35" i="59" l="1"/>
  <c r="T328" i="43"/>
  <c r="T327" i="43"/>
  <c r="T378" i="43" s="1"/>
  <c r="V344" i="43"/>
  <c r="V363" i="43" s="1"/>
  <c r="AZ12" i="59"/>
  <c r="T112" i="61"/>
  <c r="V57" i="58"/>
  <c r="V58" i="58"/>
  <c r="AZ13" i="59"/>
  <c r="T113" i="61"/>
  <c r="W144" i="43"/>
  <c r="W344" i="43" s="1"/>
  <c r="W363" i="43" s="1"/>
  <c r="BD6" i="59"/>
  <c r="BD34" i="59" s="1"/>
  <c r="X107" i="61"/>
  <c r="W145" i="43"/>
  <c r="BD8" i="59"/>
  <c r="X108" i="61"/>
  <c r="W60" i="58"/>
  <c r="BA15" i="59"/>
  <c r="U115" i="61"/>
  <c r="BD22" i="59"/>
  <c r="BD37" i="59" s="1"/>
  <c r="X120" i="61"/>
  <c r="W61" i="58"/>
  <c r="BA16" i="59"/>
  <c r="U116" i="61"/>
  <c r="U149" i="43"/>
  <c r="BB18" i="59"/>
  <c r="V117" i="61"/>
  <c r="W59" i="58"/>
  <c r="BA14" i="59"/>
  <c r="U114" i="61"/>
  <c r="U146" i="43"/>
  <c r="U148" i="43" s="1"/>
  <c r="U328" i="43" s="1"/>
  <c r="BB9" i="59"/>
  <c r="V109" i="61"/>
  <c r="U151" i="43"/>
  <c r="BB20" i="59"/>
  <c r="V119" i="61"/>
  <c r="X62" i="58"/>
  <c r="Y62" i="58" s="1"/>
  <c r="AZ19" i="59"/>
  <c r="AZ36" i="59" s="1"/>
  <c r="T118" i="61"/>
  <c r="W56" i="58"/>
  <c r="BA11" i="59"/>
  <c r="U111" i="61"/>
  <c r="W147" i="43"/>
  <c r="BD10" i="59"/>
  <c r="X110" i="61"/>
  <c r="X54" i="58"/>
  <c r="V145" i="43"/>
  <c r="BC8" i="59"/>
  <c r="W108" i="61"/>
  <c r="E24" i="58"/>
  <c r="AJ48" i="59" s="1"/>
  <c r="AJ59" i="59" s="1"/>
  <c r="E23" i="58"/>
  <c r="AK123" i="59"/>
  <c r="AJ46" i="59"/>
  <c r="AJ57" i="59" s="1"/>
  <c r="U355" i="43"/>
  <c r="V346" i="43"/>
  <c r="V353" i="43"/>
  <c r="V380" i="43" s="1"/>
  <c r="V354" i="43"/>
  <c r="V352" i="43"/>
  <c r="R335" i="43"/>
  <c r="R365" i="43" s="1"/>
  <c r="R337" i="43"/>
  <c r="R336" i="43"/>
  <c r="R379" i="43" s="1"/>
  <c r="Q338" i="43"/>
  <c r="T392" i="43"/>
  <c r="AA21" i="60"/>
  <c r="Z56" i="60"/>
  <c r="AA22" i="60"/>
  <c r="Z57" i="60"/>
  <c r="AA20" i="60"/>
  <c r="Z55" i="60"/>
  <c r="AC23" i="60"/>
  <c r="AC58" i="60" s="1"/>
  <c r="Q393" i="43"/>
  <c r="Z52" i="58"/>
  <c r="AA52" i="58" s="1"/>
  <c r="S150" i="43"/>
  <c r="S152" i="43" s="1"/>
  <c r="V63" i="58"/>
  <c r="X64" i="58"/>
  <c r="U394" i="43"/>
  <c r="Z65" i="58"/>
  <c r="W153" i="43"/>
  <c r="Z53" i="58"/>
  <c r="Y54" i="58"/>
  <c r="Z55" i="58"/>
  <c r="AZ35" i="59" l="1"/>
  <c r="U326" i="43"/>
  <c r="U364" i="43" s="1"/>
  <c r="U327" i="43"/>
  <c r="U378" i="43" s="1"/>
  <c r="W345" i="43"/>
  <c r="W377" i="43" s="1"/>
  <c r="Y144" i="43"/>
  <c r="Y344" i="43" s="1"/>
  <c r="Y363" i="43" s="1"/>
  <c r="BF6" i="59"/>
  <c r="BF34" i="59" s="1"/>
  <c r="Z107" i="61"/>
  <c r="W58" i="58"/>
  <c r="U113" i="61"/>
  <c r="BA13" i="59"/>
  <c r="W57" i="58"/>
  <c r="BA12" i="59"/>
  <c r="U112" i="61"/>
  <c r="X144" i="43"/>
  <c r="X345" i="43" s="1"/>
  <c r="X377" i="43" s="1"/>
  <c r="BE6" i="59"/>
  <c r="BE34" i="59" s="1"/>
  <c r="Y107" i="61"/>
  <c r="BA19" i="59"/>
  <c r="BA36" i="59" s="1"/>
  <c r="U118" i="61"/>
  <c r="X60" i="58"/>
  <c r="BB15" i="59"/>
  <c r="V115" i="61"/>
  <c r="V151" i="43"/>
  <c r="BC20" i="59"/>
  <c r="W119" i="61"/>
  <c r="W146" i="43"/>
  <c r="W148" i="43" s="1"/>
  <c r="W328" i="43" s="1"/>
  <c r="BD9" i="59"/>
  <c r="X109" i="61"/>
  <c r="X145" i="43"/>
  <c r="BE8" i="59"/>
  <c r="Y108" i="61"/>
  <c r="X56" i="58"/>
  <c r="BB11" i="59"/>
  <c r="V111" i="61"/>
  <c r="X59" i="58"/>
  <c r="BB14" i="59"/>
  <c r="V114" i="61"/>
  <c r="V146" i="43"/>
  <c r="V148" i="43" s="1"/>
  <c r="BC9" i="59"/>
  <c r="W109" i="61"/>
  <c r="X147" i="43"/>
  <c r="BE10" i="59"/>
  <c r="Y110" i="61"/>
  <c r="W149" i="43"/>
  <c r="BD18" i="59"/>
  <c r="X117" i="61"/>
  <c r="X61" i="58"/>
  <c r="BB16" i="59"/>
  <c r="V116" i="61"/>
  <c r="BE22" i="59"/>
  <c r="BE37" i="59" s="1"/>
  <c r="Y120" i="61"/>
  <c r="V149" i="43"/>
  <c r="BC18" i="59"/>
  <c r="W117" i="61"/>
  <c r="F24" i="58"/>
  <c r="AK48" i="59" s="1"/>
  <c r="AC23" i="58"/>
  <c r="AD23" i="58"/>
  <c r="AJ47" i="59"/>
  <c r="AJ58" i="59" s="1"/>
  <c r="AJ45" i="59"/>
  <c r="AJ56" i="59" s="1"/>
  <c r="V355" i="43"/>
  <c r="V366" i="43"/>
  <c r="V394" i="43" s="1"/>
  <c r="W352" i="43"/>
  <c r="W366" i="43" s="1"/>
  <c r="W354" i="43"/>
  <c r="W353" i="43"/>
  <c r="W380" i="43" s="1"/>
  <c r="W346" i="43"/>
  <c r="S337" i="43"/>
  <c r="S335" i="43"/>
  <c r="S365" i="43" s="1"/>
  <c r="S336" i="43"/>
  <c r="S379" i="43" s="1"/>
  <c r="R338" i="43"/>
  <c r="AB22" i="60"/>
  <c r="AA57" i="60"/>
  <c r="AD23" i="60"/>
  <c r="AD58" i="60" s="1"/>
  <c r="AB20" i="60"/>
  <c r="AA55" i="60"/>
  <c r="AB21" i="60"/>
  <c r="AA56" i="60"/>
  <c r="R393" i="43"/>
  <c r="T150" i="43"/>
  <c r="T152" i="43" s="1"/>
  <c r="W63" i="58"/>
  <c r="Y64" i="58"/>
  <c r="AA65" i="58"/>
  <c r="X153" i="43"/>
  <c r="AB52" i="58"/>
  <c r="Z62" i="58"/>
  <c r="Z54" i="58"/>
  <c r="AA55" i="58"/>
  <c r="AA53" i="58"/>
  <c r="BA35" i="59" l="1"/>
  <c r="Y345" i="43"/>
  <c r="Y377" i="43" s="1"/>
  <c r="U392" i="43"/>
  <c r="X344" i="43"/>
  <c r="X363" i="43" s="1"/>
  <c r="W327" i="43"/>
  <c r="W378" i="43" s="1"/>
  <c r="W326" i="43"/>
  <c r="W364" i="43" s="1"/>
  <c r="W392" i="43" s="1"/>
  <c r="X57" i="58"/>
  <c r="BB12" i="59"/>
  <c r="V112" i="61"/>
  <c r="X58" i="58"/>
  <c r="V113" i="61"/>
  <c r="BB13" i="59"/>
  <c r="Z144" i="43"/>
  <c r="Z344" i="43" s="1"/>
  <c r="Z363" i="43" s="1"/>
  <c r="BG6" i="59"/>
  <c r="BG34" i="59" s="1"/>
  <c r="AA107" i="61"/>
  <c r="V326" i="43"/>
  <c r="V364" i="43" s="1"/>
  <c r="V327" i="43"/>
  <c r="V378" i="43" s="1"/>
  <c r="V328" i="43"/>
  <c r="Y61" i="58"/>
  <c r="BC16" i="59"/>
  <c r="W116" i="61"/>
  <c r="X146" i="43"/>
  <c r="X148" i="43" s="1"/>
  <c r="X327" i="43" s="1"/>
  <c r="X378" i="43" s="1"/>
  <c r="BE9" i="59"/>
  <c r="Y109" i="61"/>
  <c r="X149" i="43"/>
  <c r="BE18" i="59"/>
  <c r="Y117" i="61"/>
  <c r="Y60" i="58"/>
  <c r="BC15" i="59"/>
  <c r="W115" i="61"/>
  <c r="Y59" i="58"/>
  <c r="BC14" i="59"/>
  <c r="W114" i="61"/>
  <c r="Y145" i="43"/>
  <c r="BF8" i="59"/>
  <c r="Z108" i="61"/>
  <c r="BB19" i="59"/>
  <c r="BB36" i="59" s="1"/>
  <c r="V118" i="61"/>
  <c r="Y56" i="58"/>
  <c r="BC11" i="59"/>
  <c r="W111" i="61"/>
  <c r="BF22" i="59"/>
  <c r="BF37" i="59" s="1"/>
  <c r="Z120" i="61"/>
  <c r="W151" i="43"/>
  <c r="BD20" i="59"/>
  <c r="X119" i="61"/>
  <c r="Y147" i="43"/>
  <c r="BF10" i="59"/>
  <c r="Z110" i="61"/>
  <c r="X352" i="43"/>
  <c r="X366" i="43" s="1"/>
  <c r="X354" i="43"/>
  <c r="X353" i="43"/>
  <c r="X380" i="43" s="1"/>
  <c r="W355" i="43"/>
  <c r="Y346" i="43"/>
  <c r="T337" i="43"/>
  <c r="T336" i="43"/>
  <c r="T379" i="43" s="1"/>
  <c r="T335" i="43"/>
  <c r="T365" i="43" s="1"/>
  <c r="S338" i="43"/>
  <c r="AC21" i="60"/>
  <c r="AB56" i="60"/>
  <c r="AE23" i="60"/>
  <c r="AE58" i="60" s="1"/>
  <c r="AC20" i="60"/>
  <c r="AB55" i="60"/>
  <c r="AC22" i="60"/>
  <c r="AB57" i="60"/>
  <c r="S393" i="43"/>
  <c r="U150" i="43"/>
  <c r="U152" i="43" s="1"/>
  <c r="X63" i="58"/>
  <c r="Z64" i="58"/>
  <c r="AB65" i="58"/>
  <c r="Y153" i="43"/>
  <c r="W394" i="43"/>
  <c r="AC52" i="58"/>
  <c r="AB53" i="58"/>
  <c r="AA54" i="58"/>
  <c r="AA62" i="58"/>
  <c r="AB55" i="58"/>
  <c r="BB35" i="59" l="1"/>
  <c r="X346" i="43"/>
  <c r="V392" i="43"/>
  <c r="Z345" i="43"/>
  <c r="Z377" i="43" s="1"/>
  <c r="Y58" i="58"/>
  <c r="W113" i="61"/>
  <c r="BC13" i="59"/>
  <c r="AA144" i="43"/>
  <c r="AA345" i="43" s="1"/>
  <c r="AA377" i="43" s="1"/>
  <c r="BH6" i="59"/>
  <c r="BH34" i="59" s="1"/>
  <c r="AB107" i="61"/>
  <c r="Y57" i="58"/>
  <c r="BC12" i="59"/>
  <c r="W112" i="61"/>
  <c r="X328" i="43"/>
  <c r="X326" i="43"/>
  <c r="X364" i="43" s="1"/>
  <c r="X392" i="43" s="1"/>
  <c r="Z56" i="58"/>
  <c r="BD11" i="59"/>
  <c r="X111" i="61"/>
  <c r="Z60" i="58"/>
  <c r="BD15" i="59"/>
  <c r="X115" i="61"/>
  <c r="Z147" i="43"/>
  <c r="BG10" i="59"/>
  <c r="AA110" i="61"/>
  <c r="Z59" i="58"/>
  <c r="BD14" i="59"/>
  <c r="X114" i="61"/>
  <c r="Z61" i="58"/>
  <c r="BD16" i="59"/>
  <c r="X116" i="61"/>
  <c r="BG22" i="59"/>
  <c r="BG37" i="59" s="1"/>
  <c r="AA120" i="61"/>
  <c r="X151" i="43"/>
  <c r="BE20" i="59"/>
  <c r="Y119" i="61"/>
  <c r="Y149" i="43"/>
  <c r="BF18" i="59"/>
  <c r="Z117" i="61"/>
  <c r="Y146" i="43"/>
  <c r="Y148" i="43" s="1"/>
  <c r="Y326" i="43" s="1"/>
  <c r="Y364" i="43" s="1"/>
  <c r="BF9" i="59"/>
  <c r="Z109" i="61"/>
  <c r="BC19" i="59"/>
  <c r="BC36" i="59" s="1"/>
  <c r="W118" i="61"/>
  <c r="Z145" i="43"/>
  <c r="BG8" i="59"/>
  <c r="AA108" i="61"/>
  <c r="Y352" i="43"/>
  <c r="Y366" i="43" s="1"/>
  <c r="Y353" i="43"/>
  <c r="Y380" i="43" s="1"/>
  <c r="Y354" i="43"/>
  <c r="X355" i="43"/>
  <c r="T338" i="43"/>
  <c r="U337" i="43"/>
  <c r="U335" i="43"/>
  <c r="U365" i="43" s="1"/>
  <c r="U336" i="43"/>
  <c r="U379" i="43" s="1"/>
  <c r="AD22" i="60"/>
  <c r="AC57" i="60"/>
  <c r="AD20" i="60"/>
  <c r="AC55" i="60"/>
  <c r="AD21" i="60"/>
  <c r="AC56" i="60"/>
  <c r="T393" i="43"/>
  <c r="AA64" i="58"/>
  <c r="V150" i="43"/>
  <c r="V152" i="43" s="1"/>
  <c r="Y63" i="58"/>
  <c r="X394" i="43"/>
  <c r="AC65" i="58"/>
  <c r="Z153" i="43"/>
  <c r="AD52" i="58"/>
  <c r="AB62" i="58"/>
  <c r="AC55" i="58"/>
  <c r="AB54" i="58"/>
  <c r="AC53" i="58"/>
  <c r="BC35" i="59" l="1"/>
  <c r="Z346" i="43"/>
  <c r="AA344" i="43"/>
  <c r="AA363" i="43" s="1"/>
  <c r="Z57" i="58"/>
  <c r="BD12" i="59"/>
  <c r="X112" i="61"/>
  <c r="AB144" i="43"/>
  <c r="AB345" i="43" s="1"/>
  <c r="AB377" i="43" s="1"/>
  <c r="BI6" i="59"/>
  <c r="BI34" i="59" s="1"/>
  <c r="AC107" i="61"/>
  <c r="Z58" i="58"/>
  <c r="X113" i="61"/>
  <c r="BD13" i="59"/>
  <c r="Y327" i="43"/>
  <c r="Y378" i="43" s="1"/>
  <c r="Y392" i="43" s="1"/>
  <c r="Y328" i="43"/>
  <c r="Z149" i="43"/>
  <c r="BG18" i="59"/>
  <c r="AA117" i="61"/>
  <c r="AA61" i="58"/>
  <c r="BE16" i="59"/>
  <c r="Y116" i="61"/>
  <c r="Z146" i="43"/>
  <c r="Z148" i="43" s="1"/>
  <c r="Z326" i="43" s="1"/>
  <c r="Z364" i="43" s="1"/>
  <c r="BG9" i="59"/>
  <c r="AA109" i="61"/>
  <c r="Y151" i="43"/>
  <c r="BF20" i="59"/>
  <c r="Z119" i="61"/>
  <c r="BH22" i="59"/>
  <c r="BH37" i="59" s="1"/>
  <c r="AB120" i="61"/>
  <c r="AA145" i="43"/>
  <c r="BH8" i="59"/>
  <c r="AB108" i="61"/>
  <c r="BD19" i="59"/>
  <c r="BD36" i="59" s="1"/>
  <c r="X118" i="61"/>
  <c r="AA60" i="58"/>
  <c r="BE15" i="59"/>
  <c r="Y115" i="61"/>
  <c r="AA147" i="43"/>
  <c r="BH10" i="59"/>
  <c r="AB110" i="61"/>
  <c r="AA59" i="58"/>
  <c r="BE14" i="59"/>
  <c r="Y114" i="61"/>
  <c r="AA56" i="58"/>
  <c r="BE11" i="59"/>
  <c r="Y111" i="61"/>
  <c r="Y355" i="43"/>
  <c r="Z352" i="43"/>
  <c r="Z366" i="43" s="1"/>
  <c r="Z354" i="43"/>
  <c r="Z353" i="43"/>
  <c r="Z380" i="43" s="1"/>
  <c r="U338" i="43"/>
  <c r="V335" i="43"/>
  <c r="V365" i="43" s="1"/>
  <c r="V336" i="43"/>
  <c r="V379" i="43" s="1"/>
  <c r="V337" i="43"/>
  <c r="AE21" i="60"/>
  <c r="AE56" i="60" s="1"/>
  <c r="AD56" i="60"/>
  <c r="AE20" i="60"/>
  <c r="AE55" i="60" s="1"/>
  <c r="AD55" i="60"/>
  <c r="AE22" i="60"/>
  <c r="AE57" i="60" s="1"/>
  <c r="AD57" i="60"/>
  <c r="AB64" i="58"/>
  <c r="U393" i="43"/>
  <c r="W150" i="43"/>
  <c r="W152" i="43" s="1"/>
  <c r="Z63" i="58"/>
  <c r="Y394" i="43"/>
  <c r="AD65" i="58"/>
  <c r="AA153" i="43"/>
  <c r="AE52" i="58"/>
  <c r="AC54" i="58"/>
  <c r="AD55" i="58"/>
  <c r="AC64" i="58"/>
  <c r="AD53" i="58"/>
  <c r="AC62" i="58"/>
  <c r="AA346" i="43" l="1"/>
  <c r="BD35" i="59"/>
  <c r="Z328" i="43"/>
  <c r="AB344" i="43"/>
  <c r="AB363" i="43" s="1"/>
  <c r="Z327" i="43"/>
  <c r="Z378" i="43" s="1"/>
  <c r="Z392" i="43" s="1"/>
  <c r="AA58" i="58"/>
  <c r="Y113" i="61"/>
  <c r="BE13" i="59"/>
  <c r="AC144" i="43"/>
  <c r="AC344" i="43" s="1"/>
  <c r="AC363" i="43" s="1"/>
  <c r="BJ6" i="59"/>
  <c r="BJ34" i="59" s="1"/>
  <c r="AD107" i="61"/>
  <c r="AA57" i="58"/>
  <c r="BE12" i="59"/>
  <c r="Y112" i="61"/>
  <c r="AA149" i="43"/>
  <c r="BH18" i="59"/>
  <c r="AB117" i="61"/>
  <c r="AB60" i="58"/>
  <c r="BF15" i="59"/>
  <c r="Z115" i="61"/>
  <c r="AB145" i="43"/>
  <c r="BI8" i="59"/>
  <c r="AC108" i="61"/>
  <c r="BE19" i="59"/>
  <c r="BE36" i="59" s="1"/>
  <c r="Y118" i="61"/>
  <c r="AB147" i="43"/>
  <c r="BI10" i="59"/>
  <c r="AC110" i="61"/>
  <c r="AB56" i="58"/>
  <c r="BF11" i="59"/>
  <c r="Z111" i="61"/>
  <c r="AA151" i="43"/>
  <c r="BH20" i="59"/>
  <c r="AB119" i="61"/>
  <c r="Z151" i="43"/>
  <c r="BG20" i="59"/>
  <c r="AA119" i="61"/>
  <c r="AB61" i="58"/>
  <c r="BF16" i="59"/>
  <c r="Z116" i="61"/>
  <c r="AA146" i="43"/>
  <c r="AA148" i="43" s="1"/>
  <c r="AA327" i="43" s="1"/>
  <c r="AA378" i="43" s="1"/>
  <c r="BH9" i="59"/>
  <c r="AB109" i="61"/>
  <c r="BI22" i="59"/>
  <c r="BI37" i="59" s="1"/>
  <c r="AC120" i="61"/>
  <c r="AB59" i="58"/>
  <c r="BF14" i="59"/>
  <c r="Z114" i="61"/>
  <c r="AA353" i="43"/>
  <c r="AA380" i="43" s="1"/>
  <c r="AA354" i="43"/>
  <c r="AA352" i="43"/>
  <c r="AA366" i="43" s="1"/>
  <c r="Z355" i="43"/>
  <c r="AB346" i="43"/>
  <c r="V338" i="43"/>
  <c r="W335" i="43"/>
  <c r="W365" i="43" s="1"/>
  <c r="W337" i="43"/>
  <c r="W336" i="43"/>
  <c r="W379" i="43" s="1"/>
  <c r="X150" i="43"/>
  <c r="X152" i="43" s="1"/>
  <c r="AA63" i="58"/>
  <c r="V393" i="43"/>
  <c r="AE65" i="58"/>
  <c r="AB153" i="43"/>
  <c r="Z394" i="43"/>
  <c r="AD62" i="58"/>
  <c r="AD64" i="58"/>
  <c r="AE53" i="58"/>
  <c r="AE55" i="58"/>
  <c r="AD54" i="58"/>
  <c r="BE35" i="59" l="1"/>
  <c r="C678" i="43"/>
  <c r="Q678" i="43" s="1"/>
  <c r="Q11" i="43" s="1"/>
  <c r="F103" i="59"/>
  <c r="G103" i="59" s="1"/>
  <c r="H103" i="59" s="1"/>
  <c r="I103" i="59" s="1"/>
  <c r="J103" i="59" s="1"/>
  <c r="K103" i="59" s="1"/>
  <c r="L103" i="59" s="1"/>
  <c r="M103" i="59" s="1"/>
  <c r="N103" i="59" s="1"/>
  <c r="O103" i="59" s="1"/>
  <c r="P103" i="59" s="1"/>
  <c r="Q103" i="59" s="1"/>
  <c r="R103" i="59" s="1"/>
  <c r="S103" i="59" s="1"/>
  <c r="T103" i="59" s="1"/>
  <c r="U103" i="59" s="1"/>
  <c r="V103" i="59" s="1"/>
  <c r="W103" i="59" s="1"/>
  <c r="X103" i="59" s="1"/>
  <c r="Y103" i="59" s="1"/>
  <c r="Z103" i="59" s="1"/>
  <c r="AA103" i="59" s="1"/>
  <c r="AB103" i="59" s="1"/>
  <c r="AC103" i="59" s="1"/>
  <c r="AD103" i="59" s="1"/>
  <c r="AE103" i="59" s="1"/>
  <c r="AF103" i="59" s="1"/>
  <c r="C112" i="43"/>
  <c r="D112" i="43" s="1"/>
  <c r="AC345" i="43"/>
  <c r="AC377" i="43" s="1"/>
  <c r="AA328" i="43"/>
  <c r="AA326" i="43"/>
  <c r="AA364" i="43" s="1"/>
  <c r="AA392" i="43" s="1"/>
  <c r="Z112" i="61"/>
  <c r="BF12" i="59"/>
  <c r="AB57" i="58"/>
  <c r="AB58" i="58"/>
  <c r="Z113" i="61"/>
  <c r="BF13" i="59"/>
  <c r="AB151" i="43"/>
  <c r="BI20" i="59"/>
  <c r="AC119" i="61"/>
  <c r="AC56" i="58"/>
  <c r="BG11" i="59"/>
  <c r="AA111" i="61"/>
  <c r="AB149" i="43"/>
  <c r="BI18" i="59"/>
  <c r="AC117" i="61"/>
  <c r="AC59" i="58"/>
  <c r="BG14" i="59"/>
  <c r="AA114" i="61"/>
  <c r="AC60" i="58"/>
  <c r="BG15" i="59"/>
  <c r="AA115" i="61"/>
  <c r="BF19" i="59"/>
  <c r="BF36" i="59" s="1"/>
  <c r="Z118" i="61"/>
  <c r="AC153" i="43"/>
  <c r="AC354" i="43" s="1"/>
  <c r="BJ22" i="59"/>
  <c r="BJ37" i="59" s="1"/>
  <c r="AD120" i="61"/>
  <c r="AC145" i="43"/>
  <c r="BJ8" i="59"/>
  <c r="AD108" i="61"/>
  <c r="AB146" i="43"/>
  <c r="AB148" i="43" s="1"/>
  <c r="AB328" i="43" s="1"/>
  <c r="BI9" i="59"/>
  <c r="AC109" i="61"/>
  <c r="AC61" i="58"/>
  <c r="BG16" i="59"/>
  <c r="AA116" i="61"/>
  <c r="AC147" i="43"/>
  <c r="BJ10" i="59"/>
  <c r="AD110" i="61"/>
  <c r="AB352" i="43"/>
  <c r="AB366" i="43" s="1"/>
  <c r="AB353" i="43"/>
  <c r="AB380" i="43" s="1"/>
  <c r="AB354" i="43"/>
  <c r="AA355" i="43"/>
  <c r="W338" i="43"/>
  <c r="X335" i="43"/>
  <c r="X365" i="43" s="1"/>
  <c r="X336" i="43"/>
  <c r="X379" i="43" s="1"/>
  <c r="X337" i="43"/>
  <c r="W393" i="43"/>
  <c r="Y150" i="43"/>
  <c r="Y152" i="43" s="1"/>
  <c r="AB63" i="58"/>
  <c r="AA394" i="43"/>
  <c r="AE64" i="58"/>
  <c r="AE54" i="58"/>
  <c r="AE62" i="58"/>
  <c r="C75" i="43"/>
  <c r="D75" i="43" s="1"/>
  <c r="C665" i="43"/>
  <c r="C8" i="43" s="1"/>
  <c r="C679" i="43"/>
  <c r="C101" i="43"/>
  <c r="D101" i="43" s="1"/>
  <c r="C666" i="43"/>
  <c r="C9" i="43" s="1"/>
  <c r="AC346" i="43" l="1"/>
  <c r="BF35" i="59"/>
  <c r="R678" i="43"/>
  <c r="R11" i="43" s="1"/>
  <c r="C667" i="43"/>
  <c r="C10" i="43" s="1"/>
  <c r="F104" i="59"/>
  <c r="G104" i="59" s="1"/>
  <c r="E678" i="43"/>
  <c r="E11" i="43" s="1"/>
  <c r="X678" i="43"/>
  <c r="X11" i="43" s="1"/>
  <c r="P678" i="43"/>
  <c r="P11" i="43" s="1"/>
  <c r="C11" i="43"/>
  <c r="C12" i="43"/>
  <c r="P679" i="43"/>
  <c r="P12" i="43" s="1"/>
  <c r="E679" i="43"/>
  <c r="E12" i="43" s="1"/>
  <c r="R679" i="43"/>
  <c r="R12" i="43" s="1"/>
  <c r="X679" i="43"/>
  <c r="X12" i="43" s="1"/>
  <c r="Q679" i="43"/>
  <c r="Q12" i="43" s="1"/>
  <c r="C91" i="43"/>
  <c r="AB326" i="43"/>
  <c r="AB364" i="43" s="1"/>
  <c r="AC58" i="58"/>
  <c r="BG13" i="59"/>
  <c r="AA113" i="61"/>
  <c r="AA112" i="61"/>
  <c r="BG12" i="59"/>
  <c r="AC57" i="58"/>
  <c r="AB327" i="43"/>
  <c r="AB378" i="43" s="1"/>
  <c r="AD56" i="58"/>
  <c r="BH11" i="59"/>
  <c r="AB111" i="61"/>
  <c r="AD59" i="58"/>
  <c r="BH14" i="59"/>
  <c r="AB114" i="61"/>
  <c r="AC151" i="43"/>
  <c r="BJ20" i="59"/>
  <c r="AD119" i="61"/>
  <c r="AC352" i="43"/>
  <c r="AC366" i="43" s="1"/>
  <c r="AC149" i="43"/>
  <c r="BJ18" i="59"/>
  <c r="AD117" i="61"/>
  <c r="AC146" i="43"/>
  <c r="AC148" i="43" s="1"/>
  <c r="AC327" i="43" s="1"/>
  <c r="AC378" i="43" s="1"/>
  <c r="BJ9" i="59"/>
  <c r="AD109" i="61"/>
  <c r="AC353" i="43"/>
  <c r="AC380" i="43" s="1"/>
  <c r="AD61" i="58"/>
  <c r="BH16" i="59"/>
  <c r="AB116" i="61"/>
  <c r="BG19" i="59"/>
  <c r="BG36" i="59" s="1"/>
  <c r="AA118" i="61"/>
  <c r="AD60" i="58"/>
  <c r="BH15" i="59"/>
  <c r="AB115" i="61"/>
  <c r="AB355" i="43"/>
  <c r="Y336" i="43"/>
  <c r="Y379" i="43" s="1"/>
  <c r="Y337" i="43"/>
  <c r="Y335" i="43"/>
  <c r="Y365" i="43" s="1"/>
  <c r="X338" i="43"/>
  <c r="X393" i="43"/>
  <c r="Z150" i="43"/>
  <c r="Z152" i="43" s="1"/>
  <c r="AC63" i="58"/>
  <c r="AB394" i="43"/>
  <c r="BG35" i="59" l="1"/>
  <c r="F105" i="59"/>
  <c r="G105" i="59"/>
  <c r="H104" i="59"/>
  <c r="AB392" i="43"/>
  <c r="AC394" i="43"/>
  <c r="AB112" i="61"/>
  <c r="BH12" i="59"/>
  <c r="AD57" i="58"/>
  <c r="AC355" i="43"/>
  <c r="AD58" i="58"/>
  <c r="AB113" i="61"/>
  <c r="BH13" i="59"/>
  <c r="AC328" i="43"/>
  <c r="AC326" i="43"/>
  <c r="AC364" i="43" s="1"/>
  <c r="AC392" i="43" s="1"/>
  <c r="AE60" i="58"/>
  <c r="BI15" i="59"/>
  <c r="AC115" i="61"/>
  <c r="AE61" i="58"/>
  <c r="BI16" i="59"/>
  <c r="AC116" i="61"/>
  <c r="BH19" i="59"/>
  <c r="BH36" i="59" s="1"/>
  <c r="AB118" i="61"/>
  <c r="AE56" i="58"/>
  <c r="BI11" i="59"/>
  <c r="AC111" i="61"/>
  <c r="AE59" i="58"/>
  <c r="BI14" i="59"/>
  <c r="AC114" i="61"/>
  <c r="Z335" i="43"/>
  <c r="Z365" i="43" s="1"/>
  <c r="Z336" i="43"/>
  <c r="Z379" i="43" s="1"/>
  <c r="Z337" i="43"/>
  <c r="Y338" i="43"/>
  <c r="Y393" i="43"/>
  <c r="AA150" i="43"/>
  <c r="AA152" i="43" s="1"/>
  <c r="AD63" i="58"/>
  <c r="BH35" i="59" l="1"/>
  <c r="H105" i="59"/>
  <c r="I104" i="59"/>
  <c r="AE58" i="58"/>
  <c r="AC113" i="61"/>
  <c r="BI13" i="59"/>
  <c r="AE57" i="58"/>
  <c r="BI12" i="59"/>
  <c r="AC112" i="61"/>
  <c r="BJ15" i="59"/>
  <c r="AD115" i="61"/>
  <c r="BJ16" i="59"/>
  <c r="AD116" i="61"/>
  <c r="BI19" i="59"/>
  <c r="BI36" i="59" s="1"/>
  <c r="AC118" i="61"/>
  <c r="BJ14" i="59"/>
  <c r="AD114" i="61"/>
  <c r="BJ11" i="59"/>
  <c r="AD111" i="61"/>
  <c r="AA335" i="43"/>
  <c r="AA365" i="43" s="1"/>
  <c r="AA336" i="43"/>
  <c r="AA379" i="43" s="1"/>
  <c r="AA337" i="43"/>
  <c r="Z338" i="43"/>
  <c r="Z393" i="43"/>
  <c r="AB150" i="43"/>
  <c r="AB152" i="43" s="1"/>
  <c r="AE63" i="58"/>
  <c r="BI35" i="59" l="1"/>
  <c r="J104" i="59"/>
  <c r="I105" i="59"/>
  <c r="BJ12" i="59"/>
  <c r="AD112" i="61"/>
  <c r="AD113" i="61"/>
  <c r="BJ13" i="59"/>
  <c r="BJ35" i="59" s="1"/>
  <c r="AC150" i="43"/>
  <c r="AC152" i="43" s="1"/>
  <c r="AC336" i="43" s="1"/>
  <c r="AC379" i="43" s="1"/>
  <c r="BJ19" i="59"/>
  <c r="BJ36" i="59" s="1"/>
  <c r="AD118" i="61"/>
  <c r="AB337" i="43"/>
  <c r="AB336" i="43"/>
  <c r="AB379" i="43" s="1"/>
  <c r="AB335" i="43"/>
  <c r="AB365" i="43" s="1"/>
  <c r="AA338" i="43"/>
  <c r="AA393" i="43"/>
  <c r="K104" i="59" l="1"/>
  <c r="J105" i="59"/>
  <c r="AC335" i="43"/>
  <c r="AC365" i="43" s="1"/>
  <c r="AC393" i="43" s="1"/>
  <c r="AC337" i="43"/>
  <c r="AB338" i="43"/>
  <c r="AB393" i="43"/>
  <c r="L104" i="59" l="1"/>
  <c r="K105" i="59"/>
  <c r="AC338" i="43"/>
  <c r="E381" i="43"/>
  <c r="L105" i="59" l="1"/>
  <c r="M104" i="59"/>
  <c r="E383" i="43"/>
  <c r="E53" i="43" s="1"/>
  <c r="C185" i="43"/>
  <c r="D142" i="43" s="1"/>
  <c r="V185" i="43"/>
  <c r="AA185" i="43"/>
  <c r="P185" i="43"/>
  <c r="N104" i="59" l="1"/>
  <c r="M105" i="59"/>
  <c r="E5" i="43"/>
  <c r="E47" i="43"/>
  <c r="E48" i="43"/>
  <c r="E54" i="43"/>
  <c r="E49" i="43"/>
  <c r="E52" i="43"/>
  <c r="E51" i="43"/>
  <c r="E50" i="43"/>
  <c r="Q329" i="43"/>
  <c r="D329" i="43"/>
  <c r="AF49" i="59"/>
  <c r="BI28" i="59" s="1"/>
  <c r="AF50" i="59"/>
  <c r="BI29" i="59" s="1"/>
  <c r="AD201" i="59"/>
  <c r="U50" i="59"/>
  <c r="AX29" i="59" s="1"/>
  <c r="U49" i="59"/>
  <c r="AX28" i="59" s="1"/>
  <c r="S201" i="59"/>
  <c r="AA49" i="59"/>
  <c r="BD28" i="59" s="1"/>
  <c r="AA50" i="59"/>
  <c r="BD29" i="59" s="1"/>
  <c r="Y201" i="59"/>
  <c r="H50" i="59"/>
  <c r="AK29" i="59" s="1"/>
  <c r="H49" i="59"/>
  <c r="AK28" i="59" s="1"/>
  <c r="D155" i="43"/>
  <c r="F201" i="59"/>
  <c r="Q665" i="43"/>
  <c r="Q8" i="43" s="1"/>
  <c r="Q667" i="43"/>
  <c r="Q10" i="43" s="1"/>
  <c r="Q666" i="43"/>
  <c r="Q9" i="43" s="1"/>
  <c r="AB665" i="43"/>
  <c r="AB8" i="43" s="1"/>
  <c r="AB667" i="43"/>
  <c r="AB10" i="43" s="1"/>
  <c r="AB666" i="43"/>
  <c r="AB9" i="43" s="1"/>
  <c r="W665" i="43"/>
  <c r="W8" i="43" s="1"/>
  <c r="W667" i="43"/>
  <c r="W10" i="43" s="1"/>
  <c r="W666" i="43"/>
  <c r="W9" i="43" s="1"/>
  <c r="D665" i="43"/>
  <c r="D8" i="43" s="1"/>
  <c r="D667" i="43"/>
  <c r="D10" i="43" s="1"/>
  <c r="D666"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N105" i="59" l="1"/>
  <c r="O104" i="59"/>
  <c r="AL83" i="59"/>
  <c r="AL84" i="59"/>
  <c r="AL85" i="59"/>
  <c r="AL87" i="59"/>
  <c r="AL86" i="59"/>
  <c r="AL88" i="59"/>
  <c r="E55" i="43"/>
  <c r="AB329" i="43"/>
  <c r="R329" i="43"/>
  <c r="P329" i="43"/>
  <c r="T329" i="43"/>
  <c r="AC329" i="43"/>
  <c r="J329" i="43"/>
  <c r="O329" i="43"/>
  <c r="L329" i="43"/>
  <c r="J50" i="59"/>
  <c r="AM29" i="59" s="1"/>
  <c r="U329" i="43"/>
  <c r="Z329" i="43"/>
  <c r="W329" i="43"/>
  <c r="Q397" i="43"/>
  <c r="W397"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67" i="43"/>
  <c r="G10" i="43" s="1"/>
  <c r="K49" i="59"/>
  <c r="AN28" i="59" s="1"/>
  <c r="K50" i="59"/>
  <c r="AN29" i="59" s="1"/>
  <c r="I201" i="59"/>
  <c r="R50" i="59"/>
  <c r="AU29" i="59" s="1"/>
  <c r="R49" i="59"/>
  <c r="AU28" i="59" s="1"/>
  <c r="P201" i="59"/>
  <c r="E667" i="43"/>
  <c r="E10" i="43" s="1"/>
  <c r="E155" i="43"/>
  <c r="E396" i="43" s="1"/>
  <c r="X665" i="43"/>
  <c r="X8" i="43" s="1"/>
  <c r="X667" i="43"/>
  <c r="X10" i="43" s="1"/>
  <c r="X666" i="43"/>
  <c r="X9" i="43" s="1"/>
  <c r="T665" i="43"/>
  <c r="T8" i="43" s="1"/>
  <c r="T667" i="43"/>
  <c r="T10" i="43" s="1"/>
  <c r="T666" i="43"/>
  <c r="T9" i="43" s="1"/>
  <c r="AC666" i="43"/>
  <c r="AC9" i="43" s="1"/>
  <c r="AC667" i="43"/>
  <c r="AC10" i="43" s="1"/>
  <c r="AC665" i="43"/>
  <c r="AC8" i="43" s="1"/>
  <c r="U665" i="43"/>
  <c r="U8" i="43" s="1"/>
  <c r="U666" i="43"/>
  <c r="U9" i="43" s="1"/>
  <c r="U667" i="43"/>
  <c r="U10" i="43" s="1"/>
  <c r="M665" i="43"/>
  <c r="M8" i="43" s="1"/>
  <c r="M666" i="43"/>
  <c r="M9" i="43" s="1"/>
  <c r="M667" i="43"/>
  <c r="M10" i="43" s="1"/>
  <c r="F666" i="43"/>
  <c r="F9" i="43" s="1"/>
  <c r="F665" i="43"/>
  <c r="F8" i="43" s="1"/>
  <c r="F667" i="43"/>
  <c r="F10" i="43" s="1"/>
  <c r="Z665" i="43"/>
  <c r="Z8" i="43" s="1"/>
  <c r="Z667" i="43"/>
  <c r="Z10" i="43" s="1"/>
  <c r="Z666" i="43"/>
  <c r="Z9" i="43" s="1"/>
  <c r="G666" i="43"/>
  <c r="G9" i="43" s="1"/>
  <c r="G665" i="43"/>
  <c r="G8" i="43" s="1"/>
  <c r="E666" i="43"/>
  <c r="E9" i="43" s="1"/>
  <c r="E665" i="43"/>
  <c r="E8" i="43" s="1"/>
  <c r="Y665" i="43"/>
  <c r="Y8" i="43" s="1"/>
  <c r="Y666" i="43"/>
  <c r="Y9" i="43" s="1"/>
  <c r="Y667" i="43"/>
  <c r="Y10" i="43" s="1"/>
  <c r="AA665" i="43"/>
  <c r="AA8" i="43" s="1"/>
  <c r="AA666" i="43"/>
  <c r="AA9" i="43" s="1"/>
  <c r="AA667" i="43"/>
  <c r="AA10" i="43" s="1"/>
  <c r="O667" i="43"/>
  <c r="O10" i="43" s="1"/>
  <c r="O665" i="43"/>
  <c r="O8" i="43" s="1"/>
  <c r="O666" i="43"/>
  <c r="O9" i="43" s="1"/>
  <c r="N667" i="43"/>
  <c r="N10" i="43" s="1"/>
  <c r="N666" i="43"/>
  <c r="N9" i="43" s="1"/>
  <c r="N665" i="43"/>
  <c r="N8" i="43" s="1"/>
  <c r="V665" i="43"/>
  <c r="V8" i="43" s="1"/>
  <c r="V667" i="43"/>
  <c r="V10" i="43" s="1"/>
  <c r="V666" i="43"/>
  <c r="V9" i="43" s="1"/>
  <c r="S665" i="43"/>
  <c r="S8" i="43" s="1"/>
  <c r="S666" i="43"/>
  <c r="S9" i="43" s="1"/>
  <c r="S667" i="43"/>
  <c r="S10" i="43" s="1"/>
  <c r="R665" i="43"/>
  <c r="R8" i="43" s="1"/>
  <c r="R667" i="43"/>
  <c r="R10" i="43" s="1"/>
  <c r="R666" i="43"/>
  <c r="R9" i="43" s="1"/>
  <c r="I665" i="43"/>
  <c r="I8" i="43" s="1"/>
  <c r="I666" i="43"/>
  <c r="I9" i="43" s="1"/>
  <c r="I667" i="43"/>
  <c r="I10" i="43" s="1"/>
  <c r="L666" i="43"/>
  <c r="L9" i="43" s="1"/>
  <c r="L667" i="43"/>
  <c r="L10" i="43" s="1"/>
  <c r="L665" i="43"/>
  <c r="L8" i="43" s="1"/>
  <c r="H667" i="43"/>
  <c r="H10" i="43" s="1"/>
  <c r="H665" i="43"/>
  <c r="H8" i="43" s="1"/>
  <c r="H666" i="43"/>
  <c r="H9" i="43" s="1"/>
  <c r="K665" i="43"/>
  <c r="K8" i="43" s="1"/>
  <c r="K667" i="43"/>
  <c r="K10" i="43" s="1"/>
  <c r="K666" i="43"/>
  <c r="K9" i="43" s="1"/>
  <c r="P666" i="43"/>
  <c r="P9" i="43" s="1"/>
  <c r="P665" i="43"/>
  <c r="P8" i="43" s="1"/>
  <c r="P667" i="43"/>
  <c r="P10" i="43" s="1"/>
  <c r="J665" i="43"/>
  <c r="J8" i="43" s="1"/>
  <c r="J667" i="43"/>
  <c r="J10" i="43" s="1"/>
  <c r="J666"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P104" i="59" l="1"/>
  <c r="O105" i="59"/>
  <c r="E123" i="6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K26" i="59"/>
  <c r="V26" i="59"/>
  <c r="S26" i="59"/>
  <c r="Q26" i="59"/>
  <c r="AE26" i="59"/>
  <c r="Z26" i="59"/>
  <c r="M26" i="59"/>
  <c r="X26" i="59"/>
  <c r="AC26" i="59"/>
  <c r="AG26" i="59"/>
  <c r="P26" i="59"/>
  <c r="AD26" i="59"/>
  <c r="O26" i="59"/>
  <c r="R26" i="59"/>
  <c r="Y26" i="59"/>
  <c r="I26" i="59"/>
  <c r="AB26" i="59"/>
  <c r="W26" i="59"/>
  <c r="T26" i="59"/>
  <c r="N26" i="59"/>
  <c r="J26" i="59"/>
  <c r="L26"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Q104" i="59" l="1"/>
  <c r="P105" i="59"/>
  <c r="F123" i="6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G26"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R104" i="59" l="1"/>
  <c r="Q105" i="59"/>
  <c r="AK70" i="59"/>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Q117" i="60"/>
  <c r="V117" i="60"/>
  <c r="X117" i="60"/>
  <c r="M117" i="60"/>
  <c r="U117" i="60"/>
  <c r="AC117" i="60"/>
  <c r="K117" i="60"/>
  <c r="S117" i="60"/>
  <c r="AA117" i="60"/>
  <c r="I117" i="60"/>
  <c r="Y117" i="60"/>
  <c r="G117" i="60"/>
  <c r="O117" i="60"/>
  <c r="W117" i="60"/>
  <c r="Z117" i="60"/>
  <c r="P117" i="60"/>
  <c r="F117" i="60"/>
  <c r="N117" i="60"/>
  <c r="AD117" i="60"/>
  <c r="L117" i="60"/>
  <c r="T117" i="60"/>
  <c r="AB117" i="60"/>
  <c r="J117" i="60"/>
  <c r="R117" i="60"/>
  <c r="H117" i="60"/>
  <c r="E117" i="60"/>
  <c r="AL119" i="59" l="1"/>
  <c r="G10" i="58" s="1"/>
  <c r="AL108" i="59"/>
  <c r="S104" i="59"/>
  <c r="R105"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G20" i="58" l="1"/>
  <c r="G21" i="58" s="1"/>
  <c r="F20" i="58"/>
  <c r="F21" i="58" s="1"/>
  <c r="AL44" i="59"/>
  <c r="AL55" i="59" s="1"/>
  <c r="T104" i="59"/>
  <c r="S105" i="59"/>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U104" i="59"/>
  <c r="T105" i="59"/>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U105" i="59"/>
  <c r="V104" i="59"/>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V105" i="59"/>
  <c r="W104" i="59"/>
  <c r="J24" i="58"/>
  <c r="AO48" i="59" s="1"/>
  <c r="AY56" i="59"/>
  <c r="AU56" i="59"/>
  <c r="AQ56" i="59"/>
  <c r="AV56" i="59"/>
  <c r="AP56" i="59"/>
  <c r="AS56" i="59"/>
  <c r="AW56" i="59"/>
  <c r="BE56" i="59"/>
  <c r="BF56" i="59"/>
  <c r="AX56" i="59"/>
  <c r="AN56" i="59"/>
  <c r="AN50" i="59"/>
  <c r="AP123" i="59"/>
  <c r="I126" i="61"/>
  <c r="AM57" i="59" l="1"/>
  <c r="AM50" i="59"/>
  <c r="X104" i="59"/>
  <c r="W105" i="59"/>
  <c r="AO59" i="59"/>
  <c r="AO50" i="59"/>
  <c r="K24" i="58"/>
  <c r="AP48" i="59" s="1"/>
  <c r="AQ123" i="59"/>
  <c r="J126" i="61"/>
  <c r="X105" i="59" l="1"/>
  <c r="Y104" i="59"/>
  <c r="AP59" i="59"/>
  <c r="AP50" i="59"/>
  <c r="L24" i="58"/>
  <c r="AQ48" i="59" s="1"/>
  <c r="AQ50" i="59" s="1"/>
  <c r="AR123" i="59"/>
  <c r="K126" i="61"/>
  <c r="Y105" i="59" l="1"/>
  <c r="Z104" i="59"/>
  <c r="M24" i="58"/>
  <c r="AR48" i="59" s="1"/>
  <c r="AQ59" i="59"/>
  <c r="AS123" i="59"/>
  <c r="L126" i="61"/>
  <c r="AA104" i="59" l="1"/>
  <c r="Z105" i="59"/>
  <c r="AR50" i="59"/>
  <c r="AR59" i="59"/>
  <c r="N24" i="58"/>
  <c r="AS48" i="59" s="1"/>
  <c r="AT123" i="59"/>
  <c r="M126" i="61"/>
  <c r="AA105" i="59" l="1"/>
  <c r="AB104" i="59"/>
  <c r="AS50" i="59"/>
  <c r="AS59" i="59"/>
  <c r="O24" i="58"/>
  <c r="AT48" i="59" s="1"/>
  <c r="AU123" i="59"/>
  <c r="N126" i="61"/>
  <c r="AB105" i="59" l="1"/>
  <c r="AC104" i="59"/>
  <c r="AT59" i="59"/>
  <c r="AT50" i="59"/>
  <c r="P24" i="58"/>
  <c r="AU48" i="59" s="1"/>
  <c r="AV123" i="59"/>
  <c r="O126" i="61"/>
  <c r="AD104" i="59" l="1"/>
  <c r="AC105" i="59"/>
  <c r="AU59" i="59"/>
  <c r="AU50" i="59"/>
  <c r="Q24" i="58"/>
  <c r="AV48" i="59" s="1"/>
  <c r="AW123" i="59"/>
  <c r="P126" i="61"/>
  <c r="AD105" i="59" l="1"/>
  <c r="AE104" i="59"/>
  <c r="AV59" i="59"/>
  <c r="AV50" i="59"/>
  <c r="R24" i="58"/>
  <c r="AW48" i="59" s="1"/>
  <c r="AX123" i="59"/>
  <c r="Q126" i="61"/>
  <c r="AE105" i="59" l="1"/>
  <c r="AF104" i="59"/>
  <c r="AF105" i="59" s="1"/>
  <c r="AW59" i="59"/>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92" i="43"/>
  <c r="F293"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<sst xmlns="http://schemas.openxmlformats.org/spreadsheetml/2006/main" count="3348" uniqueCount="1139">
  <si>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</si>
  <si>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</si>
  <si>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</si>
  <si>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</si>
  <si>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</si>
  <si>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</si>
  <si>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</si>
  <si>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</si>
  <si>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</si>
  <si>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</si>
  <si>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</si>
  <si>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</si>
  <si>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</si>
  <si>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</si>
  <si>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</si>
  <si>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</si>
  <si>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</si>
  <si>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</si>
  <si>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</si>
  <si>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</si>
  <si>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</si>
  <si>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</si>
  <si>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</si>
  <si>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</si>
  <si>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</si>
  <si>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</si>
  <si>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</si>
  <si>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</si>
  <si>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</si>
  <si>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</si>
  <si>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</si>
  <si>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</si>
  <si>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</si>
  <si>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</si>
  <si>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</si>
  <si>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</si>
  <si>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</si>
  <si>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</si>
  <si>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</si>
  <si>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</si>
  <si>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</si>
  <si>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</si>
  <si>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</si>
  <si>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</si>
  <si>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</si>
  <si>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</si>
  <si>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</si>
  <si>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</si>
  <si>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</si>
  <si>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</si>
  <si>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</si>
  <si>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</si>
  <si>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</si>
  <si>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</si>
  <si>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</si>
  <si>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</si>
  <si>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</si>
  <si>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</si>
  <si>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</si>
  <si>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</si>
  <si>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</si>
  <si>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</si>
  <si>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</si>
  <si>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</si>
  <si>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</si>
  <si>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</si>
  <si>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</si>
  <si>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</si>
  <si>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</si>
  <si>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</si>
  <si>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</si>
  <si>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</si>
  <si>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</si>
  <si>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</si>
  <si>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</si>
  <si>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</si>
  <si>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</si>
  <si>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</si>
  <si>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</si>
  <si>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</si>
  <si>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</si>
  <si>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</si>
  <si>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</si>
  <si>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</si>
  <si>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</si>
  <si>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</si>
  <si>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</si>
  <si>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</si>
  <si>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</si>
  <si>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</si>
  <si>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</si>
  <si>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</si>
  <si>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</si>
  <si>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</si>
  <si>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</si>
  <si>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</si>
  <si>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</si>
  <si>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</si>
  <si>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</si>
  <si>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</si>
  <si>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</si>
  <si>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</si>
  <si>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</si>
  <si>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</si>
  <si>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</si>
  <si>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</si>
  <si>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</si>
  <si>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</si>
  <si>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</si>
  <si>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</si>
  <si>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</si>
  <si>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</si>
  <si>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</si>
  <si>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</si>
  <si>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</si>
  <si>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</si>
  <si>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</si>
  <si>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</si>
  <si>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</si>
  <si>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</si>
  <si>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</si>
  <si>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</si>
  <si>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</si>
  <si>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</si>
  <si>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</si>
  <si>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</si>
  <si>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</si>
  <si>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</si>
  <si>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</si>
  <si>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</si>
  <si>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</si>
  <si>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</si>
  <si>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</si>
  <si>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</si>
  <si>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</si>
  <si>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</si>
  <si>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</si>
  <si>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</si>
  <si>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</si>
  <si>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</si>
  <si>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</si>
  <si>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</si>
  <si>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</si>
  <si>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</si>
  <si>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</si>
  <si>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</si>
  <si>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</si>
  <si>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</si>
  <si>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</si>
  <si>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</si>
  <si>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</si>
  <si>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</si>
  <si>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</si>
  <si>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</si>
  <si>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</si>
  <si>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</si>
  <si>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</si>
  <si>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</si>
  <si>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</si>
  <si>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</si>
  <si>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</si>
  <si>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</si>
  <si>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</si>
  <si>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</si>
  <si>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</si>
  <si>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</si>
  <si>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</si>
  <si>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</si>
  <si>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</si>
  <si>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</si>
  <si>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</si>
  <si>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</si>
  <si>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</si>
  <si>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</si>
  <si>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</si>
  <si>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</si>
  <si>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</si>
  <si>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</si>
  <si>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</si>
  <si>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</si>
  <si>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</si>
  <si>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</si>
  <si>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</si>
  <si>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</si>
  <si>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</si>
  <si>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</si>
  <si>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</si>
  <si>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</si>
  <si>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</si>
  <si>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</si>
  <si>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</si>
  <si>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</si>
  <si>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</si>
  <si>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</si>
  <si>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</si>
  <si>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</si>
  <si>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</si>
  <si>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</si>
  <si>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</si>
  <si>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</si>
  <si>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</si>
  <si>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</si>
  <si>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</si>
  <si>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</si>
  <si>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</si>
  <si>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</si>
  <si>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</si>
  <si>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</si>
  <si>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</si>
  <si>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</si>
  <si>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</si>
  <si>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</si>
  <si>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</si>
  <si>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</si>
  <si>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</si>
  <si>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</si>
  <si>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</si>
  <si>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</si>
  <si>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</si>
  <si>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</si>
  <si>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</si>
  <si>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</si>
  <si>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</si>
  <si>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</si>
  <si>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</si>
  <si>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</si>
  <si>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</si>
  <si>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</si>
  <si>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</si>
  <si>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</si>
  <si>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</si>
  <si>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</si>
  <si>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</si>
  <si>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</si>
  <si>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</si>
  <si>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</si>
  <si>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</si>
  <si>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</si>
  <si>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</si>
  <si>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</si>
  <si>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</si>
  <si>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</si>
  <si>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</si>
  <si>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</si>
  <si>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</si>
  <si>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</si>
  <si>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</si>
  <si>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</si>
  <si>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</si>
  <si>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</si>
  <si>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</si>
  <si>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</si>
  <si>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</si>
  <si>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</si>
  <si>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</si>
  <si>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</si>
  <si>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</si>
  <si>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</si>
  <si>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</si>
  <si>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</si>
  <si>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</si>
  <si>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</si>
  <si>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</si>
  <si>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</si>
  <si>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</si>
  <si>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</si>
  <si>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</si>
  <si>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</si>
  <si>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</si>
  <si>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</si>
  <si>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</si>
  <si>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</si>
  <si>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</si>
  <si>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</si>
  <si>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</si>
  <si>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</si>
  <si>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</si>
  <si>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</si>
  <si>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</si>
  <si>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</si>
  <si>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</si>
  <si>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</si>
  <si>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</si>
  <si>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</si>
  <si>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</si>
  <si>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</si>
  <si>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</si>
  <si>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</si>
  <si>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</si>
  <si>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</si>
  <si>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</si>
  <si>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</si>
  <si>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</si>
  <si>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</si>
  <si>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</si>
  <si>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</si>
  <si>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</si>
  <si>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</si>
  <si>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</si>
  <si>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</si>
  <si>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</si>
  <si>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</si>
  <si>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</si>
  <si>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</si>
  <si>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</si>
  <si>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</si>
  <si>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</si>
  <si>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</si>
  <si>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</si>
  <si>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</si>
  <si>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</si>
  <si>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</si>
  <si>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</si>
  <si>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</si>
  <si>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</si>
  <si>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</si>
  <si>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</si>
  <si>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</si>
  <si>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</si>
  <si>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</si>
  <si>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</si>
  <si>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</si>
  <si>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</si>
  <si>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</si>
  <si>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</si>
  <si>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</si>
  <si>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</si>
  <si>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</si>
  <si>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</si>
  <si>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</si>
  <si>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</si>
  <si>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</si>
  <si>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</si>
  <si>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</si>
  <si>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</si>
  <si>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</si>
  <si>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</si>
  <si>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</si>
  <si>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</si>
  <si>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</si>
  <si>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</si>
  <si>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</si>
  <si>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</si>
  <si>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</si>
  <si>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</si>
  <si>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</si>
  <si>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</si>
  <si>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</si>
  <si>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</si>
  <si>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</si>
  <si>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</si>
  <si>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</si>
  <si>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</si>
  <si>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</si>
  <si>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</si>
  <si>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</si>
  <si>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</si>
  <si>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</si>
  <si>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</si>
  <si>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</si>
  <si>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</si>
  <si>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</si>
  <si>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</si>
  <si>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</si>
  <si>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</si>
  <si>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</si>
  <si>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</si>
  <si>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</si>
  <si>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</si>
  <si>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</si>
  <si>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</si>
  <si>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</si>
  <si>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</si>
  <si>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</si>
  <si>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</si>
  <si>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</si>
  <si>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</si>
  <si>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</si>
  <si>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</si>
  <si>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</si>
  <si>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</si>
  <si>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</si>
  <si>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</si>
  <si>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</si>
  <si>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</si>
  <si>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</si>
  <si>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</si>
  <si>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</si>
  <si>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</si>
  <si>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</si>
  <si>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</si>
  <si>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</si>
  <si>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</si>
  <si>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</si>
  <si>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</si>
  <si>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</si>
  <si>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</si>
  <si>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</si>
  <si>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</si>
  <si>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</si>
  <si>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</si>
  <si>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</si>
  <si>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</si>
  <si>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</si>
  <si>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</si>
  <si>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</si>
  <si>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</si>
  <si>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</si>
  <si>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</si>
  <si>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</si>
  <si>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</si>
  <si>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</si>
  <si>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</si>
  <si>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</si>
  <si>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</si>
  <si>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</si>
  <si>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</si>
  <si>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</si>
  <si>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</si>
  <si>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</si>
  <si>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</si>
  <si>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</si>
  <si>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</si>
  <si>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</si>
  <si>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</si>
  <si>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</si>
  <si>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</si>
  <si>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</si>
  <si>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</si>
  <si>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</si>
  <si>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</si>
  <si>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</si>
  <si>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</si>
  <si>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</si>
  <si>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</si>
  <si>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</si>
  <si>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</si>
  <si>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</si>
  <si>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</si>
  <si>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</si>
  <si>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</si>
  <si>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</si>
  <si>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</si>
  <si>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</si>
  <si>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</si>
  <si>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</si>
  <si>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</si>
  <si>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</si>
  <si>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</si>
  <si>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</si>
  <si>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</si>
  <si>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</si>
  <si>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</si>
  <si>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</si>
  <si>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</si>
  <si>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</si>
  <si>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</si>
  <si>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</si>
  <si>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</si>
  <si>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</si>
  <si>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</si>
  <si>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</si>
  <si>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</si>
  <si>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</si>
  <si>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</si>
  <si>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</si>
  <si>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</si>
  <si>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</si>
  <si>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</si>
  <si>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</si>
  <si>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</si>
  <si>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</si>
  <si>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</si>
  <si>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</si>
  <si>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</si>
  <si>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</si>
  <si>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</si>
  <si>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</si>
  <si>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</si>
  <si>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</si>
  <si>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</si>
  <si>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</si>
  <si>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</si>
  <si>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</si>
  <si>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</si>
  <si>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</si>
  <si>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</si>
  <si>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</si>
  <si>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</si>
  <si>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</si>
  <si>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</si>
  <si>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</si>
  <si>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</si>
  <si>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</si>
  <si>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</si>
  <si>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</si>
  <si>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</si>
  <si>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</si>
  <si>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</si>
  <si>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</si>
  <si>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</si>
  <si>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</si>
  <si>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</si>
  <si>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</si>
  <si>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</si>
  <si>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</si>
  <si>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</si>
  <si>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</si>
  <si>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</si>
  <si>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</si>
  <si>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</si>
  <si>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</si>
  <si>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</si>
  <si>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</si>
  <si>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</si>
  <si>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</si>
  <si>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</si>
  <si>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</si>
  <si>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</si>
  <si>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</si>
  <si>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</si>
  <si>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</si>
  <si>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</si>
  <si>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</si>
  <si>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</si>
  <si>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</si>
  <si>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</si>
  <si>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</si>
  <si>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</si>
  <si>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</si>
  <si>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</si>
  <si>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</si>
  <si>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</si>
  <si>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</si>
  <si>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</si>
  <si>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</si>
  <si>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</si>
  <si>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</si>
  <si>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</si>
  <si>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</si>
  <si>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</si>
  <si>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</si>
  <si>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</si>
  <si>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</si>
  <si>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</si>
  <si>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</si>
  <si>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</si>
  <si>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</si>
  <si>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</si>
  <si>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</si>
  <si>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</si>
  <si>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</si>
  <si>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</si>
  <si>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</si>
  <si>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</si>
  <si>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</si>
  <si>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</si>
  <si>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</si>
  <si>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</si>
  <si>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</si>
  <si>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</si>
  <si>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</si>
  <si>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</si>
  <si>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</si>
  <si>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</si>
  <si>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</si>
  <si>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</si>
  <si>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</si>
  <si>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</si>
  <si>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</si>
  <si>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</si>
  <si>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</si>
  <si>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</si>
  <si>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</si>
  <si>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</si>
  <si>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</si>
  <si>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</si>
  <si>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</si>
  <si>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</si>
  <si>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</si>
  <si>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</si>
  <si>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</si>
  <si>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</si>
  <si>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</si>
  <si>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</si>
  <si>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</si>
  <si>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</si>
  <si>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</si>
  <si>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</si>
  <si>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</si>
  <si>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</si>
  <si>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</si>
  <si>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</si>
  <si>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</si>
  <si>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</si>
  <si>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</si>
  <si>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</si>
  <si>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</si>
  <si>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</si>
  <si>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</si>
  <si>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</si>
  <si>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</si>
  <si>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</si>
  <si>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</si>
  <si>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</si>
  <si>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</si>
  <si>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</si>
  <si>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</si>
  <si>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</si>
  <si>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</si>
  <si>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</si>
  <si>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</si>
  <si>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</si>
  <si>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</si>
  <si>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</si>
  <si>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</si>
  <si>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</si>
  <si>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</si>
  <si>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</si>
  <si>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</si>
  <si>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</si>
  <si>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</si>
  <si>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</si>
  <si>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</si>
  <si>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</si>
  <si>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</si>
  <si>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</si>
  <si>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</si>
  <si>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</si>
  <si>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</si>
  <si>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</si>
  <si>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</si>
  <si>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</si>
  <si>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</si>
  <si>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</si>
  <si>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</si>
  <si>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</si>
  <si>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</si>
  <si>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</si>
  <si>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</si>
  <si>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</si>
  <si>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</si>
  <si>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</si>
  <si>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</si>
  <si>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</si>
  <si>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</si>
  <si>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</si>
  <si>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</si>
  <si>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</si>
  <si>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</si>
  <si>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</si>
  <si>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</si>
  <si>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</si>
  <si>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</si>
  <si>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</si>
  <si>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</si>
  <si>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</si>
  <si>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</si>
  <si>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</si>
  <si>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</si>
  <si>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</si>
  <si>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</si>
  <si>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</si>
  <si>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</si>
  <si>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</si>
  <si>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</si>
  <si>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</si>
  <si>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</si>
  <si>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</si>
  <si>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</si>
  <si>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</si>
  <si>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</si>
  <si>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</si>
  <si>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</si>
  <si>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</si>
  <si>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</si>
  <si>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</si>
  <si>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</si>
  <si>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</si>
  <si>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</si>
  <si>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</si>
  <si>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</si>
  <si>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</si>
  <si>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</si>
  <si>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</si>
  <si>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</si>
  <si>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</si>
  <si>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</si>
  <si>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</si>
  <si>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</si>
  <si>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</si>
  <si>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</si>
  <si>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</si>
  <si>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</si>
  <si>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</si>
  <si>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</si>
  <si>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</si>
  <si>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</si>
  <si>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</si>
  <si>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</si>
  <si>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</si>
  <si>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</si>
  <si>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</si>
  <si>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</si>
  <si>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</si>
  <si>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</si>
  <si>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</si>
  <si>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</si>
  <si>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</si>
  <si>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</si>
  <si>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</si>
  <si>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</si>
  <si>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</si>
  <si>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</si>
  <si>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</si>
  <si>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</si>
  <si>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</si>
  <si>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</si>
  <si>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</si>
  <si>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</si>
  <si>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</si>
  <si>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</si>
  <si>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</si>
  <si>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</si>
  <si>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</si>
  <si>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</si>
  <si>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</si>
  <si>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</si>
  <si>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</si>
  <si>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</si>
  <si>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</si>
  <si>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</si>
  <si>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</si>
  <si>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</si>
  <si>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</si>
  <si>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</si>
  <si>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</si>
  <si>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</si>
  <si>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</si>
  <si>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</si>
  <si>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</si>
  <si>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</si>
  <si>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</si>
  <si>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</si>
  <si>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</si>
  <si>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</si>
  <si>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</si>
  <si>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</si>
  <si>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</si>
  <si>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</si>
  <si>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</si>
  <si>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</si>
  <si>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</si>
  <si>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</si>
  <si>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</si>
  <si>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</si>
  <si>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</si>
  <si>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</si>
  <si>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</si>
  <si>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</si>
  <si>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</si>
  <si>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</si>
  <si>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</si>
  <si>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</si>
  <si>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</si>
  <si>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</si>
  <si>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</si>
  <si>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</si>
  <si>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</si>
  <si>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</si>
  <si>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</si>
  <si>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</si>
  <si>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</si>
  <si>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</si>
  <si>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</si>
  <si>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</si>
  <si>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</si>
  <si>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</si>
  <si>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</si>
  <si>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</si>
  <si>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</si>
  <si>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</si>
  <si>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</si>
  <si>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</si>
  <si>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</si>
  <si>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</si>
  <si>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</si>
  <si>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</si>
  <si>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</si>
  <si>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</si>
  <si>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</si>
  <si>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</si>
  <si>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</si>
  <si>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</si>
  <si>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</si>
  <si>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</si>
  <si>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</si>
  <si>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</si>
  <si>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</si>
  <si>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</si>
  <si>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</si>
  <si>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</si>
  <si>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</si>
  <si>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</si>
  <si>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</si>
  <si>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</si>
  <si>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</si>
  <si>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</si>
  <si>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</si>
  <si>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</si>
  <si>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</si>
  <si>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</si>
  <si>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</si>
  <si>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</si>
  <si>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</si>
  <si>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</si>
  <si>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</si>
  <si>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</si>
  <si>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</si>
  <si>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</si>
  <si>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</si>
  <si>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</si>
  <si>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</si>
  <si>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</si>
  <si>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</si>
  <si>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</si>
  <si>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</si>
  <si>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</si>
  <si>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</si>
  <si>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</si>
  <si>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</si>
  <si>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</si>
  <si>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</si>
  <si>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</si>
  <si>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</si>
  <si>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</si>
  <si>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</si>
  <si>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</si>
  <si>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</si>
  <si>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</si>
  <si>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</si>
  <si>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</si>
  <si>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</si>
  <si>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</si>
  <si>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</si>
  <si>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</si>
  <si>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</si>
  <si>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</si>
  <si>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</si>
  <si>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</si>
  <si>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</si>
  <si>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</si>
  <si>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</si>
  <si>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</si>
  <si>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</si>
  <si>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</si>
  <si>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</si>
  <si>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</si>
  <si>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</si>
  <si>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</si>
  <si>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</si>
  <si>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</si>
  <si>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</si>
  <si>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</si>
  <si>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</si>
  <si>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</si>
  <si>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</si>
  <si>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</si>
  <si>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</si>
  <si>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</si>
  <si>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</si>
  <si>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</si>
  <si>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</si>
  <si>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</si>
  <si>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</si>
  <si>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</si>
  <si>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</si>
  <si>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</si>
  <si>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</si>
  <si>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</si>
  <si>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</si>
  <si>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</si>
  <si>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</si>
  <si>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</si>
  <si>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</si>
  <si>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</si>
  <si>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</si>
  <si>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</si>
  <si>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</si>
  <si>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</si>
  <si>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</si>
  <si>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</si>
  <si>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</si>
  <si>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</si>
  <si>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</si>
  <si>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</si>
  <si>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</si>
  <si>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</si>
  <si>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</si>
  <si>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</si>
  <si>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</si>
  <si>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</si>
  <si>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</si>
  <si>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</si>
  <si>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</si>
  <si>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</si>
  <si>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</si>
  <si>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</si>
  <si>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</si>
  <si>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</si>
  <si>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</si>
  <si>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</si>
  <si>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</si>
  <si>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</si>
  <si>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</si>
  <si>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</si>
  <si>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</si>
  <si>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</si>
  <si>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</si>
  <si>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</si>
  <si>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</si>
  <si>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</si>
  <si>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</si>
  <si>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</si>
  <si>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</si>
  <si>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</si>
  <si>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</si>
  <si>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</si>
  <si>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</si>
  <si>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</si>
  <si>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</si>
  <si>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</si>
  <si>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 xml:space="preserve"> Share-I~0</t>
  </si>
  <si>
    <t>OILGSL</t>
  </si>
  <si>
    <t>OILDST</t>
  </si>
  <si>
    <t>GASLNG</t>
  </si>
  <si>
    <t>OILKER</t>
  </si>
  <si>
    <t>TRAGSL_BLD</t>
  </si>
  <si>
    <t>TRADST_BLD</t>
  </si>
  <si>
    <t>TRAE85_BLD</t>
  </si>
  <si>
    <t>Fuel Blending - 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</si>
  <si>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</si>
  <si>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</si>
  <si>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</si>
  <si>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</si>
  <si>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</si>
  <si>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</si>
  <si>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</si>
  <si>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</si>
  <si>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</si>
  <si>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</si>
  <si>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</si>
  <si>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</si>
  <si>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</si>
  <si>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</si>
  <si>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</si>
  <si>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</si>
  <si>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</si>
  <si>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</si>
  <si>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</si>
  <si>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</si>
  <si>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</si>
  <si>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</si>
  <si>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</si>
  <si>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</si>
  <si>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</si>
  <si>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</si>
  <si>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</si>
  <si>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</si>
  <si>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</si>
  <si>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</si>
  <si>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</si>
  <si>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</si>
  <si>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</si>
  <si>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</si>
  <si>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</si>
  <si>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</si>
  <si>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</si>
  <si>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</si>
  <si>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</si>
  <si>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</si>
  <si>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</si>
  <si>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</si>
  <si>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</si>
  <si>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</si>
  <si>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</si>
  <si>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</si>
  <si>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</si>
  <si>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</si>
  <si>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</si>
  <si>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</si>
  <si>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</si>
  <si>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</si>
  <si>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</si>
  <si>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</si>
  <si>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</si>
  <si>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</si>
  <si>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</si>
  <si>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</si>
  <si>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</si>
  <si>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</si>
  <si>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</si>
  <si>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</si>
  <si>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</si>
  <si>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</si>
  <si>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</si>
  <si>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</si>
  <si>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</si>
  <si>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</si>
  <si>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</si>
  <si>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</si>
  <si>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</si>
  <si>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</si>
  <si>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</si>
  <si>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</si>
  <si>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</si>
  <si>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</si>
  <si>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</si>
  <si>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</si>
  <si>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</si>
  <si>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</si>
  <si>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</si>
  <si>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</si>
  <si>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</si>
  <si>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</si>
  <si>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</si>
  <si>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</si>
  <si>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</si>
  <si>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</si>
  <si>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</si>
  <si>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</si>
  <si>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</si>
  <si>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</si>
  <si>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</si>
  <si>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</si>
  <si>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</si>
  <si>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</si>
  <si>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</si>
  <si>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</si>
  <si>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</si>
  <si>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</si>
  <si>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</si>
  <si>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</si>
  <si>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</si>
  <si>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</si>
  <si>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</si>
  <si>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</si>
  <si>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</si>
  <si>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</si>
  <si>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</si>
  <si>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</si>
  <si>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</si>
  <si>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</si>
  <si>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</si>
  <si>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</si>
  <si>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</si>
  <si>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</si>
  <si>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</si>
  <si>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</si>
  <si>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</si>
  <si>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</si>
  <si>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</si>
  <si>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</si>
  <si>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</si>
  <si>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</si>
  <si>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</si>
  <si>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</si>
  <si>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</si>
  <si>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</si>
  <si>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</si>
  <si>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</si>
  <si>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</si>
  <si>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</si>
  <si>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</si>
  <si>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</si>
  <si>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</si>
  <si>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</si>
  <si>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</si>
  <si>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</si>
  <si>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</si>
  <si>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</si>
  <si>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</si>
  <si>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</si>
  <si>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</si>
  <si>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</si>
  <si>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</si>
  <si>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</si>
  <si>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</si>
  <si>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</si>
  <si>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</si>
  <si>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</si>
  <si>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</si>
  <si>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</si>
  <si>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</si>
  <si>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</si>
  <si>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</si>
  <si>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</si>
  <si>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</si>
  <si>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</si>
  <si>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</si>
  <si>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</si>
  <si>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</si>
  <si>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</si>
  <si>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</si>
  <si>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</si>
  <si>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</si>
  <si>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</si>
  <si>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</si>
  <si>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</si>
  <si>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</si>
  <si>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</si>
  <si>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</si>
  <si>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</si>
  <si>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</si>
  <si>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</si>
  <si>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</si>
  <si>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</si>
  <si>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</si>
  <si>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</si>
  <si>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</si>
  <si>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</si>
  <si>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</si>
  <si>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</si>
  <si>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</si>
  <si>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</si>
  <si>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</si>
  <si>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</si>
  <si>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</si>
  <si>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</si>
  <si>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</si>
  <si>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</si>
  <si>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</si>
  <si>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</si>
  <si>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</si>
  <si>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</si>
  <si>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</si>
  <si>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</si>
  <si>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FI_T: Share-I~2018</t>
  </si>
  <si>
    <t>FI_T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</si>
</sst>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s>
  <fonts count="8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5">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58">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101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6"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0" xfId="0" applyBorder="1"/>
    <xf numFmtId="0" fontId="0" fillId="0" borderId="150" xfId="0" applyBorder="1" applyAlignment="1">
      <alignment horizontal="center" vertical="center"/>
    </xf>
    <xf numFmtId="0" fontId="2" fillId="0" borderId="150"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0" xfId="2" applyNumberFormat="1" applyFont="1" applyBorder="1" applyAlignment="1">
      <alignment horizontal="center" vertical="center"/>
    </xf>
    <xf numFmtId="2" fontId="2" fillId="0" borderId="150" xfId="0" applyNumberFormat="1" applyFont="1" applyBorder="1" applyAlignment="1">
      <alignment horizontal="center" vertical="center"/>
    </xf>
    <xf numFmtId="0" fontId="2" fillId="0" borderId="150" xfId="0" applyFont="1" applyFill="1" applyBorder="1" applyAlignment="1">
      <alignment horizontal="center" vertical="center" wrapText="1"/>
    </xf>
    <xf numFmtId="2" fontId="0" fillId="0" borderId="150" xfId="0" applyNumberFormat="1" applyBorder="1" applyAlignment="1">
      <alignment horizontal="center" vertical="center"/>
    </xf>
    <xf numFmtId="0" fontId="2" fillId="25" borderId="150"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49"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6"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49"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50" xfId="0" applyFont="1" applyBorder="1" applyAlignment="1">
      <alignment horizontal="center"/>
    </xf>
    <xf numFmtId="0" fontId="39" fillId="0" borderId="150" xfId="0" applyFont="1" applyBorder="1" applyAlignment="1">
      <alignment horizontal="center" vertical="center"/>
    </xf>
    <xf numFmtId="0" fontId="29" fillId="0" borderId="150" xfId="0" applyFont="1" applyBorder="1" applyAlignment="1">
      <alignment horizontal="center" vertical="center"/>
    </xf>
    <xf numFmtId="3" fontId="38" fillId="0" borderId="150" xfId="0" applyNumberFormat="1" applyFont="1" applyBorder="1" applyAlignment="1">
      <alignment horizontal="center" vertical="center"/>
    </xf>
    <xf numFmtId="0" fontId="38" fillId="0" borderId="150" xfId="0" applyFont="1" applyBorder="1" applyAlignment="1">
      <alignment horizontal="center"/>
    </xf>
    <xf numFmtId="3" fontId="38" fillId="0" borderId="150" xfId="0" applyNumberFormat="1" applyFont="1" applyBorder="1" applyAlignment="1">
      <alignment horizontal="center"/>
    </xf>
    <xf numFmtId="0" fontId="40" fillId="0" borderId="152" xfId="0" applyFont="1" applyBorder="1" applyAlignment="1">
      <alignment horizontal="left"/>
    </xf>
    <xf numFmtId="10" fontId="38" fillId="0" borderId="150"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50"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6" fillId="0" borderId="0" xfId="0" applyFont="1" applyFill="1" applyBorder="1"/>
    <xf numFmtId="0" fontId="19" fillId="0" borderId="149"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4" fillId="0" borderId="149" xfId="0" applyFont="1" applyBorder="1" applyAlignment="1">
      <alignment horizontal="right"/>
    </xf>
    <xf numFmtId="0" fontId="47" fillId="0" borderId="149"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5" xfId="0" applyBorder="1"/>
    <xf numFmtId="1" fontId="0" fillId="0" borderId="144" xfId="0" applyNumberFormat="1" applyBorder="1"/>
    <xf numFmtId="167" fontId="48" fillId="0" borderId="0" xfId="2" applyNumberFormat="1" applyFont="1" applyFill="1" applyBorder="1"/>
    <xf numFmtId="0" fontId="0" fillId="0" borderId="0" xfId="0" applyFont="1" applyFill="1" applyBorder="1"/>
    <xf numFmtId="0" fontId="0" fillId="3"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0" fillId="11" borderId="0" xfId="0" applyFill="1"/>
    <xf numFmtId="9" fontId="0" fillId="11" borderId="0" xfId="0" applyNumberFormat="1" applyFill="1"/>
    <xf numFmtId="0" fontId="42"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1"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49" xfId="0" applyFont="1" applyBorder="1"/>
    <xf numFmtId="0" fontId="8" fillId="0" borderId="149" xfId="0" quotePrefix="1" applyFont="1" applyBorder="1"/>
    <xf numFmtId="0" fontId="8" fillId="0" borderId="149"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0" xfId="0" applyFont="1" applyFill="1" applyBorder="1" applyAlignment="1">
      <alignment horizontal="center"/>
    </xf>
    <xf numFmtId="0" fontId="2" fillId="25" borderId="138" xfId="0" applyFont="1" applyFill="1" applyBorder="1" applyAlignment="1">
      <alignment horizontal="center"/>
    </xf>
    <xf numFmtId="0" fontId="2" fillId="25" borderId="149" xfId="0" applyFont="1" applyFill="1" applyBorder="1" applyAlignment="1">
      <alignment horizontal="center"/>
    </xf>
    <xf numFmtId="0" fontId="2" fillId="25" borderId="146" xfId="0" applyFont="1" applyFill="1" applyBorder="1" applyAlignment="1">
      <alignment horizontal="center"/>
    </xf>
    <xf numFmtId="169" fontId="0" fillId="0" borderId="0" xfId="2" applyNumberFormat="1" applyFont="1" applyAlignment="1">
      <alignment horizontal="center" vertical="center"/>
    </xf>
    <xf numFmtId="0" fontId="30" fillId="0" borderId="153" xfId="0" applyFont="1" applyBorder="1" applyAlignment="1">
      <alignment horizontal="left" vertical="center" wrapText="1"/>
    </xf>
    <xf numFmtId="0" fontId="52" fillId="21" borderId="8" xfId="0" applyFont="1" applyFill="1" applyBorder="1" applyAlignment="1">
      <alignment horizontal="center" vertical="center" wrapText="1"/>
    </xf>
    <xf numFmtId="0" fontId="30" fillId="39" borderId="153" xfId="0" applyFont="1" applyFill="1" applyBorder="1" applyAlignment="1">
      <alignment horizontal="left" vertical="center" wrapText="1"/>
    </xf>
    <xf numFmtId="0" fontId="52" fillId="22" borderId="8" xfId="0" applyFont="1" applyFill="1" applyBorder="1" applyAlignment="1">
      <alignment horizontal="center" vertical="center" wrapText="1"/>
    </xf>
    <xf numFmtId="0" fontId="53" fillId="39" borderId="153" xfId="0" applyFont="1" applyFill="1" applyBorder="1" applyAlignment="1">
      <alignment horizontal="left" vertical="center" wrapText="1"/>
    </xf>
    <xf numFmtId="0" fontId="54" fillId="23" borderId="150" xfId="0" applyFont="1" applyFill="1" applyBorder="1" applyAlignment="1">
      <alignment vertical="top" wrapText="1"/>
    </xf>
    <xf numFmtId="0" fontId="52" fillId="21" borderId="150" xfId="0" applyFont="1" applyFill="1" applyBorder="1" applyAlignment="1">
      <alignment horizontal="center" vertical="center" wrapText="1"/>
    </xf>
    <xf numFmtId="0" fontId="52" fillId="22" borderId="150" xfId="0" applyFont="1" applyFill="1" applyBorder="1" applyAlignment="1">
      <alignment horizontal="center" vertical="center" wrapText="1"/>
    </xf>
    <xf numFmtId="0" fontId="13" fillId="0" borderId="150"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2" fillId="2" borderId="154" xfId="0" applyFont="1" applyFill="1" applyBorder="1"/>
    <xf numFmtId="0" fontId="2" fillId="2" borderId="155" xfId="0" applyFont="1" applyFill="1" applyBorder="1" applyAlignment="1">
      <alignment horizontal="center"/>
    </xf>
    <xf numFmtId="0" fontId="1" fillId="24" borderId="2" xfId="0" applyFont="1" applyFill="1" applyBorder="1"/>
    <xf numFmtId="0" fontId="1" fillId="24" borderId="154" xfId="0" applyFont="1" applyFill="1" applyBorder="1"/>
    <xf numFmtId="0" fontId="41" fillId="24" borderId="142" xfId="0" applyFont="1" applyFill="1" applyBorder="1"/>
    <xf numFmtId="0" fontId="56" fillId="0" borderId="0" xfId="0" applyFont="1"/>
    <xf numFmtId="9" fontId="0" fillId="0" borderId="150"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1" xfId="0" applyFont="1" applyFill="1" applyBorder="1"/>
    <xf numFmtId="0" fontId="41" fillId="24" borderId="140" xfId="0" applyFont="1" applyFill="1" applyBorder="1"/>
    <xf numFmtId="0" fontId="1" fillId="24" borderId="23" xfId="0" applyFont="1" applyFill="1" applyBorder="1"/>
    <xf numFmtId="0" fontId="2" fillId="2" borderId="150" xfId="0" applyFont="1" applyFill="1" applyBorder="1" applyAlignment="1">
      <alignment horizontal="center"/>
    </xf>
    <xf numFmtId="0" fontId="2" fillId="2" borderId="151"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1" fillId="24" borderId="140" xfId="0" applyNumberFormat="1" applyFont="1" applyFill="1" applyBorder="1" applyAlignment="1">
      <alignment horizontal="center" vertical="center"/>
    </xf>
    <xf numFmtId="166" fontId="1" fillId="24" borderId="151"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1"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1"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49"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8" fillId="0" borderId="0" xfId="0" applyFont="1" applyAlignment="1">
      <alignment horizontal="left"/>
    </xf>
    <xf numFmtId="0" fontId="3" fillId="19" borderId="148" xfId="0" applyFont="1" applyFill="1" applyBorder="1" applyAlignment="1">
      <alignment horizontal="left"/>
    </xf>
    <xf numFmtId="0" fontId="3" fillId="19" borderId="149" xfId="0" applyFont="1" applyFill="1" applyBorder="1" applyAlignment="1">
      <alignment horizontal="left"/>
    </xf>
    <xf numFmtId="0" fontId="3" fillId="19" borderId="148"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9" fillId="7" borderId="0" xfId="0" applyFont="1" applyFill="1" applyAlignment="1">
      <alignment horizontal="right"/>
    </xf>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60" fillId="0" borderId="0" xfId="0" applyFont="1"/>
    <xf numFmtId="168" fontId="4" fillId="0" borderId="144" xfId="0" applyNumberFormat="1" applyFont="1" applyBorder="1"/>
    <xf numFmtId="0" fontId="4" fillId="0" borderId="144" xfId="0" applyFont="1" applyBorder="1"/>
    <xf numFmtId="0" fontId="3" fillId="19" borderId="145" xfId="0" applyFont="1" applyFill="1" applyBorder="1" applyAlignment="1">
      <alignment horizontal="left"/>
    </xf>
    <xf numFmtId="2" fontId="0" fillId="0" borderId="0" xfId="0" applyNumberFormat="1" applyBorder="1"/>
    <xf numFmtId="0" fontId="35" fillId="0" borderId="144"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0" xfId="0" applyFill="1" applyBorder="1"/>
    <xf numFmtId="0" fontId="0" fillId="0" borderId="152"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1" fillId="0" borderId="0" xfId="0" applyFont="1"/>
    <xf numFmtId="0" fontId="9" fillId="0" borderId="0" xfId="0" applyFont="1"/>
    <xf numFmtId="0" fontId="61"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3"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8" xfId="0" applyBorder="1" applyAlignment="1">
      <alignment vertical="center"/>
    </xf>
    <xf numFmtId="9" fontId="0" fillId="0" borderId="148" xfId="2" applyFont="1" applyBorder="1" applyAlignment="1">
      <alignment horizontal="center"/>
    </xf>
    <xf numFmtId="9" fontId="0" fillId="0" borderId="148" xfId="2" applyFont="1" applyFill="1" applyBorder="1" applyAlignment="1">
      <alignment horizontal="center"/>
    </xf>
    <xf numFmtId="0" fontId="64" fillId="0" borderId="0" xfId="0" applyFont="1" applyAlignment="1">
      <alignment horizontal="left"/>
    </xf>
    <xf numFmtId="4" fontId="65" fillId="0" borderId="0" xfId="0" applyNumberFormat="1" applyFont="1"/>
    <xf numFmtId="0" fontId="64" fillId="0" borderId="150" xfId="0" applyFont="1" applyBorder="1" applyAlignment="1">
      <alignment horizontal="center"/>
    </xf>
    <xf numFmtId="0" fontId="66" fillId="0" borderId="150" xfId="0" applyFont="1" applyBorder="1" applyAlignment="1">
      <alignment horizontal="center" vertical="center"/>
    </xf>
    <xf numFmtId="0" fontId="67" fillId="0" borderId="150" xfId="0" applyFont="1" applyBorder="1" applyAlignment="1">
      <alignment horizontal="center" vertical="center"/>
    </xf>
    <xf numFmtId="3" fontId="65" fillId="0" borderId="150" xfId="0" applyNumberFormat="1" applyFont="1" applyBorder="1" applyAlignment="1">
      <alignment horizontal="center" vertical="center"/>
    </xf>
    <xf numFmtId="0" fontId="65" fillId="0" borderId="150" xfId="0" applyFont="1" applyBorder="1" applyAlignment="1">
      <alignment horizontal="center"/>
    </xf>
    <xf numFmtId="3" fontId="65" fillId="0" borderId="150" xfId="0" applyNumberFormat="1" applyFont="1" applyBorder="1" applyAlignment="1">
      <alignment horizontal="center"/>
    </xf>
    <xf numFmtId="0" fontId="65" fillId="0" borderId="152" xfId="0" applyFont="1" applyBorder="1" applyAlignment="1">
      <alignment horizontal="left"/>
    </xf>
    <xf numFmtId="0" fontId="68" fillId="0" borderId="0" xfId="0" applyFont="1"/>
    <xf numFmtId="10" fontId="65" fillId="0" borderId="150"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6"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6" xfId="2" applyNumberFormat="1" applyFont="1" applyBorder="1" applyAlignment="1">
      <alignment horizontal="right" vertical="center"/>
    </xf>
    <xf numFmtId="169" fontId="0" fillId="0" borderId="157" xfId="2" applyNumberFormat="1" applyFont="1" applyBorder="1"/>
    <xf numFmtId="0" fontId="0" fillId="0" borderId="158"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69" fillId="0" borderId="0" xfId="0" applyFont="1" applyAlignment="1">
      <alignment vertical="center"/>
    </xf>
    <xf numFmtId="0" fontId="30" fillId="0" borderId="0" xfId="0" applyFont="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8" xfId="0" applyBorder="1"/>
    <xf numFmtId="43" fontId="0" fillId="0" borderId="148"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8"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4" xfId="1" applyNumberFormat="1" applyFont="1" applyBorder="1"/>
    <xf numFmtId="164" fontId="0" fillId="0" borderId="149" xfId="0" applyNumberFormat="1" applyBorder="1"/>
    <xf numFmtId="173" fontId="0" fillId="0" borderId="149" xfId="0" applyNumberFormat="1" applyBorder="1"/>
    <xf numFmtId="165" fontId="0" fillId="0" borderId="149" xfId="0" applyNumberFormat="1" applyBorder="1"/>
    <xf numFmtId="0" fontId="70" fillId="16"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4"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4" xfId="0" applyNumberFormat="1" applyFont="1" applyBorder="1" applyAlignment="1">
      <alignment horizontal="right"/>
    </xf>
    <xf numFmtId="170" fontId="19" fillId="0" borderId="0" xfId="0" applyNumberFormat="1" applyFont="1" applyAlignment="1">
      <alignment horizontal="right"/>
    </xf>
    <xf numFmtId="0" fontId="2" fillId="0" borderId="144" xfId="0" applyFont="1" applyBorder="1" applyAlignment="1">
      <alignment horizontal="center"/>
    </xf>
    <xf numFmtId="186" fontId="0" fillId="0" borderId="0" xfId="0" applyNumberFormat="1" applyBorder="1"/>
    <xf numFmtId="170" fontId="19" fillId="0" borderId="144" xfId="0" applyNumberFormat="1" applyFont="1" applyBorder="1"/>
    <xf numFmtId="170" fontId="19" fillId="0" borderId="144"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5" borderId="144" xfId="0" applyFont="1" applyFill="1" applyBorder="1" applyAlignment="1" applyProtection="1">
      <alignment horizontal="left" vertical="center"/>
      <protection locked="0"/>
    </xf>
    <xf numFmtId="170" fontId="0" fillId="0" borderId="0" xfId="1" applyNumberFormat="1" applyFont="1"/>
    <xf numFmtId="0" fontId="73" fillId="0" borderId="0" xfId="0" applyFont="1"/>
    <xf numFmtId="170" fontId="0" fillId="0" borderId="144" xfId="1" applyNumberFormat="1" applyFont="1" applyBorder="1"/>
    <xf numFmtId="38" fontId="20" fillId="0" borderId="0" xfId="0" applyNumberFormat="1" applyFont="1" applyAlignment="1">
      <alignment horizontal="left" wrapText="1"/>
    </xf>
    <xf numFmtId="38" fontId="11" fillId="0" borderId="20" xfId="0" applyNumberFormat="1" applyFont="1" applyBorder="1" applyAlignment="1">
      <alignment horizontal="center" wrapText="1"/>
    </xf>
    <xf numFmtId="38" fontId="11" fillId="0" borderId="44"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22"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2"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1" fillId="0" borderId="48" xfId="0" applyNumberFormat="1" applyFont="1" applyBorder="1" applyAlignment="1">
      <alignment horizontal="center" textRotation="90" wrapText="1"/>
    </xf>
    <xf numFmtId="38" fontId="10" fillId="0" borderId="49" xfId="0" applyNumberFormat="1" applyFont="1" applyBorder="1" applyAlignment="1">
      <alignment horizontal="left"/>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1" fillId="0" borderId="53" xfId="0" applyNumberFormat="1" applyFont="1" applyBorder="1" applyAlignment="1">
      <alignment horizontal="center"/>
    </xf>
    <xf numFmtId="38" fontId="10" fillId="0" borderId="54" xfId="0" applyNumberFormat="1" applyFont="1" applyBorder="1" applyAlignment="1">
      <alignment horizontal="center"/>
    </xf>
    <xf numFmtId="38" fontId="11" fillId="0" borderId="55" xfId="0" applyNumberFormat="1" applyFont="1" applyBorder="1" applyAlignment="1">
      <alignment horizontal="center"/>
    </xf>
    <xf numFmtId="38" fontId="10" fillId="0" borderId="52" xfId="0" applyNumberFormat="1" applyFont="1" applyBorder="1" applyAlignment="1">
      <alignment horizontal="center"/>
    </xf>
    <xf numFmtId="38" fontId="10" fillId="0" borderId="53" xfId="0" applyNumberFormat="1" applyFont="1" applyBorder="1" applyAlignment="1">
      <alignment horizontal="center"/>
    </xf>
    <xf numFmtId="38" fontId="10" fillId="0" borderId="70" xfId="0" applyNumberFormat="1" applyFont="1" applyBorder="1" applyAlignment="1">
      <alignment horizontal="center"/>
    </xf>
    <xf numFmtId="38" fontId="10" fillId="0" borderId="56" xfId="0" applyNumberFormat="1" applyFont="1" applyBorder="1" applyAlignment="1">
      <alignment horizontal="center"/>
    </xf>
    <xf numFmtId="38" fontId="11" fillId="0" borderId="49" xfId="0" applyNumberFormat="1" applyFont="1" applyBorder="1" applyAlignment="1">
      <alignment horizontal="center"/>
    </xf>
    <xf numFmtId="38" fontId="10" fillId="0" borderId="57" xfId="0" applyNumberFormat="1" applyFont="1" applyBorder="1" applyAlignment="1">
      <alignment horizontal="center"/>
    </xf>
    <xf numFmtId="38" fontId="10" fillId="0" borderId="55" xfId="0" applyNumberFormat="1" applyFont="1" applyBorder="1" applyAlignment="1">
      <alignment horizontal="center"/>
    </xf>
    <xf numFmtId="38" fontId="10" fillId="0" borderId="58" xfId="0" applyNumberFormat="1" applyFont="1" applyBorder="1" applyAlignment="1">
      <alignment horizontal="center"/>
    </xf>
    <xf numFmtId="38" fontId="10" fillId="0" borderId="9" xfId="0" applyNumberFormat="1" applyFont="1" applyBorder="1" applyAlignment="1">
      <alignment horizontal="left"/>
    </xf>
    <xf numFmtId="38" fontId="11" fillId="0" borderId="10"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61" xfId="0" applyNumberFormat="1" applyFont="1" applyBorder="1" applyAlignment="1">
      <alignment horizontal="center"/>
    </xf>
    <xf numFmtId="38" fontId="11" fillId="0" borderId="62" xfId="0" applyNumberFormat="1" applyFont="1" applyBorder="1" applyAlignment="1">
      <alignment horizontal="center"/>
    </xf>
    <xf numFmtId="38" fontId="10" fillId="0" borderId="60" xfId="0" applyNumberFormat="1" applyFont="1" applyBorder="1" applyAlignment="1">
      <alignment horizontal="center"/>
    </xf>
    <xf numFmtId="38" fontId="10" fillId="0" borderId="63" xfId="0" applyNumberFormat="1" applyFont="1" applyBorder="1" applyAlignment="1">
      <alignment horizontal="center"/>
    </xf>
    <xf numFmtId="38" fontId="11" fillId="0" borderId="9" xfId="0" applyNumberFormat="1" applyFont="1" applyBorder="1" applyAlignment="1">
      <alignment horizontal="center"/>
    </xf>
    <xf numFmtId="38" fontId="10" fillId="0" borderId="64" xfId="0" applyNumberFormat="1" applyFont="1" applyBorder="1" applyAlignment="1">
      <alignment horizontal="center"/>
    </xf>
    <xf numFmtId="38" fontId="10" fillId="0" borderId="62" xfId="0" applyNumberFormat="1" applyFont="1" applyBorder="1" applyAlignment="1">
      <alignment horizontal="center"/>
    </xf>
    <xf numFmtId="38" fontId="10" fillId="0" borderId="65" xfId="0" applyNumberFormat="1" applyFont="1" applyBorder="1" applyAlignment="1">
      <alignment horizontal="center"/>
    </xf>
    <xf numFmtId="38" fontId="11" fillId="0" borderId="63" xfId="0" applyNumberFormat="1" applyFont="1" applyBorder="1" applyAlignment="1">
      <alignment horizontal="center"/>
    </xf>
    <xf numFmtId="38" fontId="10" fillId="0" borderId="31" xfId="0" applyNumberFormat="1" applyFont="1" applyBorder="1" applyAlignment="1">
      <alignment horizontal="left"/>
    </xf>
    <xf numFmtId="38" fontId="11" fillId="0" borderId="32" xfId="0" applyNumberFormat="1" applyFont="1" applyBorder="1" applyAlignment="1">
      <alignment horizontal="center"/>
    </xf>
    <xf numFmtId="38" fontId="11" fillId="0" borderId="33" xfId="0" applyNumberFormat="1" applyFont="1" applyBorder="1" applyAlignment="1">
      <alignment horizontal="center"/>
    </xf>
    <xf numFmtId="38" fontId="10" fillId="0" borderId="35" xfId="0" applyNumberFormat="1" applyFont="1" applyBorder="1" applyAlignment="1">
      <alignment horizontal="center"/>
    </xf>
    <xf numFmtId="38" fontId="11" fillId="0" borderId="36" xfId="0" applyNumberFormat="1" applyFont="1" applyBorder="1" applyAlignment="1">
      <alignment horizontal="center"/>
    </xf>
    <xf numFmtId="38" fontId="10" fillId="0" borderId="33" xfId="0" applyNumberFormat="1" applyFont="1" applyBorder="1" applyAlignment="1">
      <alignment horizontal="center"/>
    </xf>
    <xf numFmtId="38" fontId="11" fillId="0" borderId="31" xfId="0" applyNumberFormat="1" applyFont="1" applyBorder="1" applyAlignment="1">
      <alignment horizontal="center"/>
    </xf>
    <xf numFmtId="38" fontId="10" fillId="0" borderId="37" xfId="0" applyNumberFormat="1" applyFont="1" applyBorder="1" applyAlignment="1">
      <alignment horizontal="center"/>
    </xf>
    <xf numFmtId="38" fontId="10" fillId="0" borderId="34" xfId="0" applyNumberFormat="1" applyFont="1" applyBorder="1" applyAlignment="1">
      <alignment horizontal="center"/>
    </xf>
    <xf numFmtId="38" fontId="10" fillId="0" borderId="36" xfId="0" applyNumberFormat="1" applyFont="1" applyBorder="1" applyAlignment="1">
      <alignment horizontal="center"/>
    </xf>
    <xf numFmtId="38" fontId="10" fillId="0" borderId="38" xfId="0" applyNumberFormat="1" applyFont="1" applyBorder="1" applyAlignment="1">
      <alignment horizontal="center"/>
    </xf>
    <xf numFmtId="38" fontId="11" fillId="0" borderId="66" xfId="0" applyNumberFormat="1" applyFont="1" applyBorder="1" applyAlignment="1">
      <alignment horizontal="left"/>
    </xf>
    <xf numFmtId="38" fontId="11" fillId="0" borderId="67" xfId="0" applyNumberFormat="1" applyFont="1" applyBorder="1" applyAlignment="1">
      <alignment horizontal="center"/>
    </xf>
    <xf numFmtId="38" fontId="11" fillId="0" borderId="68" xfId="0" applyNumberFormat="1" applyFont="1" applyBorder="1" applyAlignment="1">
      <alignment horizontal="center"/>
    </xf>
    <xf numFmtId="38" fontId="11" fillId="0" borderId="66" xfId="0" applyNumberFormat="1" applyFont="1" applyBorder="1" applyAlignment="1">
      <alignment horizontal="center"/>
    </xf>
    <xf numFmtId="38" fontId="11" fillId="0" borderId="56"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72" xfId="0" applyNumberFormat="1" applyFont="1" applyBorder="1" applyAlignment="1">
      <alignment horizontal="center"/>
    </xf>
    <xf numFmtId="38" fontId="11" fillId="0" borderId="39" xfId="0" applyNumberFormat="1" applyFont="1" applyBorder="1" applyAlignment="1">
      <alignment horizontal="left"/>
    </xf>
    <xf numFmtId="38" fontId="11" fillId="0" borderId="73" xfId="0" applyNumberFormat="1" applyFont="1" applyBorder="1" applyAlignment="1">
      <alignment horizontal="center"/>
    </xf>
    <xf numFmtId="38" fontId="11" fillId="0" borderId="1" xfId="0" applyNumberFormat="1" applyFont="1" applyBorder="1" applyAlignment="1">
      <alignment horizontal="center"/>
    </xf>
    <xf numFmtId="38" fontId="11" fillId="0" borderId="39" xfId="0" applyNumberFormat="1" applyFont="1" applyBorder="1" applyAlignment="1">
      <alignment horizontal="center"/>
    </xf>
    <xf numFmtId="38" fontId="11" fillId="0" borderId="74" xfId="0" applyNumberFormat="1" applyFont="1" applyBorder="1" applyAlignment="1">
      <alignment horizontal="center"/>
    </xf>
    <xf numFmtId="38" fontId="11" fillId="0" borderId="75" xfId="0" applyNumberFormat="1" applyFont="1" applyBorder="1" applyAlignment="1">
      <alignment horizontal="center"/>
    </xf>
    <xf numFmtId="38" fontId="11" fillId="0" borderId="43" xfId="0" applyNumberFormat="1" applyFont="1" applyBorder="1" applyAlignment="1">
      <alignment horizontal="center"/>
    </xf>
    <xf numFmtId="38" fontId="10" fillId="0" borderId="43"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1" fillId="0" borderId="80" xfId="0" applyNumberFormat="1" applyFont="1" applyBorder="1" applyAlignment="1">
      <alignment horizontal="center"/>
    </xf>
    <xf numFmtId="38" fontId="10" fillId="0" borderId="81" xfId="0" applyNumberFormat="1" applyFont="1" applyBorder="1" applyAlignment="1">
      <alignment horizontal="left"/>
    </xf>
    <xf numFmtId="38" fontId="11" fillId="0" borderId="82" xfId="0" applyNumberFormat="1" applyFont="1" applyBorder="1" applyAlignment="1">
      <alignment horizontal="center"/>
    </xf>
    <xf numFmtId="38" fontId="11"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0" fillId="0" borderId="86" xfId="0" applyNumberFormat="1" applyFont="1" applyBorder="1" applyAlignment="1">
      <alignment horizontal="center"/>
    </xf>
    <xf numFmtId="38" fontId="11" fillId="0" borderId="87" xfId="0" applyNumberFormat="1" applyFont="1" applyBorder="1" applyAlignment="1">
      <alignment horizontal="center"/>
    </xf>
    <xf numFmtId="38" fontId="11" fillId="0" borderId="81" xfId="0" applyNumberFormat="1" applyFont="1" applyBorder="1" applyAlignment="1">
      <alignment horizontal="center"/>
    </xf>
    <xf numFmtId="38" fontId="10" fillId="0" borderId="88" xfId="0" applyNumberFormat="1" applyFont="1" applyBorder="1" applyAlignment="1">
      <alignment horizontal="center"/>
    </xf>
    <xf numFmtId="38" fontId="10" fillId="0" borderId="87"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center"/>
    </xf>
    <xf numFmtId="38" fontId="10" fillId="0" borderId="91" xfId="0" applyNumberFormat="1" applyFont="1" applyBorder="1" applyAlignment="1">
      <alignment horizontal="left"/>
    </xf>
    <xf numFmtId="38" fontId="11" fillId="0" borderId="92" xfId="0" applyNumberFormat="1" applyFont="1" applyBorder="1" applyAlignment="1">
      <alignment horizontal="center"/>
    </xf>
    <xf numFmtId="38" fontId="11"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0" fillId="0" borderId="96" xfId="0" applyNumberFormat="1" applyFont="1" applyBorder="1" applyAlignment="1">
      <alignment horizontal="center"/>
    </xf>
    <xf numFmtId="38" fontId="11" fillId="0" borderId="97" xfId="0" applyNumberFormat="1" applyFont="1" applyBorder="1" applyAlignment="1">
      <alignment horizontal="center"/>
    </xf>
    <xf numFmtId="38" fontId="11" fillId="0" borderId="91" xfId="0" applyNumberFormat="1" applyFont="1" applyBorder="1" applyAlignment="1">
      <alignment horizontal="center"/>
    </xf>
    <xf numFmtId="38" fontId="10" fillId="0" borderId="98" xfId="0" applyNumberFormat="1" applyFont="1" applyBorder="1" applyAlignment="1">
      <alignment horizontal="center"/>
    </xf>
    <xf numFmtId="38" fontId="10" fillId="0" borderId="97" xfId="0" applyNumberFormat="1" applyFont="1" applyBorder="1" applyAlignment="1">
      <alignment horizontal="center"/>
    </xf>
    <xf numFmtId="38" fontId="10" fillId="0" borderId="99" xfId="0" applyNumberFormat="1" applyFont="1" applyBorder="1" applyAlignment="1">
      <alignment horizontal="center"/>
    </xf>
    <xf numFmtId="38" fontId="11" fillId="0" borderId="0" xfId="0" applyNumberFormat="1" applyFont="1" applyAlignment="1">
      <alignment horizontal="left"/>
    </xf>
    <xf numFmtId="38" fontId="11" fillId="0" borderId="20"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27" xfId="0" applyNumberFormat="1" applyFont="1" applyBorder="1" applyAlignment="1">
      <alignment horizontal="center"/>
    </xf>
    <xf numFmtId="38" fontId="11" fillId="0" borderId="152" xfId="0" applyNumberFormat="1" applyFont="1" applyBorder="1" applyAlignment="1">
      <alignment horizontal="center"/>
    </xf>
    <xf numFmtId="38" fontId="11" fillId="0" borderId="0" xfId="0" applyNumberFormat="1" applyFont="1" applyAlignment="1">
      <alignment horizontal="center"/>
    </xf>
    <xf numFmtId="38" fontId="11" fillId="0" borderId="100" xfId="0" applyNumberFormat="1" applyFont="1" applyBorder="1" applyAlignment="1">
      <alignment horizontal="center"/>
    </xf>
    <xf numFmtId="38" fontId="11" fillId="0" borderId="101" xfId="0" applyNumberFormat="1" applyFont="1" applyBorder="1" applyAlignment="1">
      <alignment horizontal="center"/>
    </xf>
    <xf numFmtId="38" fontId="11" fillId="0" borderId="28" xfId="0" applyNumberFormat="1" applyFont="1" applyBorder="1" applyAlignment="1">
      <alignment horizontal="center"/>
    </xf>
    <xf numFmtId="38" fontId="10" fillId="0" borderId="102" xfId="0" applyNumberFormat="1" applyFont="1" applyBorder="1" applyAlignment="1">
      <alignment horizontal="center"/>
    </xf>
    <xf numFmtId="1" fontId="10" fillId="0" borderId="62" xfId="0" applyNumberFormat="1" applyFont="1" applyBorder="1" applyAlignment="1">
      <alignment horizontal="center"/>
    </xf>
    <xf numFmtId="38" fontId="11" fillId="0" borderId="148" xfId="0" applyNumberFormat="1" applyFont="1" applyBorder="1" applyAlignment="1">
      <alignment horizontal="left"/>
    </xf>
    <xf numFmtId="38" fontId="11" fillId="0" borderId="103" xfId="0" applyNumberFormat="1" applyFont="1" applyBorder="1" applyAlignment="1">
      <alignment horizontal="center"/>
    </xf>
    <xf numFmtId="38" fontId="11"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0" fillId="0" borderId="107" xfId="0" applyNumberFormat="1" applyFont="1" applyBorder="1" applyAlignment="1">
      <alignment horizontal="center"/>
    </xf>
    <xf numFmtId="38" fontId="11" fillId="0" borderId="151" xfId="0" applyNumberFormat="1" applyFont="1" applyBorder="1" applyAlignment="1">
      <alignment horizontal="center"/>
    </xf>
    <xf numFmtId="38" fontId="11" fillId="0" borderId="148" xfId="0" applyNumberFormat="1" applyFont="1" applyBorder="1" applyAlignment="1">
      <alignment horizontal="center"/>
    </xf>
    <xf numFmtId="38" fontId="10" fillId="0" borderId="154" xfId="0" applyNumberFormat="1" applyFont="1" applyBorder="1" applyAlignment="1">
      <alignment horizontal="center"/>
    </xf>
    <xf numFmtId="38" fontId="10" fillId="0" borderId="101" xfId="0" applyNumberFormat="1" applyFont="1" applyBorder="1" applyAlignment="1">
      <alignment horizontal="center"/>
    </xf>
    <xf numFmtId="38" fontId="10" fillId="0" borderId="151" xfId="0" applyNumberFormat="1" applyFont="1" applyBorder="1" applyAlignment="1">
      <alignment horizontal="center"/>
    </xf>
    <xf numFmtId="38" fontId="10" fillId="0" borderId="110" xfId="0" applyNumberFormat="1" applyFont="1" applyBorder="1" applyAlignment="1">
      <alignment horizontal="center"/>
    </xf>
    <xf numFmtId="38" fontId="11" fillId="0" borderId="111" xfId="0" applyNumberFormat="1" applyFont="1" applyBorder="1" applyAlignment="1">
      <alignment horizontal="center"/>
    </xf>
    <xf numFmtId="38" fontId="74" fillId="0" borderId="112" xfId="0" applyNumberFormat="1" applyFont="1" applyBorder="1" applyAlignment="1">
      <alignment horizontal="center"/>
    </xf>
    <xf numFmtId="38" fontId="11" fillId="0" borderId="85" xfId="0" applyNumberFormat="1" applyFont="1" applyBorder="1" applyAlignment="1">
      <alignment horizontal="center"/>
    </xf>
    <xf numFmtId="38" fontId="10" fillId="0" borderId="81" xfId="0" applyNumberFormat="1" applyFont="1" applyBorder="1" applyAlignment="1">
      <alignment horizontal="center"/>
    </xf>
    <xf numFmtId="38" fontId="10" fillId="0" borderId="0" xfId="0" applyNumberFormat="1" applyFont="1" applyAlignment="1">
      <alignment horizontal="left"/>
    </xf>
    <xf numFmtId="38" fontId="11" fillId="0" borderId="3" xfId="0" applyNumberFormat="1" applyFont="1" applyBorder="1" applyAlignment="1">
      <alignment horizontal="center"/>
    </xf>
    <xf numFmtId="38" fontId="11" fillId="0" borderId="113" xfId="0" applyNumberFormat="1" applyFont="1" applyBorder="1" applyAlignment="1">
      <alignment horizontal="center"/>
    </xf>
    <xf numFmtId="38" fontId="10" fillId="0" borderId="27" xfId="0" applyNumberFormat="1" applyFont="1" applyBorder="1" applyAlignment="1">
      <alignment horizontal="center"/>
    </xf>
    <xf numFmtId="38" fontId="10" fillId="0" borderId="0" xfId="0" applyNumberFormat="1" applyFont="1" applyAlignment="1">
      <alignment horizontal="center"/>
    </xf>
    <xf numFmtId="38" fontId="10" fillId="0" borderId="26" xfId="0" applyNumberFormat="1" applyFont="1" applyBorder="1" applyAlignment="1">
      <alignment horizontal="center"/>
    </xf>
    <xf numFmtId="38" fontId="10" fillId="0" borderId="100" xfId="0" applyNumberFormat="1" applyFont="1" applyBorder="1" applyAlignment="1">
      <alignment horizontal="center"/>
    </xf>
    <xf numFmtId="38" fontId="10" fillId="0" borderId="25" xfId="0" applyNumberFormat="1" applyFont="1" applyBorder="1" applyAlignment="1">
      <alignment horizontal="center"/>
    </xf>
    <xf numFmtId="38" fontId="10" fillId="0" borderId="152" xfId="0" applyNumberFormat="1" applyFont="1" applyBorder="1" applyAlignment="1">
      <alignment horizontal="center"/>
    </xf>
    <xf numFmtId="38" fontId="10" fillId="0" borderId="28" xfId="0" applyNumberFormat="1" applyFont="1" applyBorder="1" applyAlignment="1">
      <alignment horizontal="center"/>
    </xf>
    <xf numFmtId="38" fontId="11" fillId="0" borderId="114" xfId="0" applyNumberFormat="1" applyFont="1" applyBorder="1" applyAlignment="1">
      <alignment horizontal="center"/>
    </xf>
    <xf numFmtId="38" fontId="10" fillId="0" borderId="115" xfId="0" applyNumberFormat="1" applyFont="1" applyBorder="1" applyAlignment="1">
      <alignment horizontal="center"/>
    </xf>
    <xf numFmtId="38" fontId="10" fillId="0" borderId="31" xfId="0" applyNumberFormat="1" applyFont="1" applyBorder="1" applyAlignment="1">
      <alignment horizontal="center"/>
    </xf>
    <xf numFmtId="38" fontId="11" fillId="0" borderId="116" xfId="0" applyNumberFormat="1" applyFont="1" applyBorder="1" applyAlignment="1">
      <alignment horizontal="left"/>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21" xfId="0" applyNumberFormat="1" applyFont="1" applyBorder="1" applyAlignment="1">
      <alignment horizontal="center"/>
    </xf>
    <xf numFmtId="38" fontId="11" fillId="0" borderId="116" xfId="0" applyNumberFormat="1" applyFont="1" applyBorder="1" applyAlignment="1">
      <alignment horizontal="center"/>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0" fillId="0" borderId="148" xfId="0" applyNumberFormat="1" applyFont="1" applyBorder="1" applyAlignment="1">
      <alignment horizontal="left"/>
    </xf>
    <xf numFmtId="38" fontId="10"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48" xfId="0" applyNumberFormat="1" applyFont="1" applyBorder="1" applyAlignment="1">
      <alignment horizontal="center"/>
    </xf>
    <xf numFmtId="38" fontId="11" fillId="0" borderId="124" xfId="0" applyNumberFormat="1" applyFont="1" applyBorder="1" applyAlignment="1">
      <alignment horizontal="left"/>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30" xfId="0" applyNumberFormat="1" applyFont="1" applyBorder="1" applyAlignment="1">
      <alignment horizontal="center"/>
    </xf>
    <xf numFmtId="38" fontId="11" fillId="0" borderId="124" xfId="0" applyNumberFormat="1" applyFont="1" applyBorder="1" applyAlignment="1">
      <alignment horizontal="center"/>
    </xf>
    <xf numFmtId="38" fontId="11" fillId="0" borderId="131" xfId="0" applyNumberFormat="1" applyFont="1" applyBorder="1" applyAlignment="1">
      <alignment horizontal="center"/>
    </xf>
    <xf numFmtId="38" fontId="11" fillId="0" borderId="159" xfId="0" applyNumberFormat="1" applyFont="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1" fillId="0" borderId="132" xfId="0" applyNumberFormat="1" applyFont="1" applyBorder="1" applyAlignment="1">
      <alignment horizontal="center"/>
    </xf>
    <xf numFmtId="38" fontId="10" fillId="0" borderId="29" xfId="0" applyNumberFormat="1" applyFont="1" applyBorder="1" applyAlignment="1">
      <alignment horizontal="center"/>
    </xf>
    <xf numFmtId="38" fontId="10" fillId="0" borderId="160" xfId="0" applyNumberFormat="1" applyFont="1" applyBorder="1" applyAlignment="1">
      <alignment horizontal="center"/>
    </xf>
    <xf numFmtId="38" fontId="11" fillId="0" borderId="18" xfId="0" applyNumberFormat="1" applyFont="1" applyBorder="1" applyAlignment="1">
      <alignment horizontal="center"/>
    </xf>
    <xf numFmtId="38" fontId="10" fillId="0" borderId="134" xfId="0" applyNumberFormat="1" applyFont="1" applyBorder="1" applyAlignment="1">
      <alignment horizontal="center"/>
    </xf>
    <xf numFmtId="38" fontId="10" fillId="0" borderId="133" xfId="0" applyNumberFormat="1" applyFont="1" applyBorder="1" applyAlignment="1">
      <alignment horizontal="center"/>
    </xf>
    <xf numFmtId="38" fontId="11" fillId="0" borderId="29" xfId="0" applyNumberFormat="1" applyFont="1" applyBorder="1" applyAlignment="1">
      <alignment horizontal="center"/>
    </xf>
    <xf numFmtId="38" fontId="10" fillId="0" borderId="135" xfId="0" applyNumberFormat="1" applyFont="1" applyBorder="1" applyAlignment="1">
      <alignment horizontal="center"/>
    </xf>
    <xf numFmtId="38" fontId="10" fillId="0" borderId="9" xfId="0" applyNumberFormat="1" applyFont="1" applyBorder="1" applyAlignment="1">
      <alignment horizontal="left" vertical="top" wrapText="1"/>
    </xf>
    <xf numFmtId="38" fontId="10" fillId="0" borderId="10" xfId="0" applyNumberFormat="1" applyFont="1" applyBorder="1" applyAlignment="1">
      <alignment horizontal="left" vertical="top"/>
    </xf>
    <xf numFmtId="38" fontId="10" fillId="0" borderId="9" xfId="0" applyNumberFormat="1" applyFont="1" applyBorder="1" applyAlignment="1">
      <alignment horizontal="center"/>
    </xf>
    <xf numFmtId="38" fontId="10" fillId="0" borderId="161" xfId="0" applyNumberFormat="1" applyFont="1" applyBorder="1" applyAlignment="1">
      <alignment horizontal="center"/>
    </xf>
    <xf numFmtId="38" fontId="10" fillId="0" borderId="10" xfId="0" applyNumberFormat="1" applyFont="1" applyBorder="1" applyAlignment="1">
      <alignment vertical="top"/>
    </xf>
    <xf numFmtId="38" fontId="10" fillId="0" borderId="18" xfId="0" applyNumberFormat="1" applyFont="1" applyBorder="1" applyAlignment="1">
      <alignment horizontal="center"/>
    </xf>
    <xf numFmtId="38" fontId="10" fillId="0" borderId="91" xfId="0" applyNumberFormat="1" applyFont="1" applyBorder="1" applyAlignment="1">
      <alignment horizontal="left" vertical="top" wrapText="1"/>
    </xf>
    <xf numFmtId="38" fontId="10" fillId="0" borderId="92" xfId="0" applyNumberFormat="1" applyFont="1" applyBorder="1" applyAlignment="1">
      <alignment vertical="top"/>
    </xf>
    <xf numFmtId="38" fontId="10" fillId="0" borderId="91" xfId="0" applyNumberFormat="1" applyFont="1" applyBorder="1" applyAlignment="1">
      <alignment horizontal="center"/>
    </xf>
    <xf numFmtId="38" fontId="10" fillId="0" borderId="162" xfId="0" applyNumberFormat="1" applyFont="1" applyBorder="1" applyAlignment="1">
      <alignment horizontal="center"/>
    </xf>
    <xf numFmtId="38" fontId="11" fillId="0" borderId="163" xfId="0" applyNumberFormat="1" applyFont="1" applyBorder="1" applyAlignment="1">
      <alignment horizontal="center"/>
    </xf>
    <xf numFmtId="38" fontId="11" fillId="0" borderId="164" xfId="0" applyNumberFormat="1" applyFont="1" applyBorder="1" applyAlignment="1">
      <alignment horizontal="center"/>
    </xf>
    <xf numFmtId="38" fontId="11" fillId="0" borderId="165" xfId="0" applyNumberFormat="1" applyFont="1" applyBorder="1" applyAlignment="1">
      <alignment horizontal="center"/>
    </xf>
    <xf numFmtId="38" fontId="11" fillId="0" borderId="140" xfId="0" applyNumberFormat="1" applyFont="1" applyBorder="1" applyAlignment="1">
      <alignment horizontal="center"/>
    </xf>
    <xf numFmtId="38" fontId="11" fillId="0" borderId="166" xfId="0" applyNumberFormat="1" applyFont="1" applyBorder="1" applyAlignment="1">
      <alignment horizontal="center"/>
    </xf>
    <xf numFmtId="38" fontId="11" fillId="0" borderId="144" xfId="0" applyNumberFormat="1" applyFont="1" applyBorder="1" applyAlignment="1">
      <alignment horizontal="center"/>
    </xf>
    <xf numFmtId="38" fontId="11" fillId="0" borderId="142" xfId="0" applyNumberFormat="1" applyFont="1" applyBorder="1" applyAlignment="1">
      <alignment horizontal="center"/>
    </xf>
    <xf numFmtId="38" fontId="11" fillId="0" borderId="167" xfId="0" applyNumberFormat="1" applyFont="1" applyBorder="1" applyAlignment="1">
      <alignment horizontal="center"/>
    </xf>
    <xf numFmtId="38" fontId="10" fillId="0" borderId="81" xfId="0" applyNumberFormat="1" applyFont="1" applyBorder="1" applyAlignment="1">
      <alignment horizontal="left" vertical="top" wrapText="1"/>
    </xf>
    <xf numFmtId="38" fontId="11" fillId="0" borderId="84" xfId="0" applyNumberFormat="1" applyFont="1" applyBorder="1" applyAlignment="1">
      <alignment horizontal="center"/>
    </xf>
    <xf numFmtId="38" fontId="11" fillId="0" borderId="30" xfId="0" applyNumberFormat="1" applyFont="1" applyBorder="1" applyAlignment="1">
      <alignment horizontal="center"/>
    </xf>
    <xf numFmtId="38" fontId="11" fillId="0" borderId="134" xfId="0" applyNumberFormat="1" applyFont="1" applyBorder="1" applyAlignment="1">
      <alignment horizontal="center"/>
    </xf>
    <xf numFmtId="38" fontId="11" fillId="0" borderId="90" xfId="0" applyNumberFormat="1" applyFont="1" applyBorder="1" applyAlignment="1">
      <alignment horizontal="center"/>
    </xf>
    <xf numFmtId="38" fontId="10" fillId="0" borderId="13" xfId="0" applyNumberFormat="1" applyFont="1" applyBorder="1" applyAlignment="1">
      <alignment horizontal="center"/>
    </xf>
    <xf numFmtId="38" fontId="11" fillId="0" borderId="11" xfId="0" applyNumberFormat="1" applyFont="1" applyBorder="1" applyAlignment="1">
      <alignment horizontal="center"/>
    </xf>
    <xf numFmtId="38" fontId="10" fillId="0" borderId="14" xfId="0" applyNumberFormat="1" applyFont="1" applyBorder="1" applyAlignment="1">
      <alignment horizontal="center"/>
    </xf>
    <xf numFmtId="38" fontId="11" fillId="0" borderId="15" xfId="0" applyNumberFormat="1" applyFont="1" applyBorder="1" applyAlignment="1">
      <alignment horizontal="center"/>
    </xf>
    <xf numFmtId="38" fontId="10" fillId="0" borderId="12" xfId="0" applyNumberFormat="1" applyFont="1" applyBorder="1" applyAlignment="1">
      <alignment horizontal="center"/>
    </xf>
    <xf numFmtId="38" fontId="11" fillId="0" borderId="16" xfId="0" applyNumberFormat="1" applyFont="1" applyBorder="1" applyAlignment="1">
      <alignment horizontal="center"/>
    </xf>
    <xf numFmtId="38" fontId="10" fillId="0" borderId="17" xfId="0" applyNumberFormat="1" applyFont="1" applyBorder="1" applyAlignment="1">
      <alignment horizontal="center"/>
    </xf>
    <xf numFmtId="38" fontId="10" fillId="0" borderId="19" xfId="0" applyNumberFormat="1" applyFont="1" applyBorder="1" applyAlignment="1">
      <alignment horizontal="center"/>
    </xf>
    <xf numFmtId="38" fontId="11" fillId="0" borderId="94" xfId="0" applyNumberFormat="1" applyFont="1" applyBorder="1" applyAlignment="1">
      <alignment horizontal="center"/>
    </xf>
    <xf numFmtId="38" fontId="11" fillId="0" borderId="95" xfId="0" applyNumberFormat="1" applyFont="1" applyBorder="1" applyAlignment="1">
      <alignment horizontal="center"/>
    </xf>
    <xf numFmtId="38" fontId="11" fillId="0" borderId="149" xfId="0" applyNumberFormat="1" applyFont="1" applyBorder="1" applyAlignment="1">
      <alignment horizontal="left"/>
    </xf>
    <xf numFmtId="38" fontId="11" fillId="0" borderId="147" xfId="0" applyNumberFormat="1" applyFont="1" applyBorder="1" applyAlignment="1">
      <alignment horizontal="center"/>
    </xf>
    <xf numFmtId="38" fontId="11" fillId="0" borderId="41" xfId="0" applyNumberFormat="1" applyFont="1" applyBorder="1" applyAlignment="1">
      <alignment horizontal="center"/>
    </xf>
    <xf numFmtId="38" fontId="11" fillId="0" borderId="137" xfId="0" applyNumberFormat="1" applyFont="1" applyBorder="1" applyAlignment="1">
      <alignment horizontal="center"/>
    </xf>
    <xf numFmtId="38" fontId="11" fillId="0" borderId="136" xfId="0" applyNumberFormat="1" applyFont="1" applyBorder="1" applyAlignment="1">
      <alignment horizontal="center"/>
    </xf>
    <xf numFmtId="38" fontId="11" fillId="0" borderId="150" xfId="0" applyNumberFormat="1" applyFont="1" applyBorder="1" applyAlignment="1">
      <alignment horizontal="center"/>
    </xf>
    <xf numFmtId="38" fontId="11" fillId="0" borderId="149" xfId="0" applyNumberFormat="1" applyFont="1" applyBorder="1" applyAlignment="1">
      <alignment horizontal="center"/>
    </xf>
    <xf numFmtId="38" fontId="11" fillId="0" borderId="138" xfId="0" applyNumberFormat="1" applyFont="1" applyBorder="1" applyAlignment="1">
      <alignment horizontal="center"/>
    </xf>
    <xf numFmtId="38" fontId="11" fillId="0" borderId="40" xfId="0" applyNumberFormat="1" applyFont="1" applyBorder="1" applyAlignment="1">
      <alignment horizontal="center"/>
    </xf>
    <xf numFmtId="38" fontId="11" fillId="0" borderId="146" xfId="0" applyNumberFormat="1" applyFont="1" applyBorder="1" applyAlignment="1">
      <alignment horizontal="center"/>
    </xf>
    <xf numFmtId="38" fontId="74" fillId="0" borderId="9" xfId="0" applyNumberFormat="1" applyFont="1" applyBorder="1" applyAlignment="1">
      <alignment horizontal="left"/>
    </xf>
    <xf numFmtId="38" fontId="74" fillId="0" borderId="10" xfId="0" applyNumberFormat="1" applyFont="1" applyBorder="1" applyAlignment="1">
      <alignment horizontal="left" vertical="top"/>
    </xf>
    <xf numFmtId="38" fontId="74" fillId="0" borderId="64" xfId="0" applyNumberFormat="1" applyFont="1" applyBorder="1" applyAlignment="1">
      <alignment horizontal="center"/>
    </xf>
    <xf numFmtId="38" fontId="11" fillId="0" borderId="86" xfId="0" applyNumberFormat="1" applyFont="1" applyBorder="1" applyAlignment="1">
      <alignment horizontal="center"/>
    </xf>
    <xf numFmtId="38" fontId="74" fillId="0" borderId="9" xfId="0" applyNumberFormat="1" applyFont="1" applyBorder="1" applyAlignment="1">
      <alignment horizontal="center"/>
    </xf>
    <xf numFmtId="38" fontId="74" fillId="0" borderId="62" xfId="0" applyNumberFormat="1" applyFont="1" applyBorder="1" applyAlignment="1">
      <alignment horizontal="center"/>
    </xf>
    <xf numFmtId="38" fontId="11" fillId="0" borderId="88" xfId="0" applyNumberFormat="1" applyFont="1" applyBorder="1" applyAlignment="1">
      <alignment horizontal="center"/>
    </xf>
    <xf numFmtId="38" fontId="74" fillId="0" borderId="85" xfId="0" applyNumberFormat="1" applyFont="1" applyBorder="1" applyAlignment="1">
      <alignment horizontal="center"/>
    </xf>
    <xf numFmtId="38" fontId="74" fillId="0" borderId="86" xfId="0" applyNumberFormat="1" applyFont="1" applyBorder="1" applyAlignment="1">
      <alignment horizontal="center"/>
    </xf>
    <xf numFmtId="38" fontId="74" fillId="0" borderId="102" xfId="0" applyNumberFormat="1" applyFont="1" applyBorder="1" applyAlignment="1">
      <alignment horizontal="center"/>
    </xf>
    <xf numFmtId="38" fontId="11" fillId="0" borderId="161" xfId="0" applyNumberFormat="1" applyFont="1" applyBorder="1" applyAlignment="1">
      <alignment horizontal="center"/>
    </xf>
    <xf numFmtId="38" fontId="11" fillId="0" borderId="64" xfId="0" applyNumberFormat="1" applyFont="1" applyBorder="1" applyAlignment="1">
      <alignment horizontal="center"/>
    </xf>
    <xf numFmtId="38" fontId="74" fillId="0" borderId="63" xfId="0" applyNumberFormat="1" applyFont="1" applyBorder="1" applyAlignment="1">
      <alignment horizontal="center"/>
    </xf>
    <xf numFmtId="38" fontId="74" fillId="0" borderId="61" xfId="0" applyNumberFormat="1" applyFont="1" applyBorder="1" applyAlignment="1">
      <alignment horizontal="center"/>
    </xf>
    <xf numFmtId="38" fontId="74" fillId="0" borderId="65" xfId="0" applyNumberFormat="1" applyFont="1" applyBorder="1" applyAlignment="1">
      <alignment horizontal="center"/>
    </xf>
    <xf numFmtId="38" fontId="74" fillId="0" borderId="17" xfId="0" applyNumberFormat="1" applyFont="1" applyBorder="1" applyAlignment="1">
      <alignment horizontal="center"/>
    </xf>
    <xf numFmtId="38" fontId="74" fillId="0" borderId="16" xfId="0" applyNumberFormat="1" applyFont="1" applyBorder="1" applyAlignment="1">
      <alignment horizontal="center"/>
    </xf>
    <xf numFmtId="38" fontId="74" fillId="0" borderId="15" xfId="0" applyNumberFormat="1" applyFont="1" applyBorder="1" applyAlignment="1">
      <alignment horizontal="center"/>
    </xf>
    <xf numFmtId="38" fontId="74" fillId="0" borderId="91" xfId="0" applyNumberFormat="1" applyFont="1" applyBorder="1" applyAlignment="1">
      <alignment horizontal="left"/>
    </xf>
    <xf numFmtId="38" fontId="74" fillId="0" borderId="92" xfId="0" applyNumberFormat="1" applyFont="1" applyBorder="1" applyAlignment="1">
      <alignment horizontal="left" vertical="top"/>
    </xf>
    <xf numFmtId="38" fontId="11" fillId="0" borderId="162" xfId="0" applyNumberFormat="1" applyFont="1" applyBorder="1" applyAlignment="1">
      <alignment horizontal="center"/>
    </xf>
    <xf numFmtId="38" fontId="11" fillId="0" borderId="96" xfId="0" applyNumberFormat="1" applyFont="1" applyBorder="1" applyAlignment="1">
      <alignment horizontal="center"/>
    </xf>
    <xf numFmtId="38" fontId="11" fillId="0" borderId="98" xfId="0" applyNumberFormat="1" applyFont="1" applyBorder="1" applyAlignment="1">
      <alignment horizontal="center"/>
    </xf>
    <xf numFmtId="38" fontId="74" fillId="0" borderId="95" xfId="0" applyNumberFormat="1" applyFont="1" applyBorder="1" applyAlignment="1">
      <alignment horizontal="center"/>
    </xf>
    <xf numFmtId="38" fontId="74" fillId="0" borderId="96" xfId="0" applyNumberFormat="1" applyFont="1" applyBorder="1" applyAlignment="1">
      <alignment horizontal="center"/>
    </xf>
    <xf numFmtId="38" fontId="74" fillId="0" borderId="99" xfId="0" applyNumberFormat="1" applyFont="1" applyBorder="1" applyAlignment="1">
      <alignment horizontal="center"/>
    </xf>
    <xf numFmtId="38" fontId="75" fillId="0" borderId="99" xfId="0" applyNumberFormat="1" applyFont="1" applyBorder="1" applyAlignment="1">
      <alignment horizontal="center"/>
    </xf>
    <xf numFmtId="38" fontId="74" fillId="0" borderId="81" xfId="0" applyNumberFormat="1" applyFont="1" applyBorder="1" applyAlignment="1">
      <alignment horizontal="left"/>
    </xf>
    <xf numFmtId="38" fontId="74" fillId="0" borderId="82" xfId="0" applyNumberFormat="1" applyFont="1" applyBorder="1" applyAlignment="1">
      <alignment horizontal="left" vertical="top"/>
    </xf>
    <xf numFmtId="38" fontId="74" fillId="0" borderId="88" xfId="0" applyNumberFormat="1" applyFont="1" applyBorder="1" applyAlignment="1">
      <alignment horizontal="center"/>
    </xf>
    <xf numFmtId="38" fontId="10" fillId="0" borderId="111" xfId="0" applyNumberFormat="1" applyFont="1" applyBorder="1" applyAlignment="1">
      <alignment horizontal="center"/>
    </xf>
    <xf numFmtId="38" fontId="10" fillId="0" borderId="112" xfId="0" applyNumberFormat="1" applyFont="1" applyBorder="1" applyAlignment="1">
      <alignment horizontal="center"/>
    </xf>
    <xf numFmtId="38" fontId="10" fillId="0" borderId="168" xfId="0" applyNumberFormat="1" applyFont="1" applyBorder="1" applyAlignment="1">
      <alignment horizontal="center"/>
    </xf>
    <xf numFmtId="38" fontId="74" fillId="0" borderId="81" xfId="0" applyNumberFormat="1" applyFont="1" applyBorder="1" applyAlignment="1">
      <alignment horizontal="center"/>
    </xf>
    <xf numFmtId="38" fontId="74" fillId="0" borderId="87" xfId="0" applyNumberFormat="1" applyFont="1" applyBorder="1" applyAlignment="1">
      <alignment horizontal="center"/>
    </xf>
    <xf numFmtId="38" fontId="74" fillId="0" borderId="29" xfId="0" applyNumberFormat="1" applyFont="1" applyBorder="1" applyAlignment="1">
      <alignment horizontal="left"/>
    </xf>
    <xf numFmtId="38" fontId="74" fillId="0" borderId="30" xfId="0" applyNumberFormat="1" applyFont="1" applyBorder="1" applyAlignment="1">
      <alignment horizontal="left" vertical="top"/>
    </xf>
    <xf numFmtId="38" fontId="74" fillId="0" borderId="135" xfId="0" applyNumberFormat="1" applyFont="1" applyBorder="1" applyAlignment="1">
      <alignment horizontal="center"/>
    </xf>
    <xf numFmtId="38" fontId="10" fillId="0" borderId="169" xfId="0" applyNumberFormat="1" applyFont="1" applyBorder="1" applyAlignment="1">
      <alignment horizontal="center"/>
    </xf>
    <xf numFmtId="38" fontId="10" fillId="0" borderId="170" xfId="0" applyNumberFormat="1" applyFont="1" applyBorder="1" applyAlignment="1">
      <alignment horizontal="center"/>
    </xf>
    <xf numFmtId="38" fontId="74" fillId="0" borderId="29" xfId="0" applyNumberFormat="1" applyFont="1" applyBorder="1" applyAlignment="1">
      <alignment horizontal="center"/>
    </xf>
    <xf numFmtId="38" fontId="74" fillId="0" borderId="18" xfId="0" applyNumberFormat="1" applyFont="1" applyBorder="1" applyAlignment="1">
      <alignment horizontal="center"/>
    </xf>
    <xf numFmtId="38" fontId="74" fillId="0" borderId="98" xfId="0" applyNumberFormat="1" applyFont="1" applyBorder="1" applyAlignment="1">
      <alignment horizontal="center"/>
    </xf>
    <xf numFmtId="38" fontId="10" fillId="0" borderId="171" xfId="0" applyNumberFormat="1" applyFont="1" applyBorder="1" applyAlignment="1">
      <alignment horizontal="center"/>
    </xf>
    <xf numFmtId="38" fontId="10" fillId="0" borderId="172" xfId="0" applyNumberFormat="1" applyFont="1" applyBorder="1" applyAlignment="1">
      <alignment horizontal="center"/>
    </xf>
    <xf numFmtId="38" fontId="74" fillId="0" borderId="91" xfId="0" applyNumberFormat="1" applyFont="1" applyBorder="1" applyAlignment="1">
      <alignment horizontal="center"/>
    </xf>
    <xf numFmtId="38" fontId="74" fillId="0" borderId="97"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38" fontId="11" fillId="0" borderId="107" xfId="0" applyNumberFormat="1" applyFont="1" applyBorder="1" applyAlignment="1">
      <alignment horizontal="center"/>
    </xf>
    <xf numFmtId="43" fontId="11" fillId="0" borderId="106" xfId="1" applyFont="1" applyFill="1" applyBorder="1" applyAlignment="1">
      <alignment horizontal="center"/>
    </xf>
    <xf numFmtId="38" fontId="11" fillId="0" borderId="154" xfId="0" applyNumberFormat="1" applyFont="1" applyBorder="1" applyAlignment="1">
      <alignment horizontal="center"/>
    </xf>
    <xf numFmtId="38" fontId="11" fillId="0" borderId="91" xfId="0" applyNumberFormat="1" applyFont="1" applyBorder="1" applyAlignment="1">
      <alignment horizontal="left" vertical="top" wrapText="1"/>
    </xf>
    <xf numFmtId="38" fontId="11" fillId="0" borderId="99" xfId="0" applyNumberFormat="1" applyFont="1" applyBorder="1" applyAlignment="1">
      <alignment horizontal="center"/>
    </xf>
    <xf numFmtId="38" fontId="11" fillId="0" borderId="139"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4" borderId="0" xfId="0" applyNumberFormat="1" applyFont="1" applyFill="1" applyAlignment="1">
      <alignment horizontal="left"/>
    </xf>
    <xf numFmtId="171" fontId="11" fillId="13" borderId="0" xfId="0" applyNumberFormat="1" applyFont="1" applyFill="1" applyAlignment="1">
      <alignment horizontal="left"/>
    </xf>
    <xf numFmtId="171" fontId="10" fillId="12" borderId="0" xfId="0" applyNumberFormat="1" applyFont="1" applyFill="1" applyAlignment="1">
      <alignment horizontal="left"/>
    </xf>
    <xf numFmtId="171" fontId="10" fillId="13" borderId="0" xfId="0" applyNumberFormat="1" applyFont="1" applyFill="1" applyAlignment="1">
      <alignment horizontal="left"/>
    </xf>
    <xf numFmtId="38" fontId="11" fillId="13"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8" borderId="0" xfId="0" applyFont="1" applyFill="1"/>
    <xf numFmtId="0" fontId="4" fillId="0" borderId="0" xfId="0" applyFont="1" applyFill="1"/>
    <xf numFmtId="168" fontId="3" fillId="17" borderId="6" xfId="0" applyNumberFormat="1" applyFont="1" applyFill="1" applyBorder="1" applyAlignment="1">
      <alignment vertical="center"/>
    </xf>
    <xf numFmtId="168" fontId="3" fillId="17" borderId="149" xfId="0" applyNumberFormat="1" applyFont="1" applyFill="1" applyBorder="1" applyAlignment="1">
      <alignment vertical="center"/>
    </xf>
    <xf numFmtId="168" fontId="76" fillId="7" borderId="0" xfId="0" applyNumberFormat="1" applyFont="1" applyFill="1"/>
    <xf numFmtId="168" fontId="77" fillId="7" borderId="0" xfId="0" applyNumberFormat="1" applyFont="1" applyFill="1"/>
    <xf numFmtId="168" fontId="30" fillId="0" borderId="0" xfId="0" applyNumberFormat="1" applyFont="1" applyBorder="1"/>
    <xf numFmtId="0" fontId="30" fillId="0" borderId="0" xfId="0" applyFont="1" applyBorder="1"/>
    <xf numFmtId="0" fontId="30" fillId="40" borderId="39" xfId="5" applyFont="1" applyBorder="1" applyAlignment="1">
      <alignment horizontal="left" wrapText="1"/>
    </xf>
    <xf numFmtId="0" fontId="30" fillId="40" borderId="39"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9" fillId="0" borderId="0" xfId="0" applyFont="1" applyFill="1" applyAlignment="1">
      <alignment vertical="center"/>
    </xf>
    <xf numFmtId="0" fontId="0" fillId="0" borderId="144" xfId="0" applyFont="1" applyBorder="1" applyAlignment="1">
      <alignment horizontal="right"/>
    </xf>
    <xf numFmtId="1" fontId="0" fillId="0" borderId="0" xfId="0" applyNumberFormat="1" applyFont="1"/>
    <xf numFmtId="1" fontId="0" fillId="0" borderId="144" xfId="0" applyNumberFormat="1" applyFont="1" applyBorder="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7" fillId="0" borderId="0" xfId="0" applyFont="1" applyAlignment="1">
      <alignment horizontal="left"/>
    </xf>
    <xf numFmtId="0" fontId="15" fillId="17" borderId="144" xfId="0" applyFont="1" applyFill="1" applyBorder="1" applyAlignment="1">
      <alignment horizontal="center" vertical="center"/>
    </xf>
    <xf numFmtId="1" fontId="41" fillId="24" borderId="148" xfId="0" applyNumberFormat="1" applyFont="1" applyFill="1" applyBorder="1" applyAlignment="1">
      <alignment horizontal="center" vertical="center"/>
    </xf>
    <xf numFmtId="1" fontId="41" fillId="24" borderId="0" xfId="0" applyNumberFormat="1" applyFont="1" applyFill="1" applyBorder="1" applyAlignment="1">
      <alignment horizontal="center" vertical="center"/>
    </xf>
    <xf numFmtId="1" fontId="41" fillId="24" borderId="144" xfId="0" applyNumberFormat="1" applyFont="1" applyFill="1" applyBorder="1" applyAlignment="1">
      <alignment horizontal="center" vertical="center"/>
    </xf>
    <xf numFmtId="0" fontId="0" fillId="0" borderId="0" xfId="0" applyBorder="1" applyAlignment="1">
      <alignment horizontal="left" vertical="top"/>
    </xf>
    <xf numFmtId="169" fontId="57" fillId="24" borderId="151" xfId="2" applyNumberFormat="1" applyFont="1" applyFill="1" applyBorder="1" applyAlignment="1">
      <alignment horizontal="center" vertical="center"/>
    </xf>
    <xf numFmtId="169" fontId="57" fillId="24" borderId="23" xfId="2" applyNumberFormat="1" applyFont="1" applyFill="1" applyBorder="1" applyAlignment="1">
      <alignment horizontal="center" vertical="center"/>
    </xf>
    <xf numFmtId="169" fontId="57" fillId="24" borderId="140" xfId="2" applyNumberFormat="1" applyFont="1" applyFill="1" applyBorder="1" applyAlignment="1">
      <alignment horizontal="center" vertical="center"/>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1" fontId="41" fillId="24" borderId="150" xfId="0" applyNumberFormat="1" applyFont="1" applyFill="1" applyBorder="1" applyAlignment="1">
      <alignment horizontal="center" vertical="center"/>
    </xf>
    <xf numFmtId="0" fontId="41" fillId="25" borderId="144" xfId="0" applyFont="1" applyFill="1" applyBorder="1" applyAlignment="1" applyProtection="1">
      <alignment horizontal="center" vertical="center"/>
      <protection locked="0"/>
    </xf>
    <xf numFmtId="0" fontId="7" fillId="0" borderId="144" xfId="0" applyFont="1" applyBorder="1" applyAlignment="1">
      <alignment horizontal="left"/>
    </xf>
    <xf numFmtId="0" fontId="8" fillId="0" borderId="145"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5" borderId="144" xfId="0" applyFont="1" applyFill="1" applyBorder="1" applyAlignment="1" applyProtection="1">
      <alignment horizontal="center" vertical="center"/>
      <protection locked="0"/>
    </xf>
    <xf numFmtId="0" fontId="8" fillId="0" borderId="145" xfId="0" applyFont="1" applyBorder="1" applyAlignment="1">
      <alignment horizontal="left"/>
    </xf>
    <xf numFmtId="0" fontId="8" fillId="0" borderId="0" xfId="0" applyFont="1" applyBorder="1" applyAlignment="1">
      <alignment horizontal="left"/>
    </xf>
    <xf numFmtId="0" fontId="0" fillId="0" borderId="150"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xf numFmtId="0" fontId="7" fillId="0" borderId="148" xfId="0" applyFont="1" applyBorder="1" applyAlignment="1">
      <alignment horizontal="left"/>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41" fillId="0" borderId="152" xfId="0" applyFont="1" applyBorder="1" applyAlignment="1">
      <alignment horizontal="center" vertical="center" wrapText="1"/>
    </xf>
    <xf numFmtId="0" fontId="13" fillId="0" borderId="152" xfId="0" applyFont="1" applyBorder="1" applyAlignment="1">
      <alignment horizontal="center" vertical="center" wrapText="1"/>
    </xf>
    <xf numFmtId="0" fontId="13" fillId="0" borderId="140" xfId="0" applyFont="1" applyBorder="1" applyAlignment="1">
      <alignment horizontal="center" vertical="center" wrapText="1"/>
    </xf>
    <xf numFmtId="0" fontId="13" fillId="0" borderId="151" xfId="0" applyFont="1" applyBorder="1" applyAlignment="1">
      <alignment horizontal="center" vertical="center"/>
    </xf>
    <xf numFmtId="0" fontId="13" fillId="0" borderId="152" xfId="0" applyFont="1" applyBorder="1" applyAlignment="1">
      <alignment horizontal="center" vertical="center"/>
    </xf>
    <xf numFmtId="0" fontId="41" fillId="0" borderId="140" xfId="0" applyFont="1" applyBorder="1" applyAlignment="1">
      <alignment horizontal="center" vertical="center" wrapText="1"/>
    </xf>
    <xf numFmtId="0" fontId="13" fillId="0" borderId="140" xfId="0" applyFont="1" applyBorder="1" applyAlignment="1">
      <alignment horizontal="center" vertical="center"/>
    </xf>
    <xf numFmtId="0" fontId="41" fillId="0" borderId="151" xfId="0" applyFont="1" applyBorder="1" applyAlignment="1">
      <alignment horizontal="center" vertical="center"/>
    </xf>
    <xf numFmtId="0" fontId="41" fillId="0" borderId="152" xfId="0" applyFont="1" applyBorder="1" applyAlignment="1">
      <alignment horizontal="center" vertical="center"/>
    </xf>
    <xf numFmtId="0" fontId="41" fillId="0" borderId="140" xfId="0" applyFont="1" applyBorder="1" applyAlignment="1">
      <alignment horizontal="center" vertical="center"/>
    </xf>
    <xf numFmtId="0" fontId="50" fillId="38" borderId="173" xfId="0" applyFont="1" applyFill="1" applyBorder="1" applyAlignment="1">
      <alignment horizontal="center" vertical="center" wrapText="1"/>
    </xf>
    <xf numFmtId="0" fontId="50" fillId="38" borderId="174" xfId="0" applyFont="1" applyFill="1" applyBorder="1" applyAlignment="1">
      <alignment horizontal="center" vertical="center" wrapText="1"/>
    </xf>
    <xf numFmtId="38" fontId="78" fillId="0" borderId="21" xfId="0" applyNumberFormat="1" applyFont="1" applyBorder="1" applyAlignment="1">
      <alignment horizontal="center" textRotation="90" wrapText="1"/>
    </xf>
    <xf numFmtId="38" fontId="79" fillId="0" borderId="56" xfId="0" applyNumberFormat="1" applyFont="1" applyBorder="1" applyAlignment="1">
      <alignment horizontal="center"/>
    </xf>
    <xf numFmtId="38" fontId="79" fillId="0" borderId="63" xfId="0" applyNumberFormat="1" applyFont="1" applyBorder="1" applyAlignment="1">
      <alignment horizontal="center"/>
    </xf>
    <xf numFmtId="38" fontId="78" fillId="0" borderId="56" xfId="0" applyNumberFormat="1" applyFont="1" applyBorder="1" applyAlignment="1">
      <alignment horizontal="center"/>
    </xf>
    <xf numFmtId="38" fontId="78" fillId="0" borderId="74" xfId="0" applyNumberFormat="1" applyFont="1" applyBorder="1" applyAlignment="1">
      <alignment horizontal="center"/>
    </xf>
    <xf numFmtId="38" fontId="79" fillId="0" borderId="85" xfId="0" applyNumberFormat="1" applyFont="1" applyBorder="1" applyAlignment="1">
      <alignment horizontal="center"/>
    </xf>
    <xf numFmtId="38" fontId="79" fillId="0" borderId="95" xfId="0" applyNumberFormat="1" applyFont="1" applyBorder="1" applyAlignment="1">
      <alignment horizontal="center"/>
    </xf>
    <xf numFmtId="38" fontId="78" fillId="0" borderId="26" xfId="0" applyNumberFormat="1" applyFont="1" applyBorder="1" applyAlignment="1">
      <alignment horizontal="center"/>
    </xf>
    <xf numFmtId="38" fontId="79" fillId="0" borderId="106" xfId="0" applyNumberFormat="1" applyFont="1" applyBorder="1" applyAlignment="1">
      <alignment horizontal="center"/>
    </xf>
    <xf numFmtId="38" fontId="79" fillId="0" borderId="26" xfId="0" applyNumberFormat="1" applyFont="1" applyBorder="1" applyAlignment="1">
      <alignment horizontal="center"/>
    </xf>
    <xf numFmtId="38" fontId="79" fillId="0" borderId="34" xfId="0" applyNumberFormat="1" applyFont="1" applyBorder="1" applyAlignment="1">
      <alignment horizontal="center"/>
    </xf>
    <xf numFmtId="38" fontId="78" fillId="0" borderId="120" xfId="0" applyNumberFormat="1" applyFont="1" applyBorder="1" applyAlignment="1">
      <alignment horizontal="center"/>
    </xf>
    <xf numFmtId="38" fontId="78" fillId="0" borderId="127" xfId="0" applyNumberFormat="1" applyFont="1" applyBorder="1" applyAlignment="1">
      <alignment horizontal="center"/>
    </xf>
    <xf numFmtId="38" fontId="79" fillId="0" borderId="133" xfId="0" applyNumberFormat="1" applyFont="1" applyBorder="1" applyAlignment="1">
      <alignment horizontal="center"/>
    </xf>
    <xf numFmtId="38" fontId="79" fillId="0" borderId="61" xfId="0" applyNumberFormat="1" applyFont="1" applyBorder="1" applyAlignment="1">
      <alignment horizontal="center"/>
    </xf>
    <xf numFmtId="38" fontId="79" fillId="0" borderId="96" xfId="0" applyNumberFormat="1" applyFont="1" applyBorder="1" applyAlignment="1">
      <alignment horizontal="center"/>
    </xf>
    <xf numFmtId="38" fontId="78" fillId="0" borderId="164" xfId="0" applyNumberFormat="1" applyFont="1" applyBorder="1" applyAlignment="1">
      <alignment horizontal="center"/>
    </xf>
    <xf numFmtId="38" fontId="79" fillId="0" borderId="90" xfId="0" applyNumberFormat="1" applyFont="1" applyBorder="1" applyAlignment="1">
      <alignment horizontal="center"/>
    </xf>
    <xf numFmtId="38" fontId="79" fillId="0" borderId="13" xfId="0" applyNumberFormat="1" applyFont="1" applyBorder="1" applyAlignment="1">
      <alignment horizontal="center"/>
    </xf>
    <xf numFmtId="38" fontId="78" fillId="0" borderId="101" xfId="0" applyNumberFormat="1" applyFont="1" applyBorder="1" applyAlignment="1">
      <alignment horizontal="center"/>
    </xf>
    <xf numFmtId="38" fontId="78" fillId="0" borderId="149" xfId="0" applyNumberFormat="1" applyFont="1" applyBorder="1" applyAlignment="1">
      <alignment horizontal="center"/>
    </xf>
    <xf numFmtId="38" fontId="78" fillId="0" borderId="81" xfId="0" applyNumberFormat="1" applyFont="1" applyBorder="1" applyAlignment="1">
      <alignment horizontal="center"/>
    </xf>
    <xf numFmtId="38" fontId="78" fillId="0" borderId="9" xfId="0" applyNumberFormat="1" applyFont="1" applyBorder="1" applyAlignment="1">
      <alignment horizontal="center"/>
    </xf>
    <xf numFmtId="38" fontId="78" fillId="0" borderId="91" xfId="0" applyNumberFormat="1" applyFont="1" applyBorder="1" applyAlignment="1">
      <alignment horizontal="center"/>
    </xf>
    <xf numFmtId="38" fontId="79" fillId="0" borderId="91" xfId="0" applyNumberFormat="1" applyFont="1" applyBorder="1" applyAlignment="1">
      <alignment horizontal="center"/>
    </xf>
    <xf numFmtId="38" fontId="79" fillId="0" borderId="81" xfId="0" applyNumberFormat="1" applyFont="1" applyBorder="1" applyAlignment="1">
      <alignment horizontal="center"/>
    </xf>
    <xf numFmtId="38" fontId="79" fillId="0" borderId="9" xfId="0" applyNumberFormat="1" applyFont="1" applyBorder="1" applyAlignment="1">
      <alignment horizontal="center"/>
    </xf>
    <xf numFmtId="38" fontId="78" fillId="0" borderId="106" xfId="0" applyNumberFormat="1" applyFont="1" applyBorder="1" applyAlignment="1">
      <alignment horizontal="center"/>
    </xf>
    <xf numFmtId="38" fontId="80" fillId="0" borderId="0" xfId="0" applyNumberFormat="1" applyFont="1"/>
    <xf numFmtId="38" fontId="78" fillId="0" borderId="0" xfId="0" applyNumberFormat="1" applyFont="1"/>
    <xf numFmtId="38" fontId="79" fillId="0" borderId="0" xfId="0" applyNumberFormat="1" applyFont="1"/>
    <xf numFmtId="38" fontId="79" fillId="0" borderId="0" xfId="0" applyNumberFormat="1" applyFont="1" applyFill="1"/>
    <xf numFmtId="38" fontId="81" fillId="0" borderId="21" xfId="0" applyNumberFormat="1" applyFont="1" applyBorder="1" applyAlignment="1">
      <alignment horizontal="center" textRotation="90" wrapText="1"/>
    </xf>
    <xf numFmtId="38" fontId="82" fillId="0" borderId="56" xfId="0" applyNumberFormat="1" applyFont="1" applyBorder="1" applyAlignment="1">
      <alignment horizontal="center"/>
    </xf>
    <xf numFmtId="38" fontId="82" fillId="0" borderId="63" xfId="0" applyNumberFormat="1" applyFont="1" applyBorder="1" applyAlignment="1">
      <alignment horizontal="center"/>
    </xf>
    <xf numFmtId="38" fontId="81" fillId="0" borderId="56" xfId="0" applyNumberFormat="1" applyFont="1" applyBorder="1" applyAlignment="1">
      <alignment horizontal="center"/>
    </xf>
    <xf numFmtId="38" fontId="81" fillId="0" borderId="74" xfId="0" applyNumberFormat="1" applyFont="1" applyBorder="1" applyAlignment="1">
      <alignment horizontal="center"/>
    </xf>
    <xf numFmtId="38" fontId="82" fillId="0" borderId="85" xfId="0" applyNumberFormat="1" applyFont="1" applyBorder="1" applyAlignment="1">
      <alignment horizontal="center"/>
    </xf>
    <xf numFmtId="38" fontId="82" fillId="0" borderId="95" xfId="0" applyNumberFormat="1" applyFont="1" applyBorder="1" applyAlignment="1">
      <alignment horizontal="center"/>
    </xf>
    <xf numFmtId="38" fontId="81" fillId="0" borderId="26" xfId="0" applyNumberFormat="1" applyFont="1" applyBorder="1" applyAlignment="1">
      <alignment horizontal="center"/>
    </xf>
    <xf numFmtId="38" fontId="82" fillId="0" borderId="106" xfId="0" applyNumberFormat="1" applyFont="1" applyBorder="1" applyAlignment="1">
      <alignment horizontal="center"/>
    </xf>
    <xf numFmtId="38" fontId="82" fillId="0" borderId="26" xfId="0" applyNumberFormat="1" applyFont="1" applyBorder="1" applyAlignment="1">
      <alignment horizontal="center"/>
    </xf>
    <xf numFmtId="38" fontId="82" fillId="0" borderId="34" xfId="0" applyNumberFormat="1" applyFont="1" applyBorder="1" applyAlignment="1">
      <alignment horizontal="center"/>
    </xf>
    <xf numFmtId="38" fontId="81" fillId="0" borderId="120" xfId="0" applyNumberFormat="1" applyFont="1" applyBorder="1" applyAlignment="1">
      <alignment horizontal="center"/>
    </xf>
    <xf numFmtId="38" fontId="81" fillId="0" borderId="127" xfId="0" applyNumberFormat="1" applyFont="1" applyBorder="1" applyAlignment="1">
      <alignment horizontal="center"/>
    </xf>
    <xf numFmtId="38" fontId="82" fillId="0" borderId="81" xfId="0" applyNumberFormat="1" applyFont="1" applyBorder="1" applyAlignment="1">
      <alignment horizontal="center"/>
    </xf>
    <xf numFmtId="38" fontId="82" fillId="0" borderId="9" xfId="0" applyNumberFormat="1" applyFont="1" applyBorder="1" applyAlignment="1">
      <alignment horizontal="center"/>
    </xf>
    <xf numFmtId="38" fontId="82" fillId="0" borderId="29" xfId="0" applyNumberFormat="1" applyFont="1" applyBorder="1" applyAlignment="1">
      <alignment horizontal="center"/>
    </xf>
    <xf numFmtId="38" fontId="82" fillId="0" borderId="91" xfId="0" applyNumberFormat="1" applyFont="1" applyBorder="1" applyAlignment="1">
      <alignment horizontal="center"/>
    </xf>
    <xf numFmtId="38" fontId="81" fillId="0" borderId="164" xfId="0" applyNumberFormat="1" applyFont="1" applyBorder="1" applyAlignment="1">
      <alignment horizontal="center"/>
    </xf>
    <xf numFmtId="38" fontId="82" fillId="0" borderId="90" xfId="0" applyNumberFormat="1" applyFont="1" applyBorder="1" applyAlignment="1">
      <alignment horizontal="center"/>
    </xf>
    <xf numFmtId="38" fontId="82" fillId="0" borderId="13" xfId="0" applyNumberFormat="1" applyFont="1" applyBorder="1" applyAlignment="1">
      <alignment horizontal="center"/>
    </xf>
    <xf numFmtId="38" fontId="81" fillId="0" borderId="101" xfId="0" applyNumberFormat="1" applyFont="1" applyBorder="1" applyAlignment="1">
      <alignment horizontal="center"/>
    </xf>
    <xf numFmtId="38" fontId="81" fillId="0" borderId="149" xfId="0" applyNumberFormat="1" applyFont="1" applyBorder="1" applyAlignment="1">
      <alignment horizontal="center"/>
    </xf>
    <xf numFmtId="38" fontId="83" fillId="0" borderId="9" xfId="0" applyNumberFormat="1" applyFont="1" applyBorder="1" applyAlignment="1">
      <alignment horizontal="center"/>
    </xf>
    <xf numFmtId="38" fontId="83" fillId="0" borderId="16" xfId="0" applyNumberFormat="1" applyFont="1" applyBorder="1" applyAlignment="1">
      <alignment horizontal="center"/>
    </xf>
    <xf numFmtId="38" fontId="83" fillId="0" borderId="81" xfId="0" applyNumberFormat="1" applyFont="1" applyBorder="1" applyAlignment="1">
      <alignment horizontal="center"/>
    </xf>
    <xf numFmtId="38" fontId="83" fillId="0" borderId="29" xfId="0" applyNumberFormat="1" applyFont="1" applyBorder="1" applyAlignment="1">
      <alignment horizontal="center"/>
    </xf>
    <xf numFmtId="38" fontId="83" fillId="0" borderId="91" xfId="0" applyNumberFormat="1" applyFont="1" applyBorder="1" applyAlignment="1">
      <alignment horizontal="center"/>
    </xf>
    <xf numFmtId="38" fontId="81" fillId="0" borderId="106" xfId="0" applyNumberFormat="1" applyFont="1" applyBorder="1" applyAlignment="1">
      <alignment horizontal="center"/>
    </xf>
    <xf numFmtId="38" fontId="81" fillId="0" borderId="95" xfId="0" applyNumberFormat="1" applyFont="1" applyBorder="1" applyAlignment="1">
      <alignment horizontal="center"/>
    </xf>
    <xf numFmtId="38" fontId="84" fillId="0" borderId="0" xfId="0" applyNumberFormat="1" applyFont="1"/>
    <xf numFmtId="38" fontId="81" fillId="0" borderId="0" xfId="0" applyNumberFormat="1" applyFont="1" applyAlignment="1">
      <alignment horizontal="center"/>
    </xf>
    <xf numFmtId="40" fontId="82" fillId="0" borderId="0" xfId="0" applyNumberFormat="1" applyFont="1"/>
    <xf numFmtId="38" fontId="82" fillId="0" borderId="0" xfId="0" applyNumberFormat="1" applyFont="1" applyFill="1"/>
    <xf numFmtId="38" fontId="85" fillId="0" borderId="21" xfId="0" applyNumberFormat="1" applyFont="1" applyBorder="1" applyAlignment="1">
      <alignment horizontal="center" textRotation="90" wrapText="1"/>
    </xf>
    <xf numFmtId="38" fontId="86" fillId="0" borderId="53" xfId="0" applyNumberFormat="1" applyFont="1" applyBorder="1" applyAlignment="1">
      <alignment horizontal="center"/>
    </xf>
    <xf numFmtId="38" fontId="86" fillId="0" borderId="63" xfId="0" applyNumberFormat="1" applyFont="1" applyBorder="1" applyAlignment="1">
      <alignment horizontal="center"/>
    </xf>
    <xf numFmtId="38" fontId="86" fillId="0" borderId="34" xfId="0" applyNumberFormat="1" applyFont="1" applyBorder="1" applyAlignment="1">
      <alignment horizontal="center"/>
    </xf>
    <xf numFmtId="38" fontId="85" fillId="0" borderId="56" xfId="0" applyNumberFormat="1" applyFont="1" applyBorder="1" applyAlignment="1">
      <alignment horizontal="center"/>
    </xf>
    <xf numFmtId="38" fontId="85" fillId="0" borderId="74" xfId="0" applyNumberFormat="1" applyFont="1" applyBorder="1" applyAlignment="1">
      <alignment horizontal="center"/>
    </xf>
    <xf numFmtId="38" fontId="86" fillId="0" borderId="85" xfId="0" applyNumberFormat="1" applyFont="1" applyBorder="1" applyAlignment="1">
      <alignment horizontal="center"/>
    </xf>
    <xf numFmtId="38" fontId="86" fillId="0" borderId="95" xfId="0" applyNumberFormat="1" applyFont="1" applyBorder="1" applyAlignment="1">
      <alignment horizontal="center"/>
    </xf>
    <xf numFmtId="38" fontId="85" fillId="0" borderId="101" xfId="0" applyNumberFormat="1" applyFont="1" applyBorder="1" applyAlignment="1">
      <alignment horizontal="center"/>
    </xf>
    <xf numFmtId="38" fontId="86" fillId="0" borderId="90" xfId="0" applyNumberFormat="1" applyFont="1" applyBorder="1" applyAlignment="1">
      <alignment horizontal="center"/>
    </xf>
    <xf numFmtId="38" fontId="86" fillId="0" borderId="101" xfId="0" applyNumberFormat="1" applyFont="1" applyBorder="1" applyAlignment="1">
      <alignment horizontal="center"/>
    </xf>
    <xf numFmtId="38" fontId="86" fillId="0" borderId="26" xfId="0" applyNumberFormat="1" applyFont="1" applyBorder="1" applyAlignment="1">
      <alignment horizontal="center"/>
    </xf>
    <xf numFmtId="38" fontId="86" fillId="0" borderId="106" xfId="0" applyNumberFormat="1" applyFont="1" applyBorder="1" applyAlignment="1">
      <alignment horizontal="center"/>
    </xf>
    <xf numFmtId="38" fontId="85" fillId="0" borderId="127" xfId="0" applyNumberFormat="1" applyFont="1" applyBorder="1" applyAlignment="1">
      <alignment horizontal="center"/>
    </xf>
    <xf numFmtId="38" fontId="85" fillId="0" borderId="164" xfId="0" applyNumberFormat="1" applyFont="1" applyBorder="1" applyAlignment="1">
      <alignment horizontal="center"/>
    </xf>
    <xf numFmtId="38" fontId="86" fillId="0" borderId="13" xfId="0" applyNumberFormat="1" applyFont="1" applyBorder="1" applyAlignment="1">
      <alignment horizontal="center"/>
    </xf>
    <xf numFmtId="38" fontId="87" fillId="0" borderId="85" xfId="0" applyNumberFormat="1" applyFont="1" applyBorder="1" applyAlignment="1">
      <alignment horizontal="center"/>
    </xf>
    <xf numFmtId="38" fontId="87" fillId="0" borderId="63" xfId="0" applyNumberFormat="1" applyFont="1" applyBorder="1" applyAlignment="1">
      <alignment horizontal="center"/>
    </xf>
    <xf numFmtId="38" fontId="87" fillId="0" borderId="95" xfId="0" applyNumberFormat="1" applyFont="1" applyBorder="1" applyAlignment="1">
      <alignment horizontal="center"/>
    </xf>
    <xf numFmtId="38" fontId="85" fillId="0" borderId="106" xfId="0" applyNumberFormat="1" applyFont="1" applyBorder="1" applyAlignment="1">
      <alignment horizontal="center"/>
    </xf>
    <xf numFmtId="38" fontId="85" fillId="0" borderId="120" xfId="0" applyNumberFormat="1" applyFont="1" applyBorder="1" applyAlignment="1">
      <alignment horizontal="center"/>
    </xf>
    <xf numFmtId="38" fontId="88" fillId="0" borderId="0" xfId="0" applyNumberFormat="1" applyFont="1"/>
    <xf numFmtId="38" fontId="85" fillId="0" borderId="0" xfId="0" applyNumberFormat="1" applyFont="1" applyAlignment="1">
      <alignment horizontal="center"/>
    </xf>
    <xf numFmtId="38" fontId="86" fillId="0" borderId="0" xfId="0" applyNumberFormat="1" applyFont="1"/>
    <xf numFmtId="38" fontId="86" fillId="0" borderId="0" xfId="0" applyNumberFormat="1" applyFont="1" applyFill="1"/>
    <xf numFmtId="0" fontId="22" fillId="18" borderId="0" xfId="0" applyFont="1" applyFill="1"/>
    <xf numFmtId="0" fontId="22" fillId="16" borderId="0" xfId="3" applyFont="1"/>
    <xf numFmtId="0" fontId="0" fillId="8" borderId="0" xfId="0" applyFill="1"/>
    <xf numFmtId="0" fontId="1" fillId="8" borderId="0" xfId="0" applyFont="1" applyFill="1"/>
    <xf numFmtId="0" fontId="0" fillId="8" borderId="0" xfId="0" applyFont="1" applyFill="1" applyAlignment="1">
      <alignment horizontal="right"/>
    </xf>
    <xf numFmtId="170" fontId="1" fillId="8" borderId="0" xfId="0" applyNumberFormat="1" applyFont="1" applyFill="1"/>
    <xf numFmtId="170" fontId="0" fillId="8" borderId="0" xfId="0" applyNumberFormat="1" applyFill="1"/>
    <xf numFmtId="0" fontId="0" fillId="8" borderId="0" xfId="0" applyFont="1" applyFill="1"/>
    <xf numFmtId="170" fontId="0" fillId="8" borderId="0" xfId="0" applyNumberFormat="1" applyFont="1" applyFill="1"/>
    <xf numFmtId="0" fontId="0" fillId="4" borderId="0" xfId="0" applyFill="1"/>
    <xf numFmtId="0" fontId="0" fillId="4" borderId="0" xfId="0" applyFont="1" applyFill="1" applyAlignment="1">
      <alignment horizontal="right"/>
    </xf>
    <xf numFmtId="170" fontId="0" fillId="4" borderId="0" xfId="0" applyNumberFormat="1" applyFill="1"/>
    <xf numFmtId="170" fontId="1" fillId="4" borderId="0" xfId="0" applyNumberFormat="1" applyFont="1" applyFill="1"/>
    <xf numFmtId="0" fontId="0" fillId="4" borderId="0" xfId="0" applyFont="1" applyFill="1"/>
    <xf numFmtId="170" fontId="0" fillId="4" borderId="0" xfId="0" applyNumberFormat="1" applyFont="1" applyFill="1"/>
    <xf numFmtId="0" fontId="15" fillId="17" borderId="149" xfId="0" applyFont="1" applyFill="1" applyBorder="1" applyAlignment="1">
      <alignment horizontal="right" vertical="center"/>
    </xf>
    <xf numFmtId="0" fontId="0" fillId="4" borderId="144" xfId="0" applyFont="1" applyFill="1" applyBorder="1" applyAlignment="1">
      <alignment horizontal="right"/>
    </xf>
    <xf numFmtId="170" fontId="0" fillId="4" borderId="144" xfId="0" applyNumberFormat="1" applyFill="1" applyBorder="1"/>
    <xf numFmtId="0" fontId="0" fillId="0" borderId="144" xfId="0" applyFill="1" applyBorder="1" applyAlignment="1">
      <alignment vertical="center"/>
    </xf>
    <xf numFmtId="0" fontId="69" fillId="0" borderId="144" xfId="0" applyFont="1" applyFill="1" applyBorder="1" applyAlignment="1">
      <alignment vertical="center"/>
    </xf>
    <xf numFmtId="0" fontId="0" fillId="0" borderId="144" xfId="0" applyFill="1" applyBorder="1"/>
    <xf numFmtId="0" fontId="0" fillId="4" borderId="0" xfId="0" applyFill="1" applyBorder="1"/>
    <xf numFmtId="0" fontId="0" fillId="4" borderId="0" xfId="0" applyFont="1" applyFill="1" applyBorder="1" applyAlignment="1">
      <alignment horizontal="right"/>
    </xf>
    <xf numFmtId="170" fontId="0" fillId="4" borderId="0" xfId="0" applyNumberFormat="1" applyFill="1" applyBorder="1"/>
  </cellXfs>
  <cellStyles count="58">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Hyperlink" xfId="4" builtinId="8"/>
    <cellStyle name="Normal" xfId="0" builtinId="0"/>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52" t="s">
        <v>215</v>
      </c>
      <c r="B17" s="852"/>
      <c r="C17" s="852"/>
      <c r="D17" s="852"/>
      <c r="E17" s="852"/>
      <c r="F17" s="85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853" t="s">
        <v>217</v>
      </c>
      <c r="C20" s="853"/>
      <c r="D20" s="853"/>
      <c r="E20" s="853"/>
      <c r="F20" s="853"/>
      <c r="G20" s="52"/>
      <c r="H20" s="52"/>
      <c r="I20" s="53"/>
      <c r="J20" s="53"/>
      <c r="K20" s="53"/>
      <c r="L20" s="53"/>
      <c r="M20" s="53"/>
      <c r="N20" s="53"/>
    </row>
    <row r="21" spans="1:14" ht="17.25" customHeight="1">
      <c r="A21" s="51" t="s">
        <v>218</v>
      </c>
      <c r="B21" s="854" t="s">
        <v>221</v>
      </c>
      <c r="C21" s="854"/>
      <c r="D21" s="854"/>
      <c r="E21" s="854"/>
      <c r="F21" s="854"/>
      <c r="G21" s="52"/>
      <c r="H21" s="52"/>
      <c r="I21" s="53"/>
      <c r="J21" s="53"/>
      <c r="K21" s="53"/>
      <c r="L21" s="53"/>
      <c r="M21" s="53"/>
      <c r="N21" s="53"/>
    </row>
    <row r="22" spans="1:14" ht="17.25" customHeight="1">
      <c r="A22" s="51" t="s">
        <v>219</v>
      </c>
      <c r="B22" s="854" t="s">
        <v>220</v>
      </c>
      <c r="C22" s="854"/>
      <c r="D22" s="854"/>
      <c r="E22" s="854"/>
      <c r="F22" s="85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825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M31" zoomScaleNormal="65" zoomScaleSheetLayoutView="100" workbookViewId="0">
      <selection activeCell="A50" sqref="A50:XFD50"/>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8.6640625" style="70" bestFit="1" customWidth="1"/>
    <col min="13" max="13" width="8.109375" style="69" bestFit="1" customWidth="1"/>
    <col min="14" max="14" width="8.109375" style="69" customWidth="1"/>
    <col min="15" max="15" width="5.33203125" style="69" customWidth="1"/>
    <col min="16" max="16" width="7.44140625" style="927"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960"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85"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56" t="s">
        <v>327</v>
      </c>
      <c r="B1" s="557" t="s">
        <v>326</v>
      </c>
      <c r="C1" s="558" t="s">
        <v>171</v>
      </c>
      <c r="D1" s="559" t="s">
        <v>172</v>
      </c>
      <c r="E1" s="560" t="s">
        <v>173</v>
      </c>
      <c r="F1" s="561" t="s">
        <v>174</v>
      </c>
      <c r="G1" s="561" t="s">
        <v>175</v>
      </c>
      <c r="H1" s="562" t="s">
        <v>176</v>
      </c>
      <c r="I1" s="559" t="s">
        <v>177</v>
      </c>
      <c r="J1" s="560" t="s">
        <v>178</v>
      </c>
      <c r="K1" s="560" t="s">
        <v>179</v>
      </c>
      <c r="L1" s="562" t="s">
        <v>180</v>
      </c>
      <c r="M1" s="559" t="s">
        <v>181</v>
      </c>
      <c r="N1" s="559" t="s">
        <v>1098</v>
      </c>
      <c r="O1" s="560" t="s">
        <v>182</v>
      </c>
      <c r="P1" s="896" t="s">
        <v>183</v>
      </c>
      <c r="Q1" s="560" t="s">
        <v>184</v>
      </c>
      <c r="R1" s="560" t="s">
        <v>185</v>
      </c>
      <c r="S1" s="560" t="s">
        <v>186</v>
      </c>
      <c r="T1" s="560" t="s">
        <v>187</v>
      </c>
      <c r="U1" s="928" t="s">
        <v>188</v>
      </c>
      <c r="V1" s="560" t="s">
        <v>189</v>
      </c>
      <c r="W1" s="561" t="s">
        <v>190</v>
      </c>
      <c r="X1" s="561" t="s">
        <v>191</v>
      </c>
      <c r="Y1" s="561" t="s">
        <v>192</v>
      </c>
      <c r="Z1" s="560" t="s">
        <v>193</v>
      </c>
      <c r="AA1" s="562" t="s">
        <v>194</v>
      </c>
      <c r="AB1" s="563" t="s">
        <v>195</v>
      </c>
      <c r="AC1" s="564" t="s">
        <v>196</v>
      </c>
      <c r="AD1" s="560" t="s">
        <v>197</v>
      </c>
      <c r="AE1" s="560" t="s">
        <v>1099</v>
      </c>
      <c r="AF1" s="560" t="s">
        <v>1100</v>
      </c>
      <c r="AG1" s="560" t="s">
        <v>198</v>
      </c>
      <c r="AH1" s="560" t="s">
        <v>199</v>
      </c>
      <c r="AI1" s="961" t="s">
        <v>1101</v>
      </c>
      <c r="AJ1" s="961" t="s">
        <v>1102</v>
      </c>
      <c r="AK1" s="560" t="s">
        <v>1103</v>
      </c>
      <c r="AL1" s="560" t="s">
        <v>1104</v>
      </c>
      <c r="AM1" s="561" t="s">
        <v>1105</v>
      </c>
      <c r="AN1" s="562" t="s">
        <v>200</v>
      </c>
      <c r="AO1" s="562" t="s">
        <v>201</v>
      </c>
      <c r="AP1" s="563" t="s">
        <v>202</v>
      </c>
      <c r="AQ1" s="565" t="s">
        <v>203</v>
      </c>
      <c r="AS1" s="58"/>
    </row>
    <row r="2" spans="1:45" s="59" customFormat="1" ht="12.75" customHeight="1">
      <c r="A2" s="566" t="s">
        <v>223</v>
      </c>
      <c r="B2" s="567"/>
      <c r="C2" s="568">
        <f>SUM(D2:G2)</f>
        <v>0</v>
      </c>
      <c r="D2" s="569">
        <v>0</v>
      </c>
      <c r="E2" s="570"/>
      <c r="F2" s="571"/>
      <c r="G2" s="571"/>
      <c r="H2" s="572">
        <f>SUM(I2:K2)</f>
        <v>815.92434898628403</v>
      </c>
      <c r="I2" s="573">
        <v>688.22034898628408</v>
      </c>
      <c r="J2" s="574">
        <v>127.70399999999999</v>
      </c>
      <c r="K2" s="574"/>
      <c r="L2" s="572">
        <f>SUM(M2:Z2)</f>
        <v>0</v>
      </c>
      <c r="M2" s="573"/>
      <c r="N2" s="575"/>
      <c r="O2" s="576"/>
      <c r="P2" s="897"/>
      <c r="Q2" s="576"/>
      <c r="R2" s="576"/>
      <c r="S2" s="576"/>
      <c r="T2" s="576"/>
      <c r="U2" s="929"/>
      <c r="V2" s="576"/>
      <c r="W2" s="571"/>
      <c r="X2" s="571"/>
      <c r="Y2" s="571"/>
      <c r="Z2" s="574"/>
      <c r="AA2" s="572">
        <v>2751.9191872187112</v>
      </c>
      <c r="AB2" s="577">
        <f>SUM(AC2:AM2)</f>
        <v>1331.2863828445347</v>
      </c>
      <c r="AC2" s="578">
        <v>59.691708987970003</v>
      </c>
      <c r="AD2" s="574">
        <v>743.01992281532614</v>
      </c>
      <c r="AE2" s="574">
        <v>249.68174480509879</v>
      </c>
      <c r="AF2" s="574">
        <v>139.99992739520798</v>
      </c>
      <c r="AG2" s="574">
        <v>33.531818868055431</v>
      </c>
      <c r="AH2" s="574">
        <v>16.813132576534866</v>
      </c>
      <c r="AI2" s="962">
        <v>27.095124147648001</v>
      </c>
      <c r="AJ2" s="962">
        <v>2.6691993220799999</v>
      </c>
      <c r="AK2" s="573">
        <v>1.4323955643044282</v>
      </c>
      <c r="AL2" s="573">
        <v>13.54608560366562</v>
      </c>
      <c r="AM2" s="571">
        <v>43.805322758643676</v>
      </c>
      <c r="AN2" s="579">
        <v>145.43710297949829</v>
      </c>
      <c r="AO2" s="579"/>
      <c r="AP2" s="577"/>
      <c r="AQ2" s="580">
        <f>C2+H2+L2+AA2+AB2+AN2+AO2+AP2</f>
        <v>5044.5670220290285</v>
      </c>
      <c r="AS2" s="60"/>
    </row>
    <row r="3" spans="1:45" s="59" customFormat="1" ht="12.75" customHeight="1">
      <c r="A3" s="581" t="s">
        <v>224</v>
      </c>
      <c r="B3" s="582"/>
      <c r="C3" s="583">
        <f>SUM(D3:G3)</f>
        <v>935.78934491090115</v>
      </c>
      <c r="D3" s="584">
        <v>802.24865041659757</v>
      </c>
      <c r="E3" s="585">
        <v>125.38500136039437</v>
      </c>
      <c r="F3" s="586"/>
      <c r="G3" s="586">
        <v>8.1556931339092724</v>
      </c>
      <c r="H3" s="587">
        <f>SUM(I3:K3)</f>
        <v>0</v>
      </c>
      <c r="I3" s="588"/>
      <c r="J3" s="589"/>
      <c r="K3" s="589"/>
      <c r="L3" s="587">
        <f>SUM(M3:Z3)</f>
        <v>9146.774069288922</v>
      </c>
      <c r="M3" s="588">
        <v>3053.4742963851995</v>
      </c>
      <c r="N3" s="588">
        <v>16.633377499200002</v>
      </c>
      <c r="O3" s="589">
        <v>0</v>
      </c>
      <c r="P3" s="898">
        <v>564.2282843555555</v>
      </c>
      <c r="Q3" s="589">
        <v>369.55541863968</v>
      </c>
      <c r="R3" s="589">
        <v>1543.1782335883197</v>
      </c>
      <c r="S3" s="589">
        <v>82.827948630790956</v>
      </c>
      <c r="T3" s="589">
        <v>157.5463640726893</v>
      </c>
      <c r="U3" s="930">
        <v>2941.4703035056637</v>
      </c>
      <c r="V3" s="589">
        <v>164.48328641762765</v>
      </c>
      <c r="W3" s="586">
        <v>7.5616539426795564</v>
      </c>
      <c r="X3" s="586">
        <v>200.83222211696253</v>
      </c>
      <c r="Y3" s="586">
        <v>1.2281470084248403</v>
      </c>
      <c r="Z3" s="589">
        <v>43.754533126130625</v>
      </c>
      <c r="AA3" s="587">
        <v>1728.338063506957</v>
      </c>
      <c r="AB3" s="590">
        <f>SUM(AC3:AM3)</f>
        <v>150.18873559012798</v>
      </c>
      <c r="AC3" s="591"/>
      <c r="AD3" s="589"/>
      <c r="AE3" s="589">
        <v>23.169037781663999</v>
      </c>
      <c r="AF3" s="589"/>
      <c r="AG3" s="589"/>
      <c r="AH3" s="589"/>
      <c r="AI3" s="963">
        <v>104.16969909062398</v>
      </c>
      <c r="AJ3" s="963">
        <v>22.849998717839998</v>
      </c>
      <c r="AK3" s="588"/>
      <c r="AL3" s="588"/>
      <c r="AM3" s="586"/>
      <c r="AN3" s="592"/>
      <c r="AO3" s="592">
        <v>139.45061680000001</v>
      </c>
      <c r="AP3" s="590"/>
      <c r="AQ3" s="593">
        <f t="shared" ref="AQ3:AQ20" si="0">C3+H3+L3+AA3+AB3+AN3+AO3+AP3</f>
        <v>12100.540830096908</v>
      </c>
      <c r="AS3" s="60"/>
    </row>
    <row r="4" spans="1:45" s="59" customFormat="1" ht="12.75" customHeight="1">
      <c r="A4" s="581" t="s">
        <v>225</v>
      </c>
      <c r="B4" s="582"/>
      <c r="C4" s="583">
        <f>SUM(D4:G4)</f>
        <v>15.186580890896002</v>
      </c>
      <c r="D4" s="584">
        <v>0</v>
      </c>
      <c r="E4" s="594">
        <v>14.097722162000002</v>
      </c>
      <c r="F4" s="586"/>
      <c r="G4" s="586">
        <v>1.0888587288959999</v>
      </c>
      <c r="H4" s="587">
        <f>SUM(I4:K4)</f>
        <v>7.0330680000000001</v>
      </c>
      <c r="I4" s="588"/>
      <c r="J4" s="589"/>
      <c r="K4" s="589">
        <v>7.0330680000000001</v>
      </c>
      <c r="L4" s="587">
        <f>SUM(M4:Z4)</f>
        <v>1717.0624747879344</v>
      </c>
      <c r="M4" s="588">
        <v>0</v>
      </c>
      <c r="N4" s="588">
        <v>0</v>
      </c>
      <c r="O4" s="589"/>
      <c r="P4" s="898">
        <v>364.52221864444448</v>
      </c>
      <c r="Q4" s="589">
        <v>21.672508399360005</v>
      </c>
      <c r="R4" s="589">
        <v>156.29379915984001</v>
      </c>
      <c r="S4" s="589">
        <v>986.60611760112999</v>
      </c>
      <c r="T4" s="589">
        <v>35.289733288720633</v>
      </c>
      <c r="U4" s="930">
        <v>102.14625414775992</v>
      </c>
      <c r="V4" s="589">
        <v>2.9088437938490893E-3</v>
      </c>
      <c r="W4" s="586">
        <v>36.297317128453038</v>
      </c>
      <c r="X4" s="586">
        <v>5.4694689952000006</v>
      </c>
      <c r="Y4" s="586">
        <v>1.8500297569930473E-2</v>
      </c>
      <c r="Z4" s="589">
        <v>8.7436482816626366</v>
      </c>
      <c r="AA4" s="587">
        <v>0</v>
      </c>
      <c r="AB4" s="590">
        <f>SUM(AC4:AM4)</f>
        <v>9.4476585178560004</v>
      </c>
      <c r="AC4" s="591"/>
      <c r="AD4" s="589"/>
      <c r="AE4" s="589">
        <v>0.41264639999999991</v>
      </c>
      <c r="AF4" s="589"/>
      <c r="AG4" s="589"/>
      <c r="AH4" s="589"/>
      <c r="AI4" s="963">
        <v>9.0350121178560006</v>
      </c>
      <c r="AJ4" s="963">
        <v>0</v>
      </c>
      <c r="AK4" s="588"/>
      <c r="AL4" s="588"/>
      <c r="AM4" s="586"/>
      <c r="AN4" s="592"/>
      <c r="AO4" s="592">
        <v>141.83539077999998</v>
      </c>
      <c r="AP4" s="590"/>
      <c r="AQ4" s="593">
        <f t="shared" si="0"/>
        <v>1890.5651729766864</v>
      </c>
      <c r="AS4" s="60"/>
    </row>
    <row r="5" spans="1:45" s="59" customFormat="1" ht="12.75" customHeight="1">
      <c r="A5" s="581" t="s">
        <v>226</v>
      </c>
      <c r="B5" s="582"/>
      <c r="C5" s="583">
        <f>SUM(D5:G5)</f>
        <v>0</v>
      </c>
      <c r="D5" s="584"/>
      <c r="E5" s="594"/>
      <c r="F5" s="586"/>
      <c r="G5" s="586"/>
      <c r="H5" s="587">
        <f>SUM(I5:K5)</f>
        <v>0</v>
      </c>
      <c r="I5" s="588"/>
      <c r="J5" s="589"/>
      <c r="K5" s="589"/>
      <c r="L5" s="587">
        <f>SUM(M5:Z5)</f>
        <v>162.14899063248015</v>
      </c>
      <c r="M5" s="588"/>
      <c r="N5" s="588"/>
      <c r="O5" s="589"/>
      <c r="P5" s="898"/>
      <c r="Q5" s="589"/>
      <c r="R5" s="589"/>
      <c r="S5" s="589">
        <v>15.730078096892656</v>
      </c>
      <c r="T5" s="589"/>
      <c r="U5" s="930">
        <v>146.41891253558748</v>
      </c>
      <c r="V5" s="589"/>
      <c r="W5" s="586"/>
      <c r="X5" s="586"/>
      <c r="Y5" s="586"/>
      <c r="Z5" s="589"/>
      <c r="AA5" s="587"/>
      <c r="AB5" s="590">
        <f>SUM(AC5:AM5)</f>
        <v>0</v>
      </c>
      <c r="AC5" s="591"/>
      <c r="AD5" s="589"/>
      <c r="AE5" s="589"/>
      <c r="AF5" s="589"/>
      <c r="AG5" s="589"/>
      <c r="AH5" s="589"/>
      <c r="AI5" s="963"/>
      <c r="AJ5" s="963"/>
      <c r="AK5" s="588"/>
      <c r="AL5" s="588"/>
      <c r="AM5" s="586"/>
      <c r="AN5" s="592"/>
      <c r="AO5" s="592"/>
      <c r="AP5" s="590"/>
      <c r="AQ5" s="593">
        <f t="shared" si="0"/>
        <v>162.14899063248015</v>
      </c>
      <c r="AS5" s="60"/>
    </row>
    <row r="6" spans="1:45" s="59" customFormat="1" ht="12.75" customHeight="1" thickBot="1">
      <c r="A6" s="595" t="s">
        <v>227</v>
      </c>
      <c r="B6" s="596"/>
      <c r="C6" s="583">
        <f>SUM(D6:G6)</f>
        <v>-105.50045932171129</v>
      </c>
      <c r="D6" s="597">
        <v>-106.11399866466098</v>
      </c>
      <c r="E6" s="586">
        <v>-0.8079766727235479</v>
      </c>
      <c r="F6" s="598"/>
      <c r="G6" s="598">
        <v>1.4215160156732278</v>
      </c>
      <c r="H6" s="599">
        <f>SUM(I6:K6)</f>
        <v>-122.93905189963694</v>
      </c>
      <c r="I6" s="600">
        <v>-136.53826589963694</v>
      </c>
      <c r="J6" s="600">
        <v>0</v>
      </c>
      <c r="K6" s="600">
        <v>13.599214000000003</v>
      </c>
      <c r="L6" s="599">
        <f>SUM(M6:Z6)</f>
        <v>151.33981188504902</v>
      </c>
      <c r="M6" s="588">
        <v>38.730964773999993</v>
      </c>
      <c r="N6" s="588">
        <v>-8.8751519999999999</v>
      </c>
      <c r="O6" s="589"/>
      <c r="P6" s="898">
        <v>-9.6980083333333713</v>
      </c>
      <c r="Q6" s="589">
        <v>12.883201938880001</v>
      </c>
      <c r="R6" s="589">
        <v>82.12024884504001</v>
      </c>
      <c r="S6" s="589">
        <v>23.637599999999999</v>
      </c>
      <c r="T6" s="589">
        <v>1.4659197380156652</v>
      </c>
      <c r="U6" s="930">
        <v>8.3874136006762399</v>
      </c>
      <c r="V6" s="589">
        <v>3.2040911090633046</v>
      </c>
      <c r="W6" s="598">
        <v>-0.51646778729281662</v>
      </c>
      <c r="X6" s="598">
        <v>0</v>
      </c>
      <c r="Y6" s="598">
        <v>0</v>
      </c>
      <c r="Z6" s="600">
        <v>0</v>
      </c>
      <c r="AA6" s="599">
        <v>0</v>
      </c>
      <c r="AB6" s="601">
        <f>SUM(AC6:AM6)</f>
        <v>4.4601014379600006</v>
      </c>
      <c r="AC6" s="602"/>
      <c r="AD6" s="603"/>
      <c r="AE6" s="603">
        <v>0.26707427819999968</v>
      </c>
      <c r="AF6" s="603"/>
      <c r="AG6" s="603"/>
      <c r="AH6" s="603"/>
      <c r="AI6" s="964">
        <v>1.7828522013120007</v>
      </c>
      <c r="AJ6" s="964">
        <v>2.4101749584479997</v>
      </c>
      <c r="AK6" s="600"/>
      <c r="AL6" s="600"/>
      <c r="AM6" s="598"/>
      <c r="AN6" s="604"/>
      <c r="AO6" s="604"/>
      <c r="AP6" s="601"/>
      <c r="AQ6" s="605">
        <f t="shared" si="0"/>
        <v>-72.639597898339204</v>
      </c>
      <c r="AS6" s="60"/>
    </row>
    <row r="7" spans="1:45" s="62" customFormat="1" ht="12.75" customHeight="1">
      <c r="A7" s="606" t="s">
        <v>228</v>
      </c>
      <c r="B7" s="607"/>
      <c r="C7" s="608">
        <f t="shared" ref="C7:AP7" si="1">C2+C3-C4-C5+C6</f>
        <v>815.10230469829378</v>
      </c>
      <c r="D7" s="609">
        <f t="shared" si="1"/>
        <v>696.13465175193664</v>
      </c>
      <c r="E7" s="610">
        <f t="shared" si="1"/>
        <v>110.47930252567083</v>
      </c>
      <c r="F7" s="610">
        <f t="shared" si="1"/>
        <v>0</v>
      </c>
      <c r="G7" s="610">
        <f t="shared" si="1"/>
        <v>8.4883504206865013</v>
      </c>
      <c r="H7" s="611">
        <f t="shared" si="1"/>
        <v>685.95222908664709</v>
      </c>
      <c r="I7" s="609">
        <f t="shared" si="1"/>
        <v>551.68208308664714</v>
      </c>
      <c r="J7" s="610">
        <f t="shared" si="1"/>
        <v>127.70399999999999</v>
      </c>
      <c r="K7" s="610">
        <f t="shared" si="1"/>
        <v>6.5661460000000034</v>
      </c>
      <c r="L7" s="611">
        <f t="shared" si="1"/>
        <v>7418.9024157535559</v>
      </c>
      <c r="M7" s="609">
        <f t="shared" si="1"/>
        <v>3092.2052611591994</v>
      </c>
      <c r="N7" s="609">
        <f t="shared" si="1"/>
        <v>7.7582254992000017</v>
      </c>
      <c r="O7" s="610">
        <f t="shared" si="1"/>
        <v>0</v>
      </c>
      <c r="P7" s="899">
        <f t="shared" si="1"/>
        <v>190.00805737777765</v>
      </c>
      <c r="Q7" s="610">
        <f t="shared" si="1"/>
        <v>360.76611217919998</v>
      </c>
      <c r="R7" s="610">
        <f t="shared" si="1"/>
        <v>1469.0046832735197</v>
      </c>
      <c r="S7" s="610">
        <f t="shared" si="1"/>
        <v>-895.87064706723163</v>
      </c>
      <c r="T7" s="610">
        <f t="shared" si="1"/>
        <v>123.72255052198433</v>
      </c>
      <c r="U7" s="931">
        <f t="shared" si="1"/>
        <v>2701.2925504229925</v>
      </c>
      <c r="V7" s="610">
        <f t="shared" si="1"/>
        <v>167.68446868289712</v>
      </c>
      <c r="W7" s="610">
        <f t="shared" si="1"/>
        <v>-29.252130973066301</v>
      </c>
      <c r="X7" s="610">
        <f t="shared" si="1"/>
        <v>195.36275312176252</v>
      </c>
      <c r="Y7" s="610">
        <f t="shared" si="1"/>
        <v>1.2096467108549098</v>
      </c>
      <c r="Z7" s="610">
        <f t="shared" si="1"/>
        <v>35.010884844467988</v>
      </c>
      <c r="AA7" s="611">
        <f t="shared" si="1"/>
        <v>4480.2572507256682</v>
      </c>
      <c r="AB7" s="611">
        <f t="shared" si="1"/>
        <v>1476.4875613547667</v>
      </c>
      <c r="AC7" s="609">
        <f t="shared" si="1"/>
        <v>59.691708987970003</v>
      </c>
      <c r="AD7" s="610">
        <f t="shared" si="1"/>
        <v>743.01992281532614</v>
      </c>
      <c r="AE7" s="610">
        <f t="shared" si="1"/>
        <v>272.70521046496276</v>
      </c>
      <c r="AF7" s="610">
        <f t="shared" si="1"/>
        <v>139.99992739520798</v>
      </c>
      <c r="AG7" s="610">
        <f t="shared" si="1"/>
        <v>33.531818868055431</v>
      </c>
      <c r="AH7" s="610">
        <f t="shared" si="1"/>
        <v>16.813132576534866</v>
      </c>
      <c r="AI7" s="965">
        <f t="shared" si="1"/>
        <v>124.01266332172798</v>
      </c>
      <c r="AJ7" s="965">
        <f t="shared" si="1"/>
        <v>27.929372998367999</v>
      </c>
      <c r="AK7" s="612">
        <f t="shared" si="1"/>
        <v>1.4323955643044282</v>
      </c>
      <c r="AL7" s="612">
        <f t="shared" si="1"/>
        <v>13.54608560366562</v>
      </c>
      <c r="AM7" s="609">
        <f t="shared" si="1"/>
        <v>43.805322758643676</v>
      </c>
      <c r="AN7" s="611">
        <f t="shared" si="1"/>
        <v>145.43710297949829</v>
      </c>
      <c r="AO7" s="611">
        <f t="shared" si="1"/>
        <v>-2.3847739799999772</v>
      </c>
      <c r="AP7" s="613">
        <f t="shared" si="1"/>
        <v>0</v>
      </c>
      <c r="AQ7" s="614">
        <f t="shared" si="0"/>
        <v>15019.754090618429</v>
      </c>
      <c r="AR7" s="59"/>
      <c r="AS7" s="61"/>
    </row>
    <row r="8" spans="1:45" s="62" customFormat="1" ht="12.75" customHeight="1" thickBot="1">
      <c r="A8" s="615" t="s">
        <v>229</v>
      </c>
      <c r="B8" s="616"/>
      <c r="C8" s="617">
        <f t="shared" ref="C8:AP8" si="2">C7-C27</f>
        <v>815.10230469829378</v>
      </c>
      <c r="D8" s="618">
        <f t="shared" si="2"/>
        <v>696.13465175193664</v>
      </c>
      <c r="E8" s="619">
        <f t="shared" si="2"/>
        <v>110.47930252567083</v>
      </c>
      <c r="F8" s="620">
        <f t="shared" si="2"/>
        <v>0</v>
      </c>
      <c r="G8" s="620">
        <f t="shared" si="2"/>
        <v>8.4883504206865013</v>
      </c>
      <c r="H8" s="621">
        <f t="shared" si="2"/>
        <v>685.95222908664709</v>
      </c>
      <c r="I8" s="618">
        <f t="shared" si="2"/>
        <v>551.68208308664714</v>
      </c>
      <c r="J8" s="619">
        <f t="shared" si="2"/>
        <v>127.70399999999999</v>
      </c>
      <c r="K8" s="619">
        <f t="shared" si="2"/>
        <v>6.5661460000000034</v>
      </c>
      <c r="L8" s="621">
        <f t="shared" si="2"/>
        <v>7187.3191310764705</v>
      </c>
      <c r="M8" s="618">
        <f t="shared" si="2"/>
        <v>3092.2052611591994</v>
      </c>
      <c r="N8" s="618">
        <f t="shared" si="2"/>
        <v>7.7582254992000017</v>
      </c>
      <c r="O8" s="619">
        <f t="shared" si="2"/>
        <v>0</v>
      </c>
      <c r="P8" s="900">
        <f t="shared" si="2"/>
        <v>190.00805737777765</v>
      </c>
      <c r="Q8" s="619">
        <f t="shared" si="2"/>
        <v>360.76611217919998</v>
      </c>
      <c r="R8" s="619">
        <f t="shared" si="2"/>
        <v>1469.0046832735197</v>
      </c>
      <c r="S8" s="619">
        <f t="shared" si="2"/>
        <v>-895.87064706723163</v>
      </c>
      <c r="T8" s="619">
        <f t="shared" si="2"/>
        <v>123.72255052198433</v>
      </c>
      <c r="U8" s="932">
        <f t="shared" si="2"/>
        <v>2701.2925504229925</v>
      </c>
      <c r="V8" s="619">
        <f t="shared" si="2"/>
        <v>167.68446868289712</v>
      </c>
      <c r="W8" s="620">
        <f t="shared" si="2"/>
        <v>-29.252130973066301</v>
      </c>
      <c r="X8" s="620">
        <f t="shared" si="2"/>
        <v>0</v>
      </c>
      <c r="Y8" s="620">
        <f t="shared" si="2"/>
        <v>0</v>
      </c>
      <c r="Z8" s="619">
        <f t="shared" si="2"/>
        <v>0</v>
      </c>
      <c r="AA8" s="621">
        <f t="shared" si="2"/>
        <v>4480.2572507256682</v>
      </c>
      <c r="AB8" s="622">
        <f t="shared" si="2"/>
        <v>1476.4875613547667</v>
      </c>
      <c r="AC8" s="618">
        <f t="shared" si="2"/>
        <v>59.691708987970003</v>
      </c>
      <c r="AD8" s="619">
        <f t="shared" si="2"/>
        <v>743.01992281532614</v>
      </c>
      <c r="AE8" s="619">
        <f t="shared" si="2"/>
        <v>272.70521046496276</v>
      </c>
      <c r="AF8" s="619">
        <f t="shared" si="2"/>
        <v>139.99992739520798</v>
      </c>
      <c r="AG8" s="619">
        <f t="shared" si="2"/>
        <v>33.531818868055431</v>
      </c>
      <c r="AH8" s="619">
        <f t="shared" si="2"/>
        <v>16.813132576534866</v>
      </c>
      <c r="AI8" s="966">
        <f t="shared" si="2"/>
        <v>124.01266332172798</v>
      </c>
      <c r="AJ8" s="966">
        <f t="shared" si="2"/>
        <v>27.929372998367999</v>
      </c>
      <c r="AK8" s="623">
        <f t="shared" si="2"/>
        <v>1.4323955643044282</v>
      </c>
      <c r="AL8" s="623">
        <f t="shared" si="2"/>
        <v>13.54608560366562</v>
      </c>
      <c r="AM8" s="618">
        <f t="shared" si="2"/>
        <v>43.805322758643676</v>
      </c>
      <c r="AN8" s="621">
        <f t="shared" si="2"/>
        <v>145.43710297949829</v>
      </c>
      <c r="AO8" s="621">
        <f t="shared" si="2"/>
        <v>-2.3847739799999772</v>
      </c>
      <c r="AP8" s="618">
        <f t="shared" si="2"/>
        <v>0</v>
      </c>
      <c r="AQ8" s="624">
        <f t="shared" si="0"/>
        <v>14788.170805941343</v>
      </c>
      <c r="AR8" s="59"/>
      <c r="AS8" s="61"/>
    </row>
    <row r="9" spans="1:45" s="62" customFormat="1" ht="12.75" customHeight="1">
      <c r="A9" s="606" t="s">
        <v>230</v>
      </c>
      <c r="B9" s="607"/>
      <c r="C9" s="608">
        <f t="shared" ref="C9:AP9" si="3">SUM(C10:C14)</f>
        <v>488.64939432989598</v>
      </c>
      <c r="D9" s="612">
        <f t="shared" si="3"/>
        <v>488.64939432989598</v>
      </c>
      <c r="E9" s="610">
        <f t="shared" si="3"/>
        <v>0</v>
      </c>
      <c r="F9" s="625">
        <f t="shared" si="3"/>
        <v>0</v>
      </c>
      <c r="G9" s="625">
        <f t="shared" si="3"/>
        <v>0</v>
      </c>
      <c r="H9" s="611">
        <f t="shared" si="3"/>
        <v>541.02658367795425</v>
      </c>
      <c r="I9" s="612">
        <f t="shared" si="3"/>
        <v>541.02658367795425</v>
      </c>
      <c r="J9" s="610">
        <f t="shared" si="3"/>
        <v>0</v>
      </c>
      <c r="K9" s="610">
        <f t="shared" si="3"/>
        <v>0</v>
      </c>
      <c r="L9" s="611">
        <f t="shared" si="3"/>
        <v>3165.7216476484605</v>
      </c>
      <c r="M9" s="610">
        <f t="shared" si="3"/>
        <v>3092.2052611591994</v>
      </c>
      <c r="N9" s="610">
        <f t="shared" ref="N9" si="4">SUM(N10:N14)</f>
        <v>38.786602361842682</v>
      </c>
      <c r="O9" s="610">
        <f t="shared" si="3"/>
        <v>0</v>
      </c>
      <c r="P9" s="899">
        <f t="shared" si="3"/>
        <v>0</v>
      </c>
      <c r="Q9" s="610">
        <f t="shared" si="3"/>
        <v>0</v>
      </c>
      <c r="R9" s="610">
        <f t="shared" si="3"/>
        <v>0</v>
      </c>
      <c r="S9" s="610">
        <f t="shared" si="3"/>
        <v>25.868327226603597</v>
      </c>
      <c r="T9" s="610">
        <f t="shared" si="3"/>
        <v>0.63499472294399995</v>
      </c>
      <c r="U9" s="931">
        <f t="shared" si="3"/>
        <v>8.2264621778709284</v>
      </c>
      <c r="V9" s="610">
        <f t="shared" si="3"/>
        <v>0</v>
      </c>
      <c r="W9" s="625">
        <f t="shared" si="3"/>
        <v>0</v>
      </c>
      <c r="X9" s="625">
        <f t="shared" si="3"/>
        <v>0</v>
      </c>
      <c r="Y9" s="625">
        <f t="shared" si="3"/>
        <v>0</v>
      </c>
      <c r="Z9" s="610">
        <f t="shared" si="3"/>
        <v>0</v>
      </c>
      <c r="AA9" s="611">
        <f t="shared" si="3"/>
        <v>2501.2994242635782</v>
      </c>
      <c r="AB9" s="609">
        <f t="shared" si="3"/>
        <v>215.90352917717644</v>
      </c>
      <c r="AC9" s="626">
        <f t="shared" si="3"/>
        <v>0</v>
      </c>
      <c r="AD9" s="610">
        <f t="shared" si="3"/>
        <v>0</v>
      </c>
      <c r="AE9" s="610">
        <f t="shared" si="3"/>
        <v>76.028615684916531</v>
      </c>
      <c r="AF9" s="610">
        <f t="shared" ref="AF9" si="5">SUM(AF10:AF14)</f>
        <v>99.30702317107577</v>
      </c>
      <c r="AG9" s="610">
        <f t="shared" si="3"/>
        <v>33.531818868055431</v>
      </c>
      <c r="AH9" s="610">
        <f t="shared" si="3"/>
        <v>7.0360714531287174</v>
      </c>
      <c r="AI9" s="965">
        <f t="shared" si="3"/>
        <v>0</v>
      </c>
      <c r="AJ9" s="965">
        <f t="shared" ref="AJ9" si="6">SUM(AJ10:AJ14)</f>
        <v>0</v>
      </c>
      <c r="AK9" s="612">
        <f t="shared" si="3"/>
        <v>0</v>
      </c>
      <c r="AL9" s="612">
        <f t="shared" ref="AL9" si="7">SUM(AL10:AL14)</f>
        <v>0</v>
      </c>
      <c r="AM9" s="625">
        <f t="shared" si="3"/>
        <v>0</v>
      </c>
      <c r="AN9" s="611">
        <f t="shared" si="3"/>
        <v>90.714163374524205</v>
      </c>
      <c r="AO9" s="611">
        <f t="shared" si="3"/>
        <v>54.38453208</v>
      </c>
      <c r="AP9" s="609">
        <f t="shared" si="3"/>
        <v>0</v>
      </c>
      <c r="AQ9" s="627">
        <f t="shared" si="0"/>
        <v>7057.699274551589</v>
      </c>
      <c r="AR9" s="59"/>
      <c r="AS9" s="61"/>
    </row>
    <row r="10" spans="1:45" s="59" customFormat="1" ht="12.75" customHeight="1">
      <c r="A10" s="628" t="s">
        <v>231</v>
      </c>
      <c r="B10" s="629"/>
      <c r="C10" s="630">
        <f>SUM(D10:G10)</f>
        <v>488.64939432989598</v>
      </c>
      <c r="D10" s="631">
        <v>488.64939432989598</v>
      </c>
      <c r="E10" s="632"/>
      <c r="F10" s="633"/>
      <c r="G10" s="633"/>
      <c r="H10" s="634">
        <f>SUM(I10:K10)</f>
        <v>467.10845991760607</v>
      </c>
      <c r="I10" s="631">
        <v>467.10845991760607</v>
      </c>
      <c r="J10" s="632">
        <v>0</v>
      </c>
      <c r="K10" s="632"/>
      <c r="L10" s="634">
        <f>SUM(M10:Z10)</f>
        <v>34.094789404474525</v>
      </c>
      <c r="M10" s="632"/>
      <c r="N10" s="632"/>
      <c r="O10" s="632"/>
      <c r="P10" s="901"/>
      <c r="Q10" s="632"/>
      <c r="R10" s="632"/>
      <c r="S10" s="632">
        <v>25.868327226603597</v>
      </c>
      <c r="T10" s="632"/>
      <c r="U10" s="933">
        <v>8.2264621778709284</v>
      </c>
      <c r="V10" s="632"/>
      <c r="W10" s="633"/>
      <c r="X10" s="633"/>
      <c r="Y10" s="633"/>
      <c r="Z10" s="632"/>
      <c r="AA10" s="634">
        <v>2187.6033883210698</v>
      </c>
      <c r="AB10" s="635">
        <f>SUM(AC10:AM10)</f>
        <v>205.30590173319058</v>
      </c>
      <c r="AC10" s="636"/>
      <c r="AD10" s="632"/>
      <c r="AE10" s="632">
        <v>72.467059694059387</v>
      </c>
      <c r="AF10" s="632">
        <v>99.30702317107577</v>
      </c>
      <c r="AG10" s="632">
        <v>33.531818868055431</v>
      </c>
      <c r="AH10" s="632"/>
      <c r="AI10" s="967"/>
      <c r="AJ10" s="967"/>
      <c r="AK10" s="631"/>
      <c r="AL10" s="631"/>
      <c r="AM10" s="633"/>
      <c r="AN10" s="637">
        <v>90.714163374524205</v>
      </c>
      <c r="AO10" s="634"/>
      <c r="AP10" s="635"/>
      <c r="AQ10" s="638">
        <f t="shared" si="0"/>
        <v>3473.4760970807611</v>
      </c>
      <c r="AS10" s="60"/>
    </row>
    <row r="11" spans="1:45" s="59" customFormat="1" ht="12.75" customHeight="1">
      <c r="A11" s="581" t="s">
        <v>232</v>
      </c>
      <c r="B11" s="582"/>
      <c r="C11" s="583">
        <f>SUM(D11:G11)</f>
        <v>0</v>
      </c>
      <c r="D11" s="588">
        <v>0</v>
      </c>
      <c r="E11" s="589"/>
      <c r="F11" s="586"/>
      <c r="G11" s="586"/>
      <c r="H11" s="587">
        <f>SUM(I11:K11)</f>
        <v>5.8425469182429177</v>
      </c>
      <c r="I11" s="588">
        <v>5.8425469182429177</v>
      </c>
      <c r="J11" s="589"/>
      <c r="K11" s="589"/>
      <c r="L11" s="587">
        <f>SUM(M11:Z11)</f>
        <v>0.63499472294399995</v>
      </c>
      <c r="M11" s="589"/>
      <c r="N11" s="639"/>
      <c r="O11" s="639">
        <v>0</v>
      </c>
      <c r="P11" s="898"/>
      <c r="Q11" s="589"/>
      <c r="R11" s="589"/>
      <c r="S11" s="589">
        <v>0</v>
      </c>
      <c r="T11" s="589">
        <v>0.63499472294399995</v>
      </c>
      <c r="U11" s="930">
        <v>0</v>
      </c>
      <c r="V11" s="589"/>
      <c r="W11" s="586"/>
      <c r="X11" s="586"/>
      <c r="Y11" s="586"/>
      <c r="Z11" s="589"/>
      <c r="AA11" s="587">
        <v>272.96145103491432</v>
      </c>
      <c r="AB11" s="590">
        <f>SUM(AC11:AM11)</f>
        <v>10.597627443985861</v>
      </c>
      <c r="AC11" s="591"/>
      <c r="AD11" s="589"/>
      <c r="AE11" s="589">
        <v>3.5615559908571428</v>
      </c>
      <c r="AF11" s="589"/>
      <c r="AG11" s="589"/>
      <c r="AH11" s="589">
        <v>7.0360714531287174</v>
      </c>
      <c r="AI11" s="963"/>
      <c r="AJ11" s="963"/>
      <c r="AK11" s="588"/>
      <c r="AL11" s="588"/>
      <c r="AM11" s="586"/>
      <c r="AN11" s="592"/>
      <c r="AO11" s="592"/>
      <c r="AP11" s="590"/>
      <c r="AQ11" s="593">
        <f t="shared" si="0"/>
        <v>290.03662012008709</v>
      </c>
      <c r="AS11" s="60"/>
    </row>
    <row r="12" spans="1:45" s="59" customFormat="1" ht="12.75" customHeight="1">
      <c r="A12" s="581" t="s">
        <v>233</v>
      </c>
      <c r="B12" s="582"/>
      <c r="C12" s="583"/>
      <c r="D12" s="588"/>
      <c r="E12" s="589"/>
      <c r="F12" s="586"/>
      <c r="G12" s="586"/>
      <c r="H12" s="587"/>
      <c r="I12" s="588"/>
      <c r="J12" s="589"/>
      <c r="K12" s="589"/>
      <c r="L12" s="587"/>
      <c r="M12" s="589"/>
      <c r="N12" s="639"/>
      <c r="O12" s="639"/>
      <c r="P12" s="898"/>
      <c r="Q12" s="589"/>
      <c r="R12" s="589"/>
      <c r="S12" s="589"/>
      <c r="T12" s="589"/>
      <c r="U12" s="930"/>
      <c r="V12" s="589"/>
      <c r="W12" s="586"/>
      <c r="X12" s="586"/>
      <c r="Y12" s="586"/>
      <c r="Z12" s="589"/>
      <c r="AA12" s="587"/>
      <c r="AB12" s="590"/>
      <c r="AC12" s="591"/>
      <c r="AD12" s="589"/>
      <c r="AE12" s="589"/>
      <c r="AF12" s="589"/>
      <c r="AG12" s="589"/>
      <c r="AH12" s="589"/>
      <c r="AI12" s="963"/>
      <c r="AJ12" s="963"/>
      <c r="AK12" s="588"/>
      <c r="AL12" s="588"/>
      <c r="AM12" s="586"/>
      <c r="AN12" s="592"/>
      <c r="AO12" s="592">
        <v>42.942060079999997</v>
      </c>
      <c r="AP12" s="590"/>
      <c r="AQ12" s="593">
        <f t="shared" si="0"/>
        <v>42.942060079999997</v>
      </c>
      <c r="AS12" s="60"/>
    </row>
    <row r="13" spans="1:45" s="59" customFormat="1" ht="12.75" customHeight="1">
      <c r="A13" s="581" t="s">
        <v>234</v>
      </c>
      <c r="B13" s="582"/>
      <c r="C13" s="583">
        <f>SUM(D13:G13)</f>
        <v>0</v>
      </c>
      <c r="D13" s="588"/>
      <c r="E13" s="586"/>
      <c r="F13" s="586"/>
      <c r="G13" s="586"/>
      <c r="H13" s="587">
        <f>SUM(I13:K13)</f>
        <v>68.075576842105264</v>
      </c>
      <c r="I13" s="588">
        <v>68.075576842105264</v>
      </c>
      <c r="J13" s="589"/>
      <c r="K13" s="589"/>
      <c r="L13" s="587">
        <f>SUM(M13:Z13)</f>
        <v>0</v>
      </c>
      <c r="M13" s="589"/>
      <c r="N13" s="589"/>
      <c r="O13" s="589"/>
      <c r="P13" s="898"/>
      <c r="Q13" s="589"/>
      <c r="R13" s="589"/>
      <c r="S13" s="589"/>
      <c r="T13" s="589"/>
      <c r="U13" s="930"/>
      <c r="V13" s="589"/>
      <c r="W13" s="586"/>
      <c r="X13" s="586"/>
      <c r="Y13" s="586"/>
      <c r="Z13" s="589"/>
      <c r="AA13" s="587"/>
      <c r="AB13" s="590">
        <f>SUM(AC13:AM13)</f>
        <v>0</v>
      </c>
      <c r="AC13" s="591"/>
      <c r="AD13" s="589"/>
      <c r="AE13" s="589"/>
      <c r="AF13" s="589"/>
      <c r="AG13" s="589"/>
      <c r="AH13" s="589"/>
      <c r="AI13" s="963"/>
      <c r="AJ13" s="963"/>
      <c r="AK13" s="588"/>
      <c r="AL13" s="588"/>
      <c r="AM13" s="586"/>
      <c r="AN13" s="592"/>
      <c r="AO13" s="592"/>
      <c r="AP13" s="590"/>
      <c r="AQ13" s="593">
        <f t="shared" si="0"/>
        <v>68.075576842105264</v>
      </c>
      <c r="AS13" s="60"/>
    </row>
    <row r="14" spans="1:45" s="59" customFormat="1" ht="12.75" customHeight="1">
      <c r="A14" s="640" t="s">
        <v>235</v>
      </c>
      <c r="B14" s="641"/>
      <c r="C14" s="642">
        <f>SUM(D14:G14)</f>
        <v>0</v>
      </c>
      <c r="D14" s="643"/>
      <c r="E14" s="644"/>
      <c r="F14" s="645"/>
      <c r="G14" s="645"/>
      <c r="H14" s="646">
        <f>SUM(I14:K14)</f>
        <v>0</v>
      </c>
      <c r="I14" s="643"/>
      <c r="J14" s="644"/>
      <c r="K14" s="644"/>
      <c r="L14" s="646">
        <f>SUM(M14:Z14)</f>
        <v>3130.991863521042</v>
      </c>
      <c r="M14" s="644">
        <v>3092.2052611591994</v>
      </c>
      <c r="N14" s="644">
        <v>38.786602361842682</v>
      </c>
      <c r="O14" s="644"/>
      <c r="P14" s="902"/>
      <c r="Q14" s="644"/>
      <c r="R14" s="644"/>
      <c r="S14" s="644"/>
      <c r="T14" s="644"/>
      <c r="U14" s="934"/>
      <c r="V14" s="644"/>
      <c r="W14" s="645"/>
      <c r="X14" s="645"/>
      <c r="Y14" s="645"/>
      <c r="Z14" s="644"/>
      <c r="AA14" s="646">
        <v>40.734584907594211</v>
      </c>
      <c r="AB14" s="647">
        <f>SUM(AC14:AM14)</f>
        <v>0</v>
      </c>
      <c r="AC14" s="648"/>
      <c r="AD14" s="644"/>
      <c r="AE14" s="644"/>
      <c r="AF14" s="644"/>
      <c r="AG14" s="644"/>
      <c r="AH14" s="644"/>
      <c r="AI14" s="968"/>
      <c r="AJ14" s="968"/>
      <c r="AK14" s="643"/>
      <c r="AL14" s="643"/>
      <c r="AM14" s="645"/>
      <c r="AN14" s="649"/>
      <c r="AO14" s="649">
        <v>11.442471999999999</v>
      </c>
      <c r="AP14" s="647"/>
      <c r="AQ14" s="650">
        <f t="shared" si="0"/>
        <v>3183.1689204286363</v>
      </c>
      <c r="AS14" s="60"/>
    </row>
    <row r="15" spans="1:45" s="62" customFormat="1" ht="12.75" customHeight="1">
      <c r="A15" s="651" t="s">
        <v>236</v>
      </c>
      <c r="B15" s="652"/>
      <c r="C15" s="653">
        <f t="shared" ref="C15:AP15" si="8">SUM(C16:C20)</f>
        <v>0</v>
      </c>
      <c r="D15" s="654">
        <f t="shared" si="8"/>
        <v>0</v>
      </c>
      <c r="E15" s="655">
        <f t="shared" si="8"/>
        <v>0</v>
      </c>
      <c r="F15" s="656">
        <f t="shared" si="8"/>
        <v>0</v>
      </c>
      <c r="G15" s="656">
        <f t="shared" si="8"/>
        <v>0</v>
      </c>
      <c r="H15" s="657">
        <f t="shared" si="8"/>
        <v>64.671797999999995</v>
      </c>
      <c r="I15" s="654">
        <f t="shared" si="8"/>
        <v>0</v>
      </c>
      <c r="J15" s="655">
        <f t="shared" si="8"/>
        <v>0</v>
      </c>
      <c r="K15" s="655">
        <f t="shared" si="8"/>
        <v>64.671797999999995</v>
      </c>
      <c r="L15" s="657">
        <f t="shared" si="8"/>
        <v>3166.7858692089685</v>
      </c>
      <c r="M15" s="655">
        <f t="shared" si="8"/>
        <v>0</v>
      </c>
      <c r="N15" s="655">
        <f t="shared" si="8"/>
        <v>0</v>
      </c>
      <c r="O15" s="655">
        <f t="shared" si="8"/>
        <v>90.017983923640699</v>
      </c>
      <c r="P15" s="903">
        <f t="shared" si="8"/>
        <v>640.53679657777786</v>
      </c>
      <c r="Q15" s="655">
        <f t="shared" si="8"/>
        <v>226.77459106847999</v>
      </c>
      <c r="R15" s="655">
        <f t="shared" si="8"/>
        <v>0</v>
      </c>
      <c r="S15" s="655">
        <f t="shared" si="8"/>
        <v>960.95017928079096</v>
      </c>
      <c r="T15" s="655">
        <f t="shared" si="8"/>
        <v>64.797462901984332</v>
      </c>
      <c r="U15" s="935">
        <f t="shared" si="8"/>
        <v>1146.9502117491124</v>
      </c>
      <c r="V15" s="655">
        <f t="shared" si="8"/>
        <v>0</v>
      </c>
      <c r="W15" s="656">
        <f t="shared" si="8"/>
        <v>36.758643707182323</v>
      </c>
      <c r="X15" s="656">
        <f t="shared" si="8"/>
        <v>0</v>
      </c>
      <c r="Y15" s="656">
        <f t="shared" si="8"/>
        <v>0</v>
      </c>
      <c r="Z15" s="655">
        <f t="shared" si="8"/>
        <v>0</v>
      </c>
      <c r="AA15" s="657">
        <f t="shared" si="8"/>
        <v>0</v>
      </c>
      <c r="AB15" s="658">
        <f t="shared" si="8"/>
        <v>0</v>
      </c>
      <c r="AC15" s="659">
        <f t="shared" si="8"/>
        <v>0</v>
      </c>
      <c r="AD15" s="655">
        <f t="shared" si="8"/>
        <v>0</v>
      </c>
      <c r="AE15" s="655">
        <f t="shared" si="8"/>
        <v>0</v>
      </c>
      <c r="AF15" s="655">
        <f t="shared" si="8"/>
        <v>0</v>
      </c>
      <c r="AG15" s="660">
        <f t="shared" si="8"/>
        <v>0</v>
      </c>
      <c r="AH15" s="660">
        <f t="shared" si="8"/>
        <v>0</v>
      </c>
      <c r="AI15" s="969">
        <f t="shared" si="8"/>
        <v>0</v>
      </c>
      <c r="AJ15" s="969">
        <f t="shared" si="8"/>
        <v>0</v>
      </c>
      <c r="AK15" s="654">
        <f t="shared" si="8"/>
        <v>0</v>
      </c>
      <c r="AL15" s="654">
        <f t="shared" si="8"/>
        <v>0</v>
      </c>
      <c r="AM15" s="656">
        <f t="shared" si="8"/>
        <v>0</v>
      </c>
      <c r="AN15" s="657">
        <f t="shared" si="8"/>
        <v>0</v>
      </c>
      <c r="AO15" s="657">
        <f t="shared" si="8"/>
        <v>1873.361490524092</v>
      </c>
      <c r="AP15" s="658">
        <f t="shared" si="8"/>
        <v>0</v>
      </c>
      <c r="AQ15" s="661">
        <f t="shared" si="0"/>
        <v>5104.8191577330599</v>
      </c>
      <c r="AR15" s="59"/>
      <c r="AS15" s="61"/>
    </row>
    <row r="16" spans="1:45" s="64" customFormat="1" ht="12.75" customHeight="1">
      <c r="A16" s="628" t="s">
        <v>231</v>
      </c>
      <c r="B16" s="629"/>
      <c r="C16" s="630">
        <f>SUM(D16:G16)</f>
        <v>0</v>
      </c>
      <c r="D16" s="631"/>
      <c r="E16" s="632"/>
      <c r="F16" s="633"/>
      <c r="G16" s="633"/>
      <c r="H16" s="634">
        <f>SUM(I16:K16)</f>
        <v>0</v>
      </c>
      <c r="I16" s="631"/>
      <c r="J16" s="632"/>
      <c r="K16" s="632"/>
      <c r="L16" s="634">
        <f>SUM(M16:Z16)</f>
        <v>0</v>
      </c>
      <c r="M16" s="632"/>
      <c r="N16" s="632"/>
      <c r="O16" s="632"/>
      <c r="P16" s="901"/>
      <c r="Q16" s="632"/>
      <c r="R16" s="632"/>
      <c r="S16" s="632"/>
      <c r="T16" s="632"/>
      <c r="U16" s="933"/>
      <c r="V16" s="632"/>
      <c r="W16" s="633"/>
      <c r="X16" s="633"/>
      <c r="Y16" s="633"/>
      <c r="Z16" s="632"/>
      <c r="AA16" s="634"/>
      <c r="AB16" s="635">
        <f>SUM(AC16:AL16)</f>
        <v>0</v>
      </c>
      <c r="AC16" s="636"/>
      <c r="AD16" s="632"/>
      <c r="AE16" s="632"/>
      <c r="AF16" s="632"/>
      <c r="AG16" s="639"/>
      <c r="AH16" s="639"/>
      <c r="AI16" s="970"/>
      <c r="AJ16" s="970"/>
      <c r="AK16" s="631"/>
      <c r="AL16" s="631"/>
      <c r="AM16" s="633"/>
      <c r="AN16" s="637"/>
      <c r="AO16" s="637">
        <v>1667.7865923774164</v>
      </c>
      <c r="AP16" s="635"/>
      <c r="AQ16" s="662">
        <f>C16+H16+L16+AA16+AO16+AP16</f>
        <v>1667.7865923774164</v>
      </c>
      <c r="AR16" s="59"/>
      <c r="AS16" s="63"/>
    </row>
    <row r="17" spans="1:45" s="64" customFormat="1" ht="12.75" customHeight="1">
      <c r="A17" s="581" t="s">
        <v>232</v>
      </c>
      <c r="B17" s="582"/>
      <c r="C17" s="583">
        <f>SUM(D17:G17)</f>
        <v>0</v>
      </c>
      <c r="D17" s="588"/>
      <c r="E17" s="589"/>
      <c r="F17" s="586"/>
      <c r="G17" s="586"/>
      <c r="H17" s="587">
        <f>SUM(I17:K17)</f>
        <v>0</v>
      </c>
      <c r="I17" s="588"/>
      <c r="J17" s="589"/>
      <c r="K17" s="589"/>
      <c r="L17" s="587">
        <f>SUM(M17:Z17)</f>
        <v>0</v>
      </c>
      <c r="M17" s="589"/>
      <c r="N17" s="589"/>
      <c r="O17" s="589"/>
      <c r="P17" s="898"/>
      <c r="Q17" s="589"/>
      <c r="R17" s="589"/>
      <c r="S17" s="589"/>
      <c r="T17" s="589"/>
      <c r="U17" s="930"/>
      <c r="V17" s="589"/>
      <c r="W17" s="586"/>
      <c r="X17" s="586"/>
      <c r="Y17" s="586"/>
      <c r="Z17" s="589"/>
      <c r="AA17" s="587"/>
      <c r="AB17" s="590">
        <f>SUM(AC17:AL17)</f>
        <v>0</v>
      </c>
      <c r="AC17" s="591"/>
      <c r="AD17" s="589"/>
      <c r="AE17" s="589"/>
      <c r="AF17" s="589"/>
      <c r="AG17" s="589"/>
      <c r="AH17" s="589"/>
      <c r="AI17" s="963"/>
      <c r="AJ17" s="963"/>
      <c r="AK17" s="588"/>
      <c r="AL17" s="588"/>
      <c r="AM17" s="586"/>
      <c r="AN17" s="592"/>
      <c r="AO17" s="663">
        <v>185.14395873624346</v>
      </c>
      <c r="AP17" s="590"/>
      <c r="AQ17" s="593">
        <f>C17+H17+L17+AA17+AO17+AP17</f>
        <v>185.14395873624346</v>
      </c>
      <c r="AR17" s="59"/>
      <c r="AS17" s="63"/>
    </row>
    <row r="18" spans="1:45" s="64" customFormat="1" ht="12.75" customHeight="1">
      <c r="A18" s="581" t="s">
        <v>237</v>
      </c>
      <c r="B18" s="582"/>
      <c r="C18" s="583"/>
      <c r="D18" s="588"/>
      <c r="E18" s="589"/>
      <c r="F18" s="586"/>
      <c r="G18" s="586"/>
      <c r="H18" s="587"/>
      <c r="I18" s="588"/>
      <c r="J18" s="589"/>
      <c r="K18" s="589"/>
      <c r="L18" s="587"/>
      <c r="M18" s="589"/>
      <c r="N18" s="589"/>
      <c r="O18" s="589"/>
      <c r="P18" s="898"/>
      <c r="Q18" s="589"/>
      <c r="R18" s="589"/>
      <c r="S18" s="589"/>
      <c r="T18" s="589"/>
      <c r="U18" s="930"/>
      <c r="V18" s="589"/>
      <c r="W18" s="586"/>
      <c r="X18" s="586"/>
      <c r="Y18" s="586"/>
      <c r="Z18" s="589"/>
      <c r="AA18" s="587"/>
      <c r="AB18" s="590"/>
      <c r="AC18" s="591"/>
      <c r="AD18" s="589"/>
      <c r="AE18" s="589"/>
      <c r="AF18" s="589"/>
      <c r="AG18" s="589"/>
      <c r="AH18" s="589"/>
      <c r="AI18" s="963"/>
      <c r="AJ18" s="963"/>
      <c r="AK18" s="588"/>
      <c r="AL18" s="588"/>
      <c r="AM18" s="586"/>
      <c r="AN18" s="592"/>
      <c r="AO18" s="592">
        <v>20.430939410432</v>
      </c>
      <c r="AP18" s="590"/>
      <c r="AQ18" s="593">
        <f t="shared" si="0"/>
        <v>20.430939410432</v>
      </c>
      <c r="AR18" s="59"/>
      <c r="AS18" s="63"/>
    </row>
    <row r="19" spans="1:45" s="64" customFormat="1" ht="12.75" customHeight="1">
      <c r="A19" s="581" t="s">
        <v>234</v>
      </c>
      <c r="B19" s="582"/>
      <c r="C19" s="583"/>
      <c r="D19" s="126"/>
      <c r="E19" s="589"/>
      <c r="F19" s="586"/>
      <c r="G19" s="586"/>
      <c r="H19" s="587">
        <f>SUM(I19:K19)</f>
        <v>64.671797999999995</v>
      </c>
      <c r="I19" s="588"/>
      <c r="J19" s="589"/>
      <c r="K19" s="589">
        <v>64.671797999999995</v>
      </c>
      <c r="L19" s="587">
        <f>SUM(M19:Z19)</f>
        <v>0</v>
      </c>
      <c r="M19" s="589"/>
      <c r="N19" s="589"/>
      <c r="O19" s="589"/>
      <c r="P19" s="898"/>
      <c r="Q19" s="589"/>
      <c r="R19" s="589"/>
      <c r="S19" s="589"/>
      <c r="T19" s="589"/>
      <c r="U19" s="930"/>
      <c r="V19" s="589"/>
      <c r="W19" s="586"/>
      <c r="X19" s="586"/>
      <c r="Y19" s="586"/>
      <c r="Z19" s="589"/>
      <c r="AA19" s="587"/>
      <c r="AB19" s="590">
        <f>SUM(AC19:AL19)</f>
        <v>0</v>
      </c>
      <c r="AC19" s="591"/>
      <c r="AD19" s="589"/>
      <c r="AE19" s="589"/>
      <c r="AF19" s="589"/>
      <c r="AG19" s="589"/>
      <c r="AH19" s="589"/>
      <c r="AI19" s="963"/>
      <c r="AJ19" s="963"/>
      <c r="AK19" s="588"/>
      <c r="AL19" s="588"/>
      <c r="AM19" s="586"/>
      <c r="AN19" s="592"/>
      <c r="AO19" s="592"/>
      <c r="AP19" s="590"/>
      <c r="AQ19" s="593">
        <f t="shared" si="0"/>
        <v>64.671797999999995</v>
      </c>
      <c r="AR19" s="59"/>
      <c r="AS19" s="63"/>
    </row>
    <row r="20" spans="1:45" s="64" customFormat="1" ht="12.75" customHeight="1">
      <c r="A20" s="640" t="s">
        <v>238</v>
      </c>
      <c r="B20" s="641"/>
      <c r="C20" s="642"/>
      <c r="D20" s="643"/>
      <c r="E20" s="644"/>
      <c r="F20" s="645"/>
      <c r="G20" s="645"/>
      <c r="H20" s="646">
        <f>SUM(I20:K20)</f>
        <v>0</v>
      </c>
      <c r="I20" s="643"/>
      <c r="J20" s="644"/>
      <c r="K20" s="644"/>
      <c r="L20" s="646">
        <f>SUM(M20:Z20)</f>
        <v>3166.7858692089685</v>
      </c>
      <c r="M20" s="644"/>
      <c r="N20" s="644"/>
      <c r="O20" s="644">
        <v>90.017983923640699</v>
      </c>
      <c r="P20" s="902">
        <v>640.53679657777786</v>
      </c>
      <c r="Q20" s="644">
        <v>226.77459106847999</v>
      </c>
      <c r="R20" s="644">
        <v>0</v>
      </c>
      <c r="S20" s="644">
        <v>960.95017928079096</v>
      </c>
      <c r="T20" s="644">
        <v>64.797462901984332</v>
      </c>
      <c r="U20" s="934">
        <v>1146.9502117491124</v>
      </c>
      <c r="V20" s="644"/>
      <c r="W20" s="645">
        <v>36.758643707182323</v>
      </c>
      <c r="X20" s="645"/>
      <c r="Y20" s="645"/>
      <c r="Z20" s="644"/>
      <c r="AA20" s="646"/>
      <c r="AB20" s="647">
        <f>SUM(AC20:AL20)</f>
        <v>0</v>
      </c>
      <c r="AC20" s="648"/>
      <c r="AD20" s="644"/>
      <c r="AE20" s="644"/>
      <c r="AF20" s="644"/>
      <c r="AG20" s="644"/>
      <c r="AH20" s="644"/>
      <c r="AI20" s="968"/>
      <c r="AJ20" s="968"/>
      <c r="AK20" s="643"/>
      <c r="AL20" s="643"/>
      <c r="AM20" s="645"/>
      <c r="AN20" s="649"/>
      <c r="AO20" s="649"/>
      <c r="AP20" s="647"/>
      <c r="AQ20" s="650">
        <f t="shared" si="0"/>
        <v>3166.7858692089685</v>
      </c>
      <c r="AR20" s="59"/>
      <c r="AS20" s="63"/>
    </row>
    <row r="21" spans="1:45" s="64" customFormat="1" ht="12.75" customHeight="1">
      <c r="A21" s="664" t="s">
        <v>239</v>
      </c>
      <c r="B21" s="665"/>
      <c r="C21" s="666">
        <f>SUM(C22:C24)</f>
        <v>22.240061570656763</v>
      </c>
      <c r="D21" s="667">
        <f>SUM(D22:D24)</f>
        <v>-17.141361188350004</v>
      </c>
      <c r="E21" s="668">
        <f>SUM(E22:E24)</f>
        <v>39.381422759006767</v>
      </c>
      <c r="F21" s="669">
        <f>SUM(F22:F24)</f>
        <v>0</v>
      </c>
      <c r="G21" s="669">
        <f>SUM(G22:G24)</f>
        <v>0</v>
      </c>
      <c r="H21" s="670">
        <f>SUM(I21:K21)</f>
        <v>0</v>
      </c>
      <c r="I21" s="667">
        <f>SUM(I22:I24)</f>
        <v>0</v>
      </c>
      <c r="J21" s="668">
        <f>SUM(J22:J24)</f>
        <v>0</v>
      </c>
      <c r="K21" s="668">
        <f>SUM(K22:K24)</f>
        <v>0</v>
      </c>
      <c r="L21" s="670">
        <f>SUM(M21:Z21)</f>
        <v>-24.953759699422424</v>
      </c>
      <c r="M21" s="668">
        <f t="shared" ref="M21:AQ21" si="9">SUM(M22:M24)</f>
        <v>0</v>
      </c>
      <c r="N21" s="668">
        <f t="shared" si="9"/>
        <v>30.880435114089789</v>
      </c>
      <c r="O21" s="668">
        <f t="shared" si="9"/>
        <v>0</v>
      </c>
      <c r="P21" s="904">
        <f t="shared" si="9"/>
        <v>-31.080771455555681</v>
      </c>
      <c r="Q21" s="668">
        <f t="shared" si="9"/>
        <v>374.46366644960005</v>
      </c>
      <c r="R21" s="668">
        <f t="shared" si="9"/>
        <v>-373.64776418279996</v>
      </c>
      <c r="S21" s="668">
        <f t="shared" si="9"/>
        <v>0</v>
      </c>
      <c r="T21" s="668">
        <f t="shared" si="9"/>
        <v>0</v>
      </c>
      <c r="U21" s="936">
        <f t="shared" si="9"/>
        <v>-3.3292640540998377</v>
      </c>
      <c r="V21" s="668">
        <f t="shared" si="9"/>
        <v>-22.240061570656767</v>
      </c>
      <c r="W21" s="669">
        <f t="shared" si="9"/>
        <v>0</v>
      </c>
      <c r="X21" s="669">
        <f t="shared" si="9"/>
        <v>0</v>
      </c>
      <c r="Y21" s="669">
        <f t="shared" si="9"/>
        <v>0</v>
      </c>
      <c r="Z21" s="668">
        <f t="shared" si="9"/>
        <v>0</v>
      </c>
      <c r="AA21" s="670">
        <f t="shared" si="9"/>
        <v>0</v>
      </c>
      <c r="AB21" s="671">
        <f t="shared" si="9"/>
        <v>-804.14402736760053</v>
      </c>
      <c r="AC21" s="672">
        <f t="shared" si="9"/>
        <v>-59.691708987970003</v>
      </c>
      <c r="AD21" s="668">
        <f t="shared" si="9"/>
        <v>-743.01992281532614</v>
      </c>
      <c r="AE21" s="668">
        <f t="shared" si="9"/>
        <v>0</v>
      </c>
      <c r="AF21" s="668">
        <f t="shared" si="9"/>
        <v>0</v>
      </c>
      <c r="AG21" s="673">
        <f t="shared" si="9"/>
        <v>0</v>
      </c>
      <c r="AH21" s="673">
        <f t="shared" si="9"/>
        <v>0</v>
      </c>
      <c r="AI21" s="971">
        <f t="shared" si="9"/>
        <v>0</v>
      </c>
      <c r="AJ21" s="971">
        <f t="shared" si="9"/>
        <v>0</v>
      </c>
      <c r="AK21" s="667">
        <f t="shared" si="9"/>
        <v>-1.4323955643044282</v>
      </c>
      <c r="AL21" s="673">
        <f t="shared" si="9"/>
        <v>0</v>
      </c>
      <c r="AM21" s="669">
        <f t="shared" si="9"/>
        <v>0</v>
      </c>
      <c r="AN21" s="674">
        <f t="shared" si="9"/>
        <v>0</v>
      </c>
      <c r="AO21" s="670">
        <f t="shared" si="9"/>
        <v>804.14402736760053</v>
      </c>
      <c r="AP21" s="671">
        <f t="shared" si="9"/>
        <v>0</v>
      </c>
      <c r="AQ21" s="675">
        <f t="shared" si="9"/>
        <v>-2.7136981287656603</v>
      </c>
      <c r="AR21" s="59"/>
      <c r="AS21" s="63"/>
    </row>
    <row r="22" spans="1:45" s="64" customFormat="1" ht="12.75" customHeight="1">
      <c r="A22" s="628" t="s">
        <v>105</v>
      </c>
      <c r="B22" s="629"/>
      <c r="C22" s="676"/>
      <c r="D22" s="677"/>
      <c r="E22" s="678"/>
      <c r="F22" s="633"/>
      <c r="G22" s="633"/>
      <c r="H22" s="634"/>
      <c r="I22" s="679"/>
      <c r="J22" s="632"/>
      <c r="K22" s="632"/>
      <c r="L22" s="634"/>
      <c r="M22" s="632"/>
      <c r="N22" s="632"/>
      <c r="O22" s="632"/>
      <c r="P22" s="901"/>
      <c r="Q22" s="632"/>
      <c r="R22" s="632"/>
      <c r="S22" s="632"/>
      <c r="T22" s="632"/>
      <c r="U22" s="933"/>
      <c r="V22" s="632"/>
      <c r="W22" s="633"/>
      <c r="X22" s="633"/>
      <c r="Y22" s="633"/>
      <c r="Z22" s="632"/>
      <c r="AA22" s="634"/>
      <c r="AB22" s="635">
        <f>SUM(AC22:AM22)</f>
        <v>-804.14402736760053</v>
      </c>
      <c r="AC22" s="636">
        <f>-AC2</f>
        <v>-59.691708987970003</v>
      </c>
      <c r="AD22" s="632">
        <f>-AD2</f>
        <v>-743.01992281532614</v>
      </c>
      <c r="AE22" s="632"/>
      <c r="AF22" s="632"/>
      <c r="AG22" s="639"/>
      <c r="AH22" s="639"/>
      <c r="AI22" s="970"/>
      <c r="AJ22" s="970"/>
      <c r="AK22" s="631">
        <v>-1.4323955643044282</v>
      </c>
      <c r="AL22" s="639"/>
      <c r="AM22" s="633"/>
      <c r="AN22" s="637"/>
      <c r="AO22" s="634">
        <f>-(C22+H22+L22+AA22+AB22)</f>
        <v>804.14402736760053</v>
      </c>
      <c r="AP22" s="635"/>
      <c r="AQ22" s="662">
        <f>C22+H22+L22+AA22+AB22+AN22+AO22+AP22</f>
        <v>0</v>
      </c>
      <c r="AR22" s="59"/>
      <c r="AS22" s="63"/>
    </row>
    <row r="23" spans="1:45" s="64" customFormat="1" ht="12.75" customHeight="1">
      <c r="A23" s="680" t="s">
        <v>240</v>
      </c>
      <c r="B23" s="652"/>
      <c r="C23" s="681"/>
      <c r="D23" s="682"/>
      <c r="E23" s="655"/>
      <c r="F23" s="683"/>
      <c r="G23" s="683"/>
      <c r="H23" s="657"/>
      <c r="I23" s="684"/>
      <c r="J23" s="685"/>
      <c r="K23" s="685"/>
      <c r="L23" s="657"/>
      <c r="M23" s="685"/>
      <c r="N23" s="685"/>
      <c r="O23" s="685"/>
      <c r="P23" s="905"/>
      <c r="Q23" s="685"/>
      <c r="R23" s="685"/>
      <c r="S23" s="685"/>
      <c r="T23" s="685"/>
      <c r="U23" s="937"/>
      <c r="V23" s="685"/>
      <c r="W23" s="683"/>
      <c r="X23" s="683"/>
      <c r="Y23" s="683"/>
      <c r="Z23" s="685"/>
      <c r="AA23" s="657"/>
      <c r="AB23" s="658"/>
      <c r="AC23" s="686"/>
      <c r="AD23" s="685"/>
      <c r="AE23" s="685"/>
      <c r="AF23" s="685"/>
      <c r="AG23" s="685"/>
      <c r="AH23" s="685"/>
      <c r="AI23" s="972"/>
      <c r="AJ23" s="972"/>
      <c r="AK23" s="687"/>
      <c r="AL23" s="687"/>
      <c r="AM23" s="683"/>
      <c r="AN23" s="688"/>
      <c r="AO23" s="657"/>
      <c r="AP23" s="658"/>
      <c r="AQ23" s="689">
        <f>C23+H23+L23+AA23+AB23+AN23+AO23+AP23</f>
        <v>0</v>
      </c>
      <c r="AR23" s="59"/>
      <c r="AS23" s="63"/>
    </row>
    <row r="24" spans="1:45" s="64" customFormat="1" ht="12.75" customHeight="1" thickBot="1">
      <c r="A24" s="595" t="s">
        <v>241</v>
      </c>
      <c r="B24" s="596"/>
      <c r="C24" s="690">
        <f>SUM(D24:G24)</f>
        <v>22.240061570656763</v>
      </c>
      <c r="D24" s="691">
        <v>-17.141361188350004</v>
      </c>
      <c r="E24" s="603">
        <f>-D24-V24</f>
        <v>39.381422759006767</v>
      </c>
      <c r="F24" s="598"/>
      <c r="G24" s="598"/>
      <c r="H24" s="599"/>
      <c r="I24" s="692"/>
      <c r="J24" s="603"/>
      <c r="K24" s="603"/>
      <c r="L24" s="599">
        <f>SUM(N24:Z24)</f>
        <v>-24.953759699422424</v>
      </c>
      <c r="M24" s="603"/>
      <c r="N24" s="603">
        <v>30.880435114089789</v>
      </c>
      <c r="O24" s="603"/>
      <c r="P24" s="906">
        <v>-31.080771455555681</v>
      </c>
      <c r="Q24" s="603">
        <v>374.46366644960005</v>
      </c>
      <c r="R24" s="603">
        <v>-373.64776418279996</v>
      </c>
      <c r="S24" s="603">
        <v>0</v>
      </c>
      <c r="T24" s="603"/>
      <c r="U24" s="938">
        <v>-3.3292640540998377</v>
      </c>
      <c r="V24" s="598">
        <v>-22.240061570656767</v>
      </c>
      <c r="W24" s="598">
        <v>0</v>
      </c>
      <c r="X24" s="598"/>
      <c r="Y24" s="598"/>
      <c r="Z24" s="603"/>
      <c r="AA24" s="599"/>
      <c r="AB24" s="599">
        <f>SUM(AC24:AM24)</f>
        <v>0</v>
      </c>
      <c r="AC24" s="602"/>
      <c r="AD24" s="603"/>
      <c r="AE24" s="603"/>
      <c r="AF24" s="603"/>
      <c r="AG24" s="603"/>
      <c r="AH24" s="603"/>
      <c r="AI24" s="964"/>
      <c r="AJ24" s="964"/>
      <c r="AK24" s="600"/>
      <c r="AL24" s="600"/>
      <c r="AM24" s="598"/>
      <c r="AN24" s="604"/>
      <c r="AO24" s="599"/>
      <c r="AP24" s="601"/>
      <c r="AQ24" s="605">
        <f>C24+H24+L24+AA24+AB24+AN24+AO24+AP24</f>
        <v>-2.7136981287656603</v>
      </c>
      <c r="AR24" s="59"/>
      <c r="AS24" s="63"/>
    </row>
    <row r="25" spans="1:45" s="64" customFormat="1" ht="12.75" customHeight="1" thickBot="1">
      <c r="A25" s="651" t="s">
        <v>242</v>
      </c>
      <c r="B25" s="652"/>
      <c r="C25" s="653">
        <f>SUM(D25:G25)</f>
        <v>0</v>
      </c>
      <c r="D25" s="654"/>
      <c r="E25" s="655"/>
      <c r="F25" s="683"/>
      <c r="G25" s="683"/>
      <c r="H25" s="657">
        <f>SUM(I25:K25)</f>
        <v>10.28324833984202</v>
      </c>
      <c r="I25" s="683">
        <v>10.28324833984202</v>
      </c>
      <c r="J25" s="685"/>
      <c r="K25" s="685"/>
      <c r="L25" s="657">
        <f>SUM(O25:Z25)</f>
        <v>98.284657617035819</v>
      </c>
      <c r="M25" s="685"/>
      <c r="N25" s="685"/>
      <c r="O25" s="685">
        <v>95.274692021714102</v>
      </c>
      <c r="P25" s="905"/>
      <c r="Q25" s="685"/>
      <c r="R25" s="685"/>
      <c r="S25" s="685">
        <v>0</v>
      </c>
      <c r="T25" s="685">
        <v>4.1693256233877908E-3</v>
      </c>
      <c r="U25" s="937">
        <v>3.0057962696983291</v>
      </c>
      <c r="V25" s="685"/>
      <c r="W25" s="683"/>
      <c r="X25" s="683"/>
      <c r="Y25" s="683"/>
      <c r="Z25" s="685"/>
      <c r="AA25" s="657">
        <v>57.528599543766255</v>
      </c>
      <c r="AB25" s="658">
        <f>SUM(AC25:AI25)</f>
        <v>0</v>
      </c>
      <c r="AC25" s="659"/>
      <c r="AD25" s="685"/>
      <c r="AE25" s="685"/>
      <c r="AF25" s="685"/>
      <c r="AG25" s="685"/>
      <c r="AH25" s="685"/>
      <c r="AI25" s="972"/>
      <c r="AJ25" s="972"/>
      <c r="AK25" s="687"/>
      <c r="AL25" s="687"/>
      <c r="AM25" s="683"/>
      <c r="AN25" s="688"/>
      <c r="AO25" s="657">
        <v>259.46681438260055</v>
      </c>
      <c r="AP25" s="658"/>
      <c r="AQ25" s="689">
        <f>C25+H25+L25+AA25+AB25+AN25+AO25+AP25</f>
        <v>425.56331988324462</v>
      </c>
      <c r="AR25" s="59"/>
      <c r="AS25" s="63"/>
    </row>
    <row r="26" spans="1:45" s="62" customFormat="1" ht="12.75" customHeight="1" thickBot="1">
      <c r="A26" s="693" t="s">
        <v>243</v>
      </c>
      <c r="B26" s="694"/>
      <c r="C26" s="695">
        <f t="shared" ref="C26:AP26" si="10">C7-C9+C15+C21-C25</f>
        <v>348.69297193905459</v>
      </c>
      <c r="D26" s="696">
        <f t="shared" si="10"/>
        <v>190.34389623369066</v>
      </c>
      <c r="E26" s="697">
        <f t="shared" si="10"/>
        <v>149.86072528467759</v>
      </c>
      <c r="F26" s="697">
        <f t="shared" si="10"/>
        <v>0</v>
      </c>
      <c r="G26" s="697">
        <f t="shared" si="10"/>
        <v>8.4883504206865013</v>
      </c>
      <c r="H26" s="698">
        <f t="shared" si="10"/>
        <v>199.31419506885081</v>
      </c>
      <c r="I26" s="696">
        <f t="shared" si="10"/>
        <v>0.37225106885087023</v>
      </c>
      <c r="J26" s="697">
        <f t="shared" si="10"/>
        <v>127.70399999999999</v>
      </c>
      <c r="K26" s="697">
        <f t="shared" si="10"/>
        <v>71.237943999999999</v>
      </c>
      <c r="L26" s="698">
        <f t="shared" si="10"/>
        <v>7296.7282199976062</v>
      </c>
      <c r="M26" s="697">
        <f t="shared" si="10"/>
        <v>0</v>
      </c>
      <c r="N26" s="697">
        <f t="shared" si="10"/>
        <v>-0.14794174855289199</v>
      </c>
      <c r="O26" s="697">
        <f t="shared" si="10"/>
        <v>-5.2567080980734033</v>
      </c>
      <c r="P26" s="907">
        <f t="shared" si="10"/>
        <v>799.46408249999979</v>
      </c>
      <c r="Q26" s="697">
        <f t="shared" si="10"/>
        <v>962.00436969728003</v>
      </c>
      <c r="R26" s="697">
        <f t="shared" si="10"/>
        <v>1095.3569190907197</v>
      </c>
      <c r="S26" s="697">
        <f t="shared" si="10"/>
        <v>39.21120498695575</v>
      </c>
      <c r="T26" s="697">
        <f t="shared" si="10"/>
        <v>187.88084937540125</v>
      </c>
      <c r="U26" s="939">
        <f t="shared" si="10"/>
        <v>3833.6812396704358</v>
      </c>
      <c r="V26" s="697">
        <f t="shared" si="10"/>
        <v>145.44440711224036</v>
      </c>
      <c r="W26" s="697">
        <f t="shared" si="10"/>
        <v>7.506512734116022</v>
      </c>
      <c r="X26" s="697">
        <f t="shared" si="10"/>
        <v>195.36275312176252</v>
      </c>
      <c r="Y26" s="697">
        <f t="shared" si="10"/>
        <v>1.2096467108549098</v>
      </c>
      <c r="Z26" s="697">
        <f t="shared" si="10"/>
        <v>35.010884844467988</v>
      </c>
      <c r="AA26" s="698">
        <f t="shared" si="10"/>
        <v>1921.4292269183238</v>
      </c>
      <c r="AB26" s="699">
        <f t="shared" si="10"/>
        <v>456.44000480998989</v>
      </c>
      <c r="AC26" s="626">
        <f t="shared" si="10"/>
        <v>0</v>
      </c>
      <c r="AD26" s="610">
        <f t="shared" si="10"/>
        <v>0</v>
      </c>
      <c r="AE26" s="610">
        <f t="shared" si="10"/>
        <v>196.67659478004623</v>
      </c>
      <c r="AF26" s="610">
        <f t="shared" si="10"/>
        <v>40.692904224132207</v>
      </c>
      <c r="AG26" s="610">
        <f t="shared" si="10"/>
        <v>0</v>
      </c>
      <c r="AH26" s="610">
        <f t="shared" si="10"/>
        <v>9.7770611234061491</v>
      </c>
      <c r="AI26" s="965">
        <f t="shared" si="10"/>
        <v>124.01266332172798</v>
      </c>
      <c r="AJ26" s="965">
        <f t="shared" si="10"/>
        <v>27.929372998367999</v>
      </c>
      <c r="AK26" s="612">
        <f t="shared" si="10"/>
        <v>0</v>
      </c>
      <c r="AL26" s="612">
        <f t="shared" si="10"/>
        <v>13.54608560366562</v>
      </c>
      <c r="AM26" s="700">
        <f t="shared" si="10"/>
        <v>43.805322758643676</v>
      </c>
      <c r="AN26" s="698">
        <f t="shared" si="10"/>
        <v>54.722939604974087</v>
      </c>
      <c r="AO26" s="698">
        <f t="shared" si="10"/>
        <v>2361.2693974490917</v>
      </c>
      <c r="AP26" s="699">
        <f t="shared" si="10"/>
        <v>0</v>
      </c>
      <c r="AQ26" s="701">
        <f>C26+H26+L26+AA26+AB26+AN26+AO26+AP26</f>
        <v>12638.596955787891</v>
      </c>
      <c r="AR26" s="59"/>
      <c r="AS26" s="61"/>
    </row>
    <row r="27" spans="1:45" s="62" customFormat="1" ht="12.75" customHeight="1">
      <c r="A27" s="606" t="s">
        <v>244</v>
      </c>
      <c r="B27" s="607"/>
      <c r="C27" s="608">
        <f t="shared" ref="C27:V27" si="11">C28</f>
        <v>0</v>
      </c>
      <c r="D27" s="612">
        <f t="shared" si="11"/>
        <v>0</v>
      </c>
      <c r="E27" s="610">
        <f t="shared" si="11"/>
        <v>0</v>
      </c>
      <c r="F27" s="625">
        <f t="shared" si="11"/>
        <v>0</v>
      </c>
      <c r="G27" s="625">
        <f t="shared" si="11"/>
        <v>0</v>
      </c>
      <c r="H27" s="611">
        <f t="shared" si="11"/>
        <v>0</v>
      </c>
      <c r="I27" s="612">
        <f t="shared" si="11"/>
        <v>0</v>
      </c>
      <c r="J27" s="610">
        <f t="shared" si="11"/>
        <v>0</v>
      </c>
      <c r="K27" s="610">
        <f t="shared" si="11"/>
        <v>0</v>
      </c>
      <c r="L27" s="611">
        <f t="shared" si="11"/>
        <v>231.58328467708543</v>
      </c>
      <c r="M27" s="610">
        <f t="shared" si="11"/>
        <v>0</v>
      </c>
      <c r="N27" s="610">
        <f t="shared" si="11"/>
        <v>0</v>
      </c>
      <c r="O27" s="610">
        <f t="shared" si="11"/>
        <v>0</v>
      </c>
      <c r="P27" s="899">
        <f t="shared" si="11"/>
        <v>0</v>
      </c>
      <c r="Q27" s="610">
        <f t="shared" si="11"/>
        <v>0</v>
      </c>
      <c r="R27" s="610">
        <f t="shared" si="11"/>
        <v>0</v>
      </c>
      <c r="S27" s="610">
        <f t="shared" si="11"/>
        <v>0</v>
      </c>
      <c r="T27" s="610">
        <f t="shared" si="11"/>
        <v>0</v>
      </c>
      <c r="U27" s="931">
        <f t="shared" si="11"/>
        <v>0</v>
      </c>
      <c r="V27" s="610">
        <f t="shared" si="11"/>
        <v>0</v>
      </c>
      <c r="W27" s="625"/>
      <c r="X27" s="625">
        <f t="shared" ref="X27:AQ27" si="12">X28</f>
        <v>195.36275312176252</v>
      </c>
      <c r="Y27" s="625">
        <f t="shared" si="12"/>
        <v>1.2096467108549098</v>
      </c>
      <c r="Z27" s="610">
        <f t="shared" si="12"/>
        <v>35.010884844467988</v>
      </c>
      <c r="AA27" s="611">
        <f t="shared" si="12"/>
        <v>0</v>
      </c>
      <c r="AB27" s="609">
        <f t="shared" si="12"/>
        <v>0</v>
      </c>
      <c r="AC27" s="626">
        <f t="shared" si="12"/>
        <v>0</v>
      </c>
      <c r="AD27" s="610">
        <f t="shared" si="12"/>
        <v>0</v>
      </c>
      <c r="AE27" s="610">
        <f t="shared" si="12"/>
        <v>0</v>
      </c>
      <c r="AF27" s="610">
        <f t="shared" si="12"/>
        <v>0</v>
      </c>
      <c r="AG27" s="610">
        <f t="shared" si="12"/>
        <v>0</v>
      </c>
      <c r="AH27" s="610">
        <f t="shared" si="12"/>
        <v>0</v>
      </c>
      <c r="AI27" s="965">
        <f t="shared" si="12"/>
        <v>0</v>
      </c>
      <c r="AJ27" s="965">
        <f t="shared" si="12"/>
        <v>0</v>
      </c>
      <c r="AK27" s="612">
        <f t="shared" si="12"/>
        <v>0</v>
      </c>
      <c r="AL27" s="612">
        <f t="shared" si="12"/>
        <v>0</v>
      </c>
      <c r="AM27" s="625">
        <f t="shared" si="12"/>
        <v>0</v>
      </c>
      <c r="AN27" s="611">
        <f t="shared" si="12"/>
        <v>0</v>
      </c>
      <c r="AO27" s="611">
        <f t="shared" si="12"/>
        <v>0</v>
      </c>
      <c r="AP27" s="609">
        <f t="shared" si="12"/>
        <v>0</v>
      </c>
      <c r="AQ27" s="614">
        <f t="shared" si="12"/>
        <v>231.58328467708543</v>
      </c>
      <c r="AR27" s="59"/>
      <c r="AS27" s="61"/>
    </row>
    <row r="28" spans="1:45" s="59" customFormat="1" ht="12.75" customHeight="1" thickBot="1">
      <c r="A28" s="702" t="s">
        <v>245</v>
      </c>
      <c r="B28" s="703"/>
      <c r="C28" s="704">
        <f>SUM(D28:G28)</f>
        <v>0</v>
      </c>
      <c r="D28" s="667"/>
      <c r="E28" s="668"/>
      <c r="F28" s="669"/>
      <c r="G28" s="669"/>
      <c r="H28" s="674">
        <f>SUM(I28:K28)</f>
        <v>0</v>
      </c>
      <c r="I28" s="667"/>
      <c r="J28" s="668"/>
      <c r="K28" s="668"/>
      <c r="L28" s="674">
        <f>SUM(M28:Z28)</f>
        <v>231.58328467708543</v>
      </c>
      <c r="M28" s="668"/>
      <c r="N28" s="668"/>
      <c r="O28" s="668"/>
      <c r="P28" s="904"/>
      <c r="Q28" s="668"/>
      <c r="R28" s="668"/>
      <c r="S28" s="668"/>
      <c r="T28" s="668"/>
      <c r="U28" s="936"/>
      <c r="V28" s="668"/>
      <c r="W28" s="669"/>
      <c r="X28" s="669">
        <f>X26</f>
        <v>195.36275312176252</v>
      </c>
      <c r="Y28" s="669">
        <f>Y26</f>
        <v>1.2096467108549098</v>
      </c>
      <c r="Z28" s="668">
        <f>Z26</f>
        <v>35.010884844467988</v>
      </c>
      <c r="AA28" s="674">
        <v>0</v>
      </c>
      <c r="AB28" s="705">
        <f>SUM(AC28:AI28)</f>
        <v>0</v>
      </c>
      <c r="AC28" s="672"/>
      <c r="AD28" s="668"/>
      <c r="AE28" s="668"/>
      <c r="AF28" s="668"/>
      <c r="AG28" s="668"/>
      <c r="AH28" s="668"/>
      <c r="AI28" s="973"/>
      <c r="AJ28" s="973"/>
      <c r="AK28" s="667"/>
      <c r="AL28" s="667"/>
      <c r="AM28" s="669"/>
      <c r="AN28" s="674"/>
      <c r="AO28" s="674"/>
      <c r="AP28" s="705"/>
      <c r="AQ28" s="675">
        <f t="shared" ref="AQ28:AQ72" si="13">C28+H28+L28+AA28+AB28+AN28+AO28+AP28</f>
        <v>231.58328467708543</v>
      </c>
      <c r="AS28" s="60"/>
    </row>
    <row r="29" spans="1:45" s="62" customFormat="1" ht="12.75" customHeight="1" thickBot="1">
      <c r="A29" s="606" t="s">
        <v>246</v>
      </c>
      <c r="B29" s="607"/>
      <c r="C29" s="608">
        <f t="shared" ref="C29:AQ29" si="14">C30+C45+C56+C58+C65+C70+C71</f>
        <v>351.41289633822032</v>
      </c>
      <c r="D29" s="612">
        <f t="shared" si="14"/>
        <v>190.16205136582681</v>
      </c>
      <c r="E29" s="610">
        <f t="shared" si="14"/>
        <v>153.30941368399715</v>
      </c>
      <c r="F29" s="625">
        <f t="shared" si="14"/>
        <v>0</v>
      </c>
      <c r="G29" s="625">
        <f t="shared" si="14"/>
        <v>7.795884678396293</v>
      </c>
      <c r="H29" s="611">
        <f t="shared" si="14"/>
        <v>197.36847005356</v>
      </c>
      <c r="I29" s="612">
        <f t="shared" si="14"/>
        <v>0.82966372355999995</v>
      </c>
      <c r="J29" s="612">
        <f t="shared" si="14"/>
        <v>127.70399999999999</v>
      </c>
      <c r="K29" s="612">
        <f t="shared" si="14"/>
        <v>68.834806329999992</v>
      </c>
      <c r="L29" s="611">
        <f t="shared" si="14"/>
        <v>7065.3194555859664</v>
      </c>
      <c r="M29" s="610">
        <f t="shared" si="14"/>
        <v>0</v>
      </c>
      <c r="N29" s="610">
        <f t="shared" si="14"/>
        <v>0</v>
      </c>
      <c r="O29" s="610">
        <f t="shared" si="14"/>
        <v>0</v>
      </c>
      <c r="P29" s="899">
        <f t="shared" si="14"/>
        <v>821.48002832197096</v>
      </c>
      <c r="Q29" s="610">
        <f t="shared" si="14"/>
        <v>946.63395628255989</v>
      </c>
      <c r="R29" s="610">
        <f t="shared" si="14"/>
        <v>1102.0673096951998</v>
      </c>
      <c r="S29" s="610">
        <f t="shared" si="14"/>
        <v>31.039400915077643</v>
      </c>
      <c r="T29" s="610">
        <f t="shared" si="14"/>
        <v>181.32381570558749</v>
      </c>
      <c r="U29" s="931">
        <f t="shared" si="14"/>
        <v>3838.1558666328419</v>
      </c>
      <c r="V29" s="610">
        <f t="shared" si="14"/>
        <v>144.61907803272823</v>
      </c>
      <c r="W29" s="625">
        <f t="shared" si="14"/>
        <v>0</v>
      </c>
      <c r="X29" s="625">
        <f t="shared" si="14"/>
        <v>0</v>
      </c>
      <c r="Y29" s="625">
        <f t="shared" si="14"/>
        <v>0</v>
      </c>
      <c r="Z29" s="612">
        <f t="shared" si="14"/>
        <v>0</v>
      </c>
      <c r="AA29" s="698">
        <f t="shared" si="14"/>
        <v>1961.7039372255224</v>
      </c>
      <c r="AB29" s="609">
        <f t="shared" si="14"/>
        <v>464.57031831216926</v>
      </c>
      <c r="AC29" s="626">
        <f t="shared" si="14"/>
        <v>0</v>
      </c>
      <c r="AD29" s="610">
        <f t="shared" si="14"/>
        <v>0</v>
      </c>
      <c r="AE29" s="610">
        <f t="shared" si="14"/>
        <v>202.50934255862566</v>
      </c>
      <c r="AF29" s="610">
        <f t="shared" si="14"/>
        <v>40.692904224132199</v>
      </c>
      <c r="AG29" s="610">
        <f t="shared" si="14"/>
        <v>0</v>
      </c>
      <c r="AH29" s="610">
        <f t="shared" si="14"/>
        <v>9.7770611234061491</v>
      </c>
      <c r="AI29" s="965">
        <f t="shared" si="14"/>
        <v>126.968349188928</v>
      </c>
      <c r="AJ29" s="965">
        <f t="shared" si="14"/>
        <v>27.271252854767997</v>
      </c>
      <c r="AK29" s="609">
        <f t="shared" si="14"/>
        <v>0</v>
      </c>
      <c r="AL29" s="609">
        <f t="shared" si="14"/>
        <v>13.546085603665619</v>
      </c>
      <c r="AM29" s="609">
        <f t="shared" si="14"/>
        <v>43.805322758643683</v>
      </c>
      <c r="AN29" s="609">
        <f t="shared" si="14"/>
        <v>54.722939604974094</v>
      </c>
      <c r="AO29" s="611">
        <f t="shared" si="14"/>
        <v>2397.4208343089181</v>
      </c>
      <c r="AP29" s="609">
        <f t="shared" si="14"/>
        <v>0</v>
      </c>
      <c r="AQ29" s="701">
        <f t="shared" si="14"/>
        <v>12492.518851429331</v>
      </c>
      <c r="AR29" s="59"/>
      <c r="AS29" s="61"/>
    </row>
    <row r="30" spans="1:45" s="66" customFormat="1" ht="12.75" customHeight="1">
      <c r="A30" s="706" t="s">
        <v>247</v>
      </c>
      <c r="B30" s="707"/>
      <c r="C30" s="708">
        <f>SUM(C31:C44)</f>
        <v>105.57009591000003</v>
      </c>
      <c r="D30" s="709">
        <v>105.4245493</v>
      </c>
      <c r="E30" s="709">
        <v>0</v>
      </c>
      <c r="F30" s="710"/>
      <c r="G30" s="710"/>
      <c r="H30" s="711">
        <f>SUM(H31:H44)</f>
        <v>0.82966372355999995</v>
      </c>
      <c r="I30" s="712">
        <f t="shared" ref="I30:K30" si="15">SUM(I31:I44)</f>
        <v>0.82966372355999995</v>
      </c>
      <c r="J30" s="709">
        <f t="shared" si="15"/>
        <v>0</v>
      </c>
      <c r="K30" s="709">
        <f t="shared" si="15"/>
        <v>0</v>
      </c>
      <c r="L30" s="711">
        <f>SUM(L31:L44)</f>
        <v>374.2907898235643</v>
      </c>
      <c r="M30" s="709">
        <f>SUM(M31:M44)</f>
        <v>0</v>
      </c>
      <c r="N30" s="709">
        <f>SUM(N31:N44)</f>
        <v>0</v>
      </c>
      <c r="O30" s="709">
        <f>SUM(O31:O44)</f>
        <v>0</v>
      </c>
      <c r="P30" s="908">
        <f>SUM(P31:P44)</f>
        <v>0</v>
      </c>
      <c r="Q30" s="709">
        <v>9.5497368091127406</v>
      </c>
      <c r="R30" s="709">
        <f>SUM(R31:R44)</f>
        <v>0</v>
      </c>
      <c r="S30" s="709">
        <v>30.396553446461994</v>
      </c>
      <c r="T30" s="709">
        <v>55.909311724159259</v>
      </c>
      <c r="U30" s="940">
        <v>137.32678867057862</v>
      </c>
      <c r="V30" s="709">
        <v>141.10839917325163</v>
      </c>
      <c r="W30" s="709">
        <f>SUM(W31:W44)</f>
        <v>0</v>
      </c>
      <c r="X30" s="709">
        <f>SUM(X31:X44)</f>
        <v>0</v>
      </c>
      <c r="Y30" s="709">
        <f>SUM(Y31:Y44)</f>
        <v>0</v>
      </c>
      <c r="Z30" s="709">
        <f>SUM(Z31:Z44)</f>
        <v>0</v>
      </c>
      <c r="AA30" s="711">
        <v>937.35749564856553</v>
      </c>
      <c r="AB30" s="713">
        <f t="shared" ref="AB30:AN30" si="16">SUM(AB31:AB44)</f>
        <v>196.85576511692614</v>
      </c>
      <c r="AC30" s="714">
        <f t="shared" si="16"/>
        <v>0</v>
      </c>
      <c r="AD30" s="709">
        <f t="shared" si="16"/>
        <v>0</v>
      </c>
      <c r="AE30" s="709">
        <f t="shared" si="16"/>
        <v>153.9273551380638</v>
      </c>
      <c r="AF30" s="709">
        <f t="shared" si="16"/>
        <v>40.692904224132199</v>
      </c>
      <c r="AG30" s="709">
        <f t="shared" si="16"/>
        <v>0</v>
      </c>
      <c r="AH30" s="709">
        <f t="shared" si="16"/>
        <v>2.2355057547301662</v>
      </c>
      <c r="AI30" s="974">
        <f t="shared" si="16"/>
        <v>0</v>
      </c>
      <c r="AJ30" s="974">
        <f t="shared" si="16"/>
        <v>0</v>
      </c>
      <c r="AK30" s="709">
        <f t="shared" si="16"/>
        <v>0</v>
      </c>
      <c r="AL30" s="709">
        <f t="shared" si="16"/>
        <v>0</v>
      </c>
      <c r="AM30" s="715">
        <f t="shared" si="16"/>
        <v>0</v>
      </c>
      <c r="AN30" s="712">
        <f t="shared" si="16"/>
        <v>54.722939604974094</v>
      </c>
      <c r="AO30" s="711">
        <v>621.72214114590861</v>
      </c>
      <c r="AP30" s="713">
        <f>SUM(AP31:AP44)</f>
        <v>0</v>
      </c>
      <c r="AQ30" s="627">
        <f t="shared" ref="AQ30" si="17">C30+H30+L30+AA30+AB30+AN30+AO30+AP30</f>
        <v>2291.3488909734988</v>
      </c>
      <c r="AR30" s="59"/>
      <c r="AS30" s="65"/>
    </row>
    <row r="31" spans="1:45" ht="12.75" customHeight="1">
      <c r="A31" s="716" t="s">
        <v>248</v>
      </c>
      <c r="B31" s="717" t="s">
        <v>249</v>
      </c>
      <c r="C31" s="718">
        <f t="shared" ref="C31:C43" si="18">SUM(D31:G31)</f>
        <v>0</v>
      </c>
      <c r="D31" s="636">
        <v>0</v>
      </c>
      <c r="E31" s="719"/>
      <c r="F31" s="719"/>
      <c r="G31" s="720"/>
      <c r="H31" s="721">
        <f t="shared" ref="H31:H43" si="19">SUM(I31:K31)</f>
        <v>0</v>
      </c>
      <c r="I31" s="722"/>
      <c r="J31" s="639"/>
      <c r="K31" s="639"/>
      <c r="L31" s="721">
        <f t="shared" ref="L31:L43" si="20">SUM(M31:Z31)</f>
        <v>22.334930091304539</v>
      </c>
      <c r="M31" s="639"/>
      <c r="N31" s="639"/>
      <c r="O31" s="639"/>
      <c r="P31" s="909"/>
      <c r="Q31" s="679">
        <v>0.34591578903338577</v>
      </c>
      <c r="R31" s="719"/>
      <c r="S31" s="679">
        <v>0</v>
      </c>
      <c r="T31" s="679">
        <v>1.3603740574248424</v>
      </c>
      <c r="U31" s="941">
        <v>20.628640244846309</v>
      </c>
      <c r="V31" s="679">
        <v>0</v>
      </c>
      <c r="W31" s="719"/>
      <c r="X31" s="722"/>
      <c r="Y31" s="723"/>
      <c r="Z31" s="639"/>
      <c r="AA31" s="637">
        <v>8.7861347374034651</v>
      </c>
      <c r="AB31" s="724">
        <f t="shared" ref="AB31:AB43" si="21">SUM(AC31:AM31)</f>
        <v>0</v>
      </c>
      <c r="AC31" s="725"/>
      <c r="AD31" s="639"/>
      <c r="AE31" s="639"/>
      <c r="AF31" s="639"/>
      <c r="AG31" s="639"/>
      <c r="AH31" s="639"/>
      <c r="AI31" s="970"/>
      <c r="AJ31" s="970"/>
      <c r="AK31" s="631"/>
      <c r="AL31" s="633"/>
      <c r="AM31" s="639"/>
      <c r="AN31" s="637"/>
      <c r="AO31" s="637">
        <v>18.350912208427118</v>
      </c>
      <c r="AP31" s="724"/>
      <c r="AQ31" s="638">
        <f t="shared" si="13"/>
        <v>49.471977037135119</v>
      </c>
    </row>
    <row r="32" spans="1:45" ht="12.75" customHeight="1">
      <c r="A32" s="726" t="s">
        <v>250</v>
      </c>
      <c r="B32" s="727" t="s">
        <v>251</v>
      </c>
      <c r="C32" s="583">
        <f t="shared" si="18"/>
        <v>18.505815952000003</v>
      </c>
      <c r="D32" s="591">
        <v>18.505815952000003</v>
      </c>
      <c r="E32" s="728"/>
      <c r="F32" s="728"/>
      <c r="G32" s="729"/>
      <c r="H32" s="587">
        <f t="shared" si="19"/>
        <v>0.82966372355999995</v>
      </c>
      <c r="I32" s="588">
        <v>0.82966372355999995</v>
      </c>
      <c r="J32" s="589"/>
      <c r="K32" s="589"/>
      <c r="L32" s="587">
        <f t="shared" si="20"/>
        <v>71.784094369696632</v>
      </c>
      <c r="M32" s="589"/>
      <c r="N32" s="589"/>
      <c r="O32" s="589"/>
      <c r="P32" s="909"/>
      <c r="Q32" s="728">
        <v>2.0660606672266768</v>
      </c>
      <c r="R32" s="728"/>
      <c r="S32" s="728">
        <v>22.968462416696998</v>
      </c>
      <c r="T32" s="728">
        <v>30.662877604409012</v>
      </c>
      <c r="U32" s="942">
        <v>16.086693681363943</v>
      </c>
      <c r="V32" s="728">
        <v>0</v>
      </c>
      <c r="W32" s="728"/>
      <c r="X32" s="588"/>
      <c r="Y32" s="586"/>
      <c r="Z32" s="589"/>
      <c r="AA32" s="592">
        <v>265.46537885977392</v>
      </c>
      <c r="AB32" s="590">
        <f t="shared" si="21"/>
        <v>26.063524749810167</v>
      </c>
      <c r="AC32" s="591"/>
      <c r="AD32" s="589"/>
      <c r="AE32" s="589">
        <v>23.828018995080001</v>
      </c>
      <c r="AF32" s="589"/>
      <c r="AG32" s="639"/>
      <c r="AH32" s="639">
        <v>2.2355057547301662</v>
      </c>
      <c r="AI32" s="970"/>
      <c r="AJ32" s="970"/>
      <c r="AK32" s="588"/>
      <c r="AL32" s="586"/>
      <c r="AM32" s="589"/>
      <c r="AN32" s="592"/>
      <c r="AO32" s="592">
        <v>148.76072128018708</v>
      </c>
      <c r="AP32" s="590"/>
      <c r="AQ32" s="593">
        <f t="shared" si="13"/>
        <v>531.4091989350278</v>
      </c>
    </row>
    <row r="33" spans="1:45" ht="12.75" customHeight="1">
      <c r="A33" s="726" t="s">
        <v>252</v>
      </c>
      <c r="B33" s="730" t="s">
        <v>253</v>
      </c>
      <c r="C33" s="583">
        <f t="shared" si="18"/>
        <v>0</v>
      </c>
      <c r="D33" s="591">
        <v>0</v>
      </c>
      <c r="E33" s="728"/>
      <c r="F33" s="728"/>
      <c r="G33" s="729"/>
      <c r="H33" s="587">
        <f t="shared" si="19"/>
        <v>0</v>
      </c>
      <c r="I33" s="588"/>
      <c r="J33" s="589"/>
      <c r="K33" s="589"/>
      <c r="L33" s="587">
        <f t="shared" si="20"/>
        <v>3.9848369673637745</v>
      </c>
      <c r="M33" s="589"/>
      <c r="N33" s="589"/>
      <c r="O33" s="589"/>
      <c r="P33" s="909"/>
      <c r="Q33" s="728">
        <v>6.1845550160514413E-2</v>
      </c>
      <c r="R33" s="728"/>
      <c r="S33" s="728">
        <v>0</v>
      </c>
      <c r="T33" s="728">
        <v>3.2282811958991577</v>
      </c>
      <c r="U33" s="942">
        <v>0.69471022130410232</v>
      </c>
      <c r="V33" s="728">
        <v>0</v>
      </c>
      <c r="W33" s="728"/>
      <c r="X33" s="588"/>
      <c r="Y33" s="586"/>
      <c r="Z33" s="589"/>
      <c r="AA33" s="592">
        <v>19.827078866680154</v>
      </c>
      <c r="AB33" s="590">
        <f t="shared" si="21"/>
        <v>0</v>
      </c>
      <c r="AC33" s="591"/>
      <c r="AD33" s="589"/>
      <c r="AE33" s="589"/>
      <c r="AF33" s="589"/>
      <c r="AG33" s="639"/>
      <c r="AH33" s="639"/>
      <c r="AI33" s="970"/>
      <c r="AJ33" s="970"/>
      <c r="AK33" s="588"/>
      <c r="AL33" s="586"/>
      <c r="AM33" s="589"/>
      <c r="AN33" s="592"/>
      <c r="AO33" s="592">
        <v>4.8844128009868593</v>
      </c>
      <c r="AP33" s="590"/>
      <c r="AQ33" s="593">
        <f t="shared" si="13"/>
        <v>28.696328635030788</v>
      </c>
    </row>
    <row r="34" spans="1:45" ht="12.75" customHeight="1">
      <c r="A34" s="726" t="s">
        <v>254</v>
      </c>
      <c r="B34" s="730" t="s">
        <v>255</v>
      </c>
      <c r="C34" s="583">
        <f t="shared" si="18"/>
        <v>0</v>
      </c>
      <c r="D34" s="591">
        <v>0</v>
      </c>
      <c r="E34" s="728"/>
      <c r="F34" s="728"/>
      <c r="G34" s="729"/>
      <c r="H34" s="587">
        <f t="shared" si="19"/>
        <v>0</v>
      </c>
      <c r="I34" s="588"/>
      <c r="J34" s="589"/>
      <c r="K34" s="589"/>
      <c r="L34" s="587">
        <f t="shared" si="20"/>
        <v>2.6182891559382289</v>
      </c>
      <c r="M34" s="589"/>
      <c r="N34" s="589"/>
      <c r="O34" s="589"/>
      <c r="P34" s="909"/>
      <c r="Q34" s="728">
        <v>8.9099521417690272E-2</v>
      </c>
      <c r="R34" s="728"/>
      <c r="S34" s="728">
        <v>0</v>
      </c>
      <c r="T34" s="728">
        <v>0.28505282634285456</v>
      </c>
      <c r="U34" s="942">
        <v>2.244136808177684</v>
      </c>
      <c r="V34" s="728">
        <v>0</v>
      </c>
      <c r="W34" s="728"/>
      <c r="X34" s="588"/>
      <c r="Y34" s="586"/>
      <c r="Z34" s="589"/>
      <c r="AA34" s="592">
        <v>3.0214445851101197</v>
      </c>
      <c r="AB34" s="590">
        <f t="shared" si="21"/>
        <v>127.87356205415999</v>
      </c>
      <c r="AC34" s="591"/>
      <c r="AD34" s="589"/>
      <c r="AE34" s="589">
        <v>127.87356205415999</v>
      </c>
      <c r="AF34" s="589"/>
      <c r="AG34" s="639"/>
      <c r="AH34" s="639"/>
      <c r="AI34" s="970"/>
      <c r="AJ34" s="970"/>
      <c r="AK34" s="588"/>
      <c r="AL34" s="586"/>
      <c r="AM34" s="589"/>
      <c r="AN34" s="592"/>
      <c r="AO34" s="592">
        <v>26.251691103783244</v>
      </c>
      <c r="AP34" s="590"/>
      <c r="AQ34" s="593">
        <f t="shared" si="13"/>
        <v>159.76498689899159</v>
      </c>
    </row>
    <row r="35" spans="1:45" ht="12.75" customHeight="1">
      <c r="A35" s="726" t="s">
        <v>256</v>
      </c>
      <c r="B35" s="730" t="s">
        <v>257</v>
      </c>
      <c r="C35" s="583">
        <f t="shared" si="18"/>
        <v>0</v>
      </c>
      <c r="D35" s="591">
        <v>0</v>
      </c>
      <c r="E35" s="728"/>
      <c r="F35" s="728"/>
      <c r="G35" s="729"/>
      <c r="H35" s="587">
        <f t="shared" si="19"/>
        <v>0</v>
      </c>
      <c r="I35" s="588"/>
      <c r="J35" s="589"/>
      <c r="K35" s="589"/>
      <c r="L35" s="587">
        <f t="shared" si="20"/>
        <v>0.83838358845358163</v>
      </c>
      <c r="M35" s="589"/>
      <c r="N35" s="589"/>
      <c r="O35" s="589"/>
      <c r="P35" s="909"/>
      <c r="Q35" s="728">
        <v>0.19497071745518102</v>
      </c>
      <c r="R35" s="728"/>
      <c r="S35" s="728">
        <v>0</v>
      </c>
      <c r="T35" s="728">
        <v>5.0985058370266664E-2</v>
      </c>
      <c r="U35" s="942">
        <v>0.59242781262813393</v>
      </c>
      <c r="V35" s="728">
        <v>0</v>
      </c>
      <c r="W35" s="728"/>
      <c r="X35" s="588"/>
      <c r="Y35" s="586"/>
      <c r="Z35" s="589"/>
      <c r="AA35" s="592">
        <v>4.5940947412447954</v>
      </c>
      <c r="AB35" s="590">
        <f t="shared" si="21"/>
        <v>0</v>
      </c>
      <c r="AC35" s="591"/>
      <c r="AD35" s="589"/>
      <c r="AE35" s="589"/>
      <c r="AF35" s="589"/>
      <c r="AG35" s="639"/>
      <c r="AH35" s="639"/>
      <c r="AI35" s="970"/>
      <c r="AJ35" s="970"/>
      <c r="AK35" s="588"/>
      <c r="AL35" s="586"/>
      <c r="AM35" s="589"/>
      <c r="AN35" s="592"/>
      <c r="AO35" s="592">
        <v>10.638816275668107</v>
      </c>
      <c r="AP35" s="590"/>
      <c r="AQ35" s="593">
        <f t="shared" si="13"/>
        <v>16.071294605366482</v>
      </c>
    </row>
    <row r="36" spans="1:45" ht="12.75" customHeight="1">
      <c r="A36" s="726" t="s">
        <v>258</v>
      </c>
      <c r="B36" s="730" t="s">
        <v>259</v>
      </c>
      <c r="C36" s="583">
        <f t="shared" si="18"/>
        <v>0</v>
      </c>
      <c r="D36" s="725">
        <v>0</v>
      </c>
      <c r="E36" s="728"/>
      <c r="F36" s="728"/>
      <c r="G36" s="729"/>
      <c r="H36" s="587">
        <f t="shared" si="19"/>
        <v>0</v>
      </c>
      <c r="I36" s="588"/>
      <c r="J36" s="589"/>
      <c r="K36" s="589"/>
      <c r="L36" s="587">
        <f t="shared" si="20"/>
        <v>20.491702651385793</v>
      </c>
      <c r="M36" s="589"/>
      <c r="N36" s="589"/>
      <c r="O36" s="589"/>
      <c r="P36" s="909"/>
      <c r="Q36" s="719">
        <v>0.29140784651903406</v>
      </c>
      <c r="R36" s="728"/>
      <c r="S36" s="719">
        <v>2.7458233928999998</v>
      </c>
      <c r="T36" s="719">
        <v>2.7311768767890574</v>
      </c>
      <c r="U36" s="943">
        <v>4.9055048279840703</v>
      </c>
      <c r="V36" s="719">
        <v>9.8177897071936346</v>
      </c>
      <c r="W36" s="728"/>
      <c r="X36" s="588"/>
      <c r="Y36" s="586"/>
      <c r="Z36" s="589"/>
      <c r="AA36" s="731">
        <v>128.0014006524043</v>
      </c>
      <c r="AB36" s="590">
        <f t="shared" si="21"/>
        <v>0</v>
      </c>
      <c r="AC36" s="591"/>
      <c r="AD36" s="589"/>
      <c r="AE36" s="589">
        <v>0</v>
      </c>
      <c r="AF36" s="589"/>
      <c r="AG36" s="639"/>
      <c r="AH36" s="639"/>
      <c r="AI36" s="970"/>
      <c r="AJ36" s="970"/>
      <c r="AK36" s="722"/>
      <c r="AL36" s="723"/>
      <c r="AM36" s="589"/>
      <c r="AN36" s="731"/>
      <c r="AO36" s="731">
        <v>104.62854472087723</v>
      </c>
      <c r="AP36" s="590"/>
      <c r="AQ36" s="593">
        <f t="shared" si="13"/>
        <v>253.12164802466731</v>
      </c>
    </row>
    <row r="37" spans="1:45" ht="12.75" customHeight="1">
      <c r="A37" s="726" t="s">
        <v>260</v>
      </c>
      <c r="B37" s="730" t="s">
        <v>261</v>
      </c>
      <c r="C37" s="583">
        <f t="shared" si="18"/>
        <v>0</v>
      </c>
      <c r="D37" s="591">
        <v>0</v>
      </c>
      <c r="E37" s="728"/>
      <c r="F37" s="728"/>
      <c r="G37" s="729"/>
      <c r="H37" s="587">
        <f t="shared" si="19"/>
        <v>0</v>
      </c>
      <c r="I37" s="588"/>
      <c r="J37" s="589"/>
      <c r="K37" s="589"/>
      <c r="L37" s="587">
        <f t="shared" si="20"/>
        <v>4.5221622064203446</v>
      </c>
      <c r="M37" s="589"/>
      <c r="N37" s="589"/>
      <c r="O37" s="589"/>
      <c r="P37" s="909"/>
      <c r="Q37" s="728">
        <v>1.8396430598593692</v>
      </c>
      <c r="R37" s="728"/>
      <c r="S37" s="728">
        <v>0</v>
      </c>
      <c r="T37" s="728">
        <v>1.2363876654789667</v>
      </c>
      <c r="U37" s="942">
        <v>1.446131481082009</v>
      </c>
      <c r="V37" s="728">
        <v>0</v>
      </c>
      <c r="W37" s="728"/>
      <c r="X37" s="588"/>
      <c r="Y37" s="586"/>
      <c r="Z37" s="589"/>
      <c r="AA37" s="592">
        <v>2.284026640331299</v>
      </c>
      <c r="AB37" s="590">
        <f t="shared" si="21"/>
        <v>0</v>
      </c>
      <c r="AC37" s="591"/>
      <c r="AD37" s="589"/>
      <c r="AE37" s="589"/>
      <c r="AF37" s="589"/>
      <c r="AG37" s="639"/>
      <c r="AH37" s="639"/>
      <c r="AI37" s="970"/>
      <c r="AJ37" s="970"/>
      <c r="AK37" s="588"/>
      <c r="AL37" s="586"/>
      <c r="AM37" s="589"/>
      <c r="AN37" s="592"/>
      <c r="AO37" s="592">
        <v>20.435816256672165</v>
      </c>
      <c r="AP37" s="590"/>
      <c r="AQ37" s="593">
        <f t="shared" si="13"/>
        <v>27.242005103423807</v>
      </c>
    </row>
    <row r="38" spans="1:45" ht="12.75" customHeight="1">
      <c r="A38" s="726" t="s">
        <v>262</v>
      </c>
      <c r="B38" s="730" t="s">
        <v>263</v>
      </c>
      <c r="C38" s="583">
        <f t="shared" si="18"/>
        <v>86.919212076000022</v>
      </c>
      <c r="D38" s="591">
        <v>86.919212076000022</v>
      </c>
      <c r="E38" s="728"/>
      <c r="F38" s="728"/>
      <c r="G38" s="729"/>
      <c r="H38" s="587">
        <f t="shared" si="19"/>
        <v>0</v>
      </c>
      <c r="I38" s="588"/>
      <c r="J38" s="589"/>
      <c r="K38" s="589"/>
      <c r="L38" s="587">
        <f t="shared" si="20"/>
        <v>165.25524621751634</v>
      </c>
      <c r="M38" s="589"/>
      <c r="N38" s="589"/>
      <c r="O38" s="589"/>
      <c r="P38" s="909"/>
      <c r="Q38" s="728">
        <v>1.7086143518921777</v>
      </c>
      <c r="R38" s="728"/>
      <c r="S38" s="728">
        <v>0</v>
      </c>
      <c r="T38" s="728">
        <v>2.4472828017727997</v>
      </c>
      <c r="U38" s="942">
        <v>29.80873959779337</v>
      </c>
      <c r="V38" s="728">
        <v>131.29060946605799</v>
      </c>
      <c r="W38" s="728"/>
      <c r="X38" s="588"/>
      <c r="Y38" s="586"/>
      <c r="Z38" s="589"/>
      <c r="AA38" s="592">
        <v>20.60514689627021</v>
      </c>
      <c r="AB38" s="590">
        <f t="shared" si="21"/>
        <v>42.918678312955997</v>
      </c>
      <c r="AC38" s="591"/>
      <c r="AD38" s="589"/>
      <c r="AE38" s="589">
        <v>2.2257740888237998</v>
      </c>
      <c r="AF38" s="589">
        <v>40.692904224132199</v>
      </c>
      <c r="AG38" s="639"/>
      <c r="AH38" s="639"/>
      <c r="AI38" s="970"/>
      <c r="AJ38" s="970"/>
      <c r="AK38" s="588"/>
      <c r="AL38" s="586"/>
      <c r="AM38" s="589"/>
      <c r="AN38" s="592">
        <v>54.722939604974094</v>
      </c>
      <c r="AO38" s="592">
        <v>54.010284601158837</v>
      </c>
      <c r="AP38" s="590"/>
      <c r="AQ38" s="593">
        <f t="shared" si="13"/>
        <v>424.43150770887547</v>
      </c>
    </row>
    <row r="39" spans="1:45" ht="12.75" customHeight="1">
      <c r="A39" s="726" t="s">
        <v>264</v>
      </c>
      <c r="B39" s="730" t="s">
        <v>265</v>
      </c>
      <c r="C39" s="583">
        <f t="shared" si="18"/>
        <v>0.14506788200000253</v>
      </c>
      <c r="D39" s="591">
        <v>0.14506788200000253</v>
      </c>
      <c r="E39" s="728"/>
      <c r="F39" s="728"/>
      <c r="G39" s="729"/>
      <c r="H39" s="587">
        <f t="shared" si="19"/>
        <v>0</v>
      </c>
      <c r="I39" s="588"/>
      <c r="J39" s="589"/>
      <c r="K39" s="589"/>
      <c r="L39" s="587">
        <f t="shared" si="20"/>
        <v>8.534515108025424</v>
      </c>
      <c r="M39" s="589"/>
      <c r="N39" s="589"/>
      <c r="O39" s="589"/>
      <c r="P39" s="909"/>
      <c r="Q39" s="728">
        <v>0.75262889856354831</v>
      </c>
      <c r="R39" s="728"/>
      <c r="S39" s="728">
        <v>1.0397614907400001</v>
      </c>
      <c r="T39" s="728">
        <v>3.4113639055014784</v>
      </c>
      <c r="U39" s="942">
        <v>3.3307608132203974</v>
      </c>
      <c r="V39" s="728">
        <v>0</v>
      </c>
      <c r="W39" s="728"/>
      <c r="X39" s="588"/>
      <c r="Y39" s="586"/>
      <c r="Z39" s="589"/>
      <c r="AA39" s="592">
        <v>408.68833080126041</v>
      </c>
      <c r="AB39" s="590">
        <f t="shared" si="21"/>
        <v>0</v>
      </c>
      <c r="AC39" s="591"/>
      <c r="AD39" s="589"/>
      <c r="AE39" s="589"/>
      <c r="AF39" s="589"/>
      <c r="AG39" s="639"/>
      <c r="AH39" s="639"/>
      <c r="AI39" s="970"/>
      <c r="AJ39" s="970"/>
      <c r="AK39" s="588"/>
      <c r="AL39" s="586"/>
      <c r="AM39" s="589"/>
      <c r="AN39" s="592"/>
      <c r="AO39" s="592">
        <v>49.329922605876547</v>
      </c>
      <c r="AP39" s="590"/>
      <c r="AQ39" s="593">
        <f t="shared" si="13"/>
        <v>466.6978363971624</v>
      </c>
    </row>
    <row r="40" spans="1:45" ht="12.75" customHeight="1">
      <c r="A40" s="726" t="s">
        <v>266</v>
      </c>
      <c r="B40" s="730" t="s">
        <v>267</v>
      </c>
      <c r="C40" s="583">
        <f t="shared" si="18"/>
        <v>0</v>
      </c>
      <c r="D40" s="591">
        <v>0</v>
      </c>
      <c r="E40" s="728"/>
      <c r="F40" s="728"/>
      <c r="G40" s="729"/>
      <c r="H40" s="587">
        <f t="shared" si="19"/>
        <v>0</v>
      </c>
      <c r="I40" s="588"/>
      <c r="J40" s="589"/>
      <c r="K40" s="589"/>
      <c r="L40" s="587">
        <f t="shared" si="20"/>
        <v>4.4175991624811015</v>
      </c>
      <c r="M40" s="589"/>
      <c r="N40" s="589"/>
      <c r="O40" s="589"/>
      <c r="P40" s="909"/>
      <c r="Q40" s="728">
        <v>0.21069416241124406</v>
      </c>
      <c r="R40" s="728"/>
      <c r="S40" s="728">
        <v>0</v>
      </c>
      <c r="T40" s="728">
        <v>2.0741648746085759</v>
      </c>
      <c r="U40" s="942">
        <v>2.1327401254612819</v>
      </c>
      <c r="V40" s="728">
        <v>0</v>
      </c>
      <c r="W40" s="728"/>
      <c r="X40" s="588"/>
      <c r="Y40" s="586"/>
      <c r="Z40" s="589"/>
      <c r="AA40" s="592">
        <v>7.9737681987539286</v>
      </c>
      <c r="AB40" s="590">
        <f t="shared" si="21"/>
        <v>0</v>
      </c>
      <c r="AC40" s="591"/>
      <c r="AD40" s="589"/>
      <c r="AE40" s="589"/>
      <c r="AF40" s="589"/>
      <c r="AG40" s="639"/>
      <c r="AH40" s="639"/>
      <c r="AI40" s="970"/>
      <c r="AJ40" s="970"/>
      <c r="AK40" s="588"/>
      <c r="AL40" s="586"/>
      <c r="AM40" s="589"/>
      <c r="AN40" s="592"/>
      <c r="AO40" s="592">
        <v>18.411529811795422</v>
      </c>
      <c r="AP40" s="590"/>
      <c r="AQ40" s="593">
        <f t="shared" si="13"/>
        <v>30.802897173030452</v>
      </c>
    </row>
    <row r="41" spans="1:45" ht="12.75" customHeight="1">
      <c r="A41" s="726" t="s">
        <v>268</v>
      </c>
      <c r="B41" s="730" t="s">
        <v>269</v>
      </c>
      <c r="C41" s="583">
        <f t="shared" si="18"/>
        <v>0</v>
      </c>
      <c r="D41" s="725">
        <v>0</v>
      </c>
      <c r="E41" s="728"/>
      <c r="F41" s="728"/>
      <c r="G41" s="729"/>
      <c r="H41" s="587">
        <f t="shared" si="19"/>
        <v>0</v>
      </c>
      <c r="I41" s="588"/>
      <c r="J41" s="589"/>
      <c r="K41" s="589"/>
      <c r="L41" s="587">
        <f t="shared" si="20"/>
        <v>3.5291908924471116</v>
      </c>
      <c r="M41" s="589"/>
      <c r="N41" s="589"/>
      <c r="O41" s="589"/>
      <c r="P41" s="909"/>
      <c r="Q41" s="719">
        <v>0.4496905257434014</v>
      </c>
      <c r="R41" s="728"/>
      <c r="S41" s="719">
        <v>0</v>
      </c>
      <c r="T41" s="719">
        <v>2.0880698905277391</v>
      </c>
      <c r="U41" s="943">
        <v>0.99143047617597102</v>
      </c>
      <c r="V41" s="719">
        <v>0</v>
      </c>
      <c r="W41" s="728"/>
      <c r="X41" s="588"/>
      <c r="Y41" s="586"/>
      <c r="Z41" s="589"/>
      <c r="AA41" s="731">
        <v>18.389717274057872</v>
      </c>
      <c r="AB41" s="590">
        <f t="shared" si="21"/>
        <v>0</v>
      </c>
      <c r="AC41" s="591"/>
      <c r="AD41" s="589"/>
      <c r="AE41" s="589"/>
      <c r="AF41" s="589"/>
      <c r="AG41" s="639"/>
      <c r="AH41" s="639"/>
      <c r="AI41" s="970"/>
      <c r="AJ41" s="970"/>
      <c r="AK41" s="722"/>
      <c r="AL41" s="723"/>
      <c r="AM41" s="589"/>
      <c r="AN41" s="731"/>
      <c r="AO41" s="731">
        <v>80.043410825191572</v>
      </c>
      <c r="AP41" s="590"/>
      <c r="AQ41" s="593">
        <f t="shared" si="13"/>
        <v>101.96231899169655</v>
      </c>
    </row>
    <row r="42" spans="1:45" ht="12.75" customHeight="1">
      <c r="A42" s="726" t="s">
        <v>270</v>
      </c>
      <c r="B42" s="730" t="s">
        <v>271</v>
      </c>
      <c r="C42" s="583">
        <f t="shared" si="18"/>
        <v>0</v>
      </c>
      <c r="D42" s="591">
        <v>0</v>
      </c>
      <c r="E42" s="728"/>
      <c r="F42" s="728"/>
      <c r="G42" s="729"/>
      <c r="H42" s="587">
        <f t="shared" si="19"/>
        <v>0</v>
      </c>
      <c r="I42" s="588"/>
      <c r="J42" s="589"/>
      <c r="K42" s="589"/>
      <c r="L42" s="587">
        <f t="shared" si="20"/>
        <v>1.41139605019423</v>
      </c>
      <c r="M42" s="589"/>
      <c r="N42" s="589"/>
      <c r="O42" s="589"/>
      <c r="P42" s="909"/>
      <c r="Q42" s="728">
        <v>5.2411483186876627E-2</v>
      </c>
      <c r="R42" s="728"/>
      <c r="S42" s="728">
        <v>0</v>
      </c>
      <c r="T42" s="728">
        <v>0.92352480729778486</v>
      </c>
      <c r="U42" s="942">
        <v>0.43545975970956852</v>
      </c>
      <c r="V42" s="728">
        <v>0</v>
      </c>
      <c r="W42" s="728"/>
      <c r="X42" s="588"/>
      <c r="Y42" s="586"/>
      <c r="Z42" s="589"/>
      <c r="AA42" s="592">
        <v>0.27057712702478681</v>
      </c>
      <c r="AB42" s="590">
        <f t="shared" si="21"/>
        <v>0</v>
      </c>
      <c r="AC42" s="591"/>
      <c r="AD42" s="589"/>
      <c r="AE42" s="589"/>
      <c r="AF42" s="589"/>
      <c r="AG42" s="639"/>
      <c r="AH42" s="639"/>
      <c r="AI42" s="970"/>
      <c r="AJ42" s="970"/>
      <c r="AK42" s="687"/>
      <c r="AL42" s="683"/>
      <c r="AM42" s="589"/>
      <c r="AN42" s="688"/>
      <c r="AO42" s="592">
        <v>2.2633417821038564</v>
      </c>
      <c r="AP42" s="590"/>
      <c r="AQ42" s="593">
        <f t="shared" si="13"/>
        <v>3.9453149593228733</v>
      </c>
    </row>
    <row r="43" spans="1:45" ht="12.75" customHeight="1">
      <c r="A43" s="726" t="s">
        <v>272</v>
      </c>
      <c r="B43" s="730" t="s">
        <v>273</v>
      </c>
      <c r="C43" s="583">
        <f t="shared" si="18"/>
        <v>0</v>
      </c>
      <c r="D43" s="591">
        <v>0</v>
      </c>
      <c r="E43" s="728"/>
      <c r="F43" s="728"/>
      <c r="G43" s="729"/>
      <c r="H43" s="587">
        <f t="shared" si="19"/>
        <v>0</v>
      </c>
      <c r="I43" s="588"/>
      <c r="J43" s="589"/>
      <c r="K43" s="589">
        <v>0</v>
      </c>
      <c r="L43" s="587">
        <f t="shared" si="20"/>
        <v>12.511675497016565</v>
      </c>
      <c r="M43" s="589"/>
      <c r="N43" s="589"/>
      <c r="O43" s="589"/>
      <c r="P43" s="910"/>
      <c r="Q43" s="728">
        <v>0.76415942486466115</v>
      </c>
      <c r="R43" s="728"/>
      <c r="S43" s="728">
        <v>3.6425061461249997</v>
      </c>
      <c r="T43" s="728">
        <v>4.9362806513030915</v>
      </c>
      <c r="U43" s="942">
        <v>3.1687292747238134</v>
      </c>
      <c r="V43" s="728">
        <v>0</v>
      </c>
      <c r="W43" s="728"/>
      <c r="X43" s="588"/>
      <c r="Y43" s="586"/>
      <c r="Z43" s="589"/>
      <c r="AA43" s="592">
        <v>30.013736057345717</v>
      </c>
      <c r="AB43" s="590">
        <f t="shared" si="21"/>
        <v>0</v>
      </c>
      <c r="AC43" s="591"/>
      <c r="AD43" s="589"/>
      <c r="AE43" s="589"/>
      <c r="AF43" s="589"/>
      <c r="AG43" s="589"/>
      <c r="AH43" s="589"/>
      <c r="AI43" s="963"/>
      <c r="AJ43" s="963"/>
      <c r="AK43" s="588"/>
      <c r="AL43" s="586"/>
      <c r="AM43" s="589"/>
      <c r="AN43" s="592"/>
      <c r="AO43" s="592">
        <v>59.095333131604164</v>
      </c>
      <c r="AP43" s="590"/>
      <c r="AQ43" s="593">
        <f t="shared" si="13"/>
        <v>101.62074468596644</v>
      </c>
    </row>
    <row r="44" spans="1:45" s="126" customFormat="1" ht="12.75" customHeight="1">
      <c r="A44" s="732" t="s">
        <v>1106</v>
      </c>
      <c r="B44" s="733" t="s">
        <v>1107</v>
      </c>
      <c r="C44" s="642">
        <f>SUM(D44:G44)</f>
        <v>0</v>
      </c>
      <c r="D44" s="648">
        <v>0</v>
      </c>
      <c r="E44" s="734"/>
      <c r="F44" s="734"/>
      <c r="G44" s="735"/>
      <c r="H44" s="646">
        <f>SUM(I44:K44)</f>
        <v>0</v>
      </c>
      <c r="I44" s="643"/>
      <c r="J44" s="644"/>
      <c r="K44" s="644"/>
      <c r="L44" s="646">
        <f>SUM(M44:Z44)</f>
        <v>52.05676786532063</v>
      </c>
      <c r="M44" s="644"/>
      <c r="N44" s="644"/>
      <c r="O44" s="644"/>
      <c r="P44" s="911"/>
      <c r="Q44" s="734">
        <v>0.72259481077897947</v>
      </c>
      <c r="R44" s="734"/>
      <c r="S44" s="734">
        <v>0</v>
      </c>
      <c r="T44" s="734">
        <v>0.47348950843364052</v>
      </c>
      <c r="U44" s="944">
        <v>50.860683546108007</v>
      </c>
      <c r="V44" s="734">
        <v>0</v>
      </c>
      <c r="W44" s="734"/>
      <c r="X44" s="643"/>
      <c r="Y44" s="645"/>
      <c r="Z44" s="644"/>
      <c r="AA44" s="649">
        <v>19.436660210904712</v>
      </c>
      <c r="AB44" s="647">
        <f>SUM(AC44:AM44)</f>
        <v>0</v>
      </c>
      <c r="AC44" s="648"/>
      <c r="AD44" s="644"/>
      <c r="AE44" s="644"/>
      <c r="AF44" s="644"/>
      <c r="AG44" s="644"/>
      <c r="AH44" s="644"/>
      <c r="AI44" s="968"/>
      <c r="AJ44" s="968"/>
      <c r="AK44" s="643"/>
      <c r="AL44" s="645"/>
      <c r="AM44" s="644"/>
      <c r="AN44" s="649"/>
      <c r="AO44" s="649">
        <v>24.617403741576357</v>
      </c>
      <c r="AP44" s="647"/>
      <c r="AQ44" s="650">
        <f>C44+H44+L44+AA44+AB44+AN44+AO44+AP44</f>
        <v>96.110831817801696</v>
      </c>
      <c r="AS44" s="60"/>
    </row>
    <row r="45" spans="1:45" s="62" customFormat="1" ht="12.75" customHeight="1">
      <c r="A45" s="651" t="s">
        <v>274</v>
      </c>
      <c r="B45" s="652"/>
      <c r="C45" s="736">
        <f t="shared" ref="C45:AP45" si="22">SUM(C46:C55)</f>
        <v>0</v>
      </c>
      <c r="D45" s="737">
        <f t="shared" si="22"/>
        <v>0</v>
      </c>
      <c r="E45" s="737">
        <f t="shared" si="22"/>
        <v>0</v>
      </c>
      <c r="F45" s="738">
        <f t="shared" si="22"/>
        <v>0</v>
      </c>
      <c r="G45" s="738">
        <f t="shared" si="22"/>
        <v>0</v>
      </c>
      <c r="H45" s="739">
        <f t="shared" si="22"/>
        <v>0</v>
      </c>
      <c r="I45" s="740">
        <f t="shared" si="22"/>
        <v>0</v>
      </c>
      <c r="J45" s="737">
        <f t="shared" si="22"/>
        <v>0</v>
      </c>
      <c r="K45" s="737">
        <f t="shared" si="22"/>
        <v>0</v>
      </c>
      <c r="L45" s="739">
        <f t="shared" si="22"/>
        <v>5019.9247759387081</v>
      </c>
      <c r="M45" s="737">
        <f t="shared" si="22"/>
        <v>0</v>
      </c>
      <c r="N45" s="737">
        <f t="shared" ref="N45" si="23">SUM(N46:N55)</f>
        <v>0</v>
      </c>
      <c r="O45" s="737">
        <f t="shared" si="22"/>
        <v>0</v>
      </c>
      <c r="P45" s="912">
        <f t="shared" si="22"/>
        <v>821.48002832197096</v>
      </c>
      <c r="Q45" s="737">
        <f t="shared" si="22"/>
        <v>0</v>
      </c>
      <c r="R45" s="737">
        <f t="shared" si="22"/>
        <v>1102.0673096951998</v>
      </c>
      <c r="S45" s="737">
        <f t="shared" si="22"/>
        <v>0</v>
      </c>
      <c r="T45" s="737">
        <f t="shared" si="22"/>
        <v>1.8520724281984335</v>
      </c>
      <c r="U45" s="945">
        <f>SUM(U46:U55)</f>
        <v>3094.5253654933395</v>
      </c>
      <c r="V45" s="737">
        <f t="shared" si="22"/>
        <v>0</v>
      </c>
      <c r="W45" s="738">
        <f t="shared" si="22"/>
        <v>0</v>
      </c>
      <c r="X45" s="738">
        <f t="shared" si="22"/>
        <v>0</v>
      </c>
      <c r="Y45" s="738">
        <f t="shared" si="22"/>
        <v>0</v>
      </c>
      <c r="Z45" s="737">
        <f t="shared" si="22"/>
        <v>0</v>
      </c>
      <c r="AA45" s="739">
        <f t="shared" si="22"/>
        <v>22.560835415583806</v>
      </c>
      <c r="AB45" s="741">
        <f t="shared" si="22"/>
        <v>154.23960204369601</v>
      </c>
      <c r="AC45" s="742">
        <f t="shared" si="22"/>
        <v>0</v>
      </c>
      <c r="AD45" s="737">
        <f t="shared" si="22"/>
        <v>0</v>
      </c>
      <c r="AE45" s="737">
        <f t="shared" si="22"/>
        <v>0</v>
      </c>
      <c r="AF45" s="737">
        <f t="shared" ref="AF45" si="24">SUM(AF46:AF55)</f>
        <v>0</v>
      </c>
      <c r="AG45" s="737">
        <f t="shared" si="22"/>
        <v>0</v>
      </c>
      <c r="AH45" s="737">
        <f t="shared" si="22"/>
        <v>0</v>
      </c>
      <c r="AI45" s="975">
        <f t="shared" si="22"/>
        <v>126.968349188928</v>
      </c>
      <c r="AJ45" s="975">
        <f t="shared" ref="AJ45" si="25">SUM(AJ46:AJ55)</f>
        <v>27.271252854767997</v>
      </c>
      <c r="AK45" s="740">
        <f t="shared" si="22"/>
        <v>0</v>
      </c>
      <c r="AL45" s="738">
        <f t="shared" ref="AL45" si="26">SUM(AL46:AL55)</f>
        <v>0</v>
      </c>
      <c r="AM45" s="737">
        <f t="shared" si="22"/>
        <v>0</v>
      </c>
      <c r="AN45" s="739">
        <f t="shared" si="22"/>
        <v>0</v>
      </c>
      <c r="AO45" s="739">
        <f t="shared" si="22"/>
        <v>5.3733816232262495</v>
      </c>
      <c r="AP45" s="741">
        <f t="shared" si="22"/>
        <v>0</v>
      </c>
      <c r="AQ45" s="743">
        <f t="shared" si="13"/>
        <v>5202.0985950212144</v>
      </c>
      <c r="AR45" s="59"/>
      <c r="AS45" s="61"/>
    </row>
    <row r="46" spans="1:45" s="59" customFormat="1" ht="12.75" customHeight="1">
      <c r="A46" s="744" t="s">
        <v>275</v>
      </c>
      <c r="B46" s="629"/>
      <c r="C46" s="630">
        <f t="shared" ref="C46:C64" si="27">SUM(D46:G46)</f>
        <v>0</v>
      </c>
      <c r="D46" s="745"/>
      <c r="E46" s="678"/>
      <c r="F46" s="633"/>
      <c r="G46" s="633"/>
      <c r="H46" s="634">
        <f t="shared" ref="H46:H64" si="28">SUM(I46:K46)</f>
        <v>0</v>
      </c>
      <c r="I46" s="631"/>
      <c r="J46" s="632"/>
      <c r="K46" s="632"/>
      <c r="L46" s="634">
        <f t="shared" ref="L46:L64" si="29">SUM(M46:Z46)</f>
        <v>702.41214426261672</v>
      </c>
      <c r="M46" s="632"/>
      <c r="N46" s="632"/>
      <c r="O46" s="632"/>
      <c r="P46" s="901"/>
      <c r="Q46" s="632"/>
      <c r="R46" s="632"/>
      <c r="S46" s="632"/>
      <c r="T46" s="632"/>
      <c r="U46" s="933">
        <v>702.41214426261672</v>
      </c>
      <c r="V46" s="632"/>
      <c r="W46" s="633"/>
      <c r="X46" s="633"/>
      <c r="Y46" s="633"/>
      <c r="Z46" s="632"/>
      <c r="AA46" s="637">
        <v>2.9723185667999998E-2</v>
      </c>
      <c r="AB46" s="635">
        <f t="shared" ref="AB46:AB64" si="30">SUM(AC46:AM46)</f>
        <v>30.002374318707627</v>
      </c>
      <c r="AC46" s="636"/>
      <c r="AD46" s="632"/>
      <c r="AE46" s="632"/>
      <c r="AF46" s="632"/>
      <c r="AG46" s="632"/>
      <c r="AH46" s="632"/>
      <c r="AI46" s="967">
        <v>30.002374318707627</v>
      </c>
      <c r="AJ46" s="967">
        <v>0</v>
      </c>
      <c r="AK46" s="631"/>
      <c r="AL46" s="633"/>
      <c r="AM46" s="632"/>
      <c r="AN46" s="634"/>
      <c r="AO46" s="637"/>
      <c r="AP46" s="635"/>
      <c r="AQ46" s="662">
        <f t="shared" si="13"/>
        <v>732.44424176699238</v>
      </c>
      <c r="AS46" s="60"/>
    </row>
    <row r="47" spans="1:45" s="59" customFormat="1" ht="12.75" customHeight="1">
      <c r="A47" s="716" t="s">
        <v>276</v>
      </c>
      <c r="B47" s="746"/>
      <c r="C47" s="583">
        <f t="shared" si="27"/>
        <v>0</v>
      </c>
      <c r="D47" s="747"/>
      <c r="E47" s="748"/>
      <c r="F47" s="723"/>
      <c r="G47" s="723"/>
      <c r="H47" s="587">
        <f t="shared" si="28"/>
        <v>0</v>
      </c>
      <c r="I47" s="722"/>
      <c r="J47" s="639"/>
      <c r="K47" s="639"/>
      <c r="L47" s="721">
        <f t="shared" si="29"/>
        <v>319.57486919365164</v>
      </c>
      <c r="M47" s="639"/>
      <c r="N47" s="639"/>
      <c r="O47" s="639"/>
      <c r="P47" s="913"/>
      <c r="Q47" s="639"/>
      <c r="R47" s="639"/>
      <c r="S47" s="639"/>
      <c r="T47" s="639"/>
      <c r="U47" s="946">
        <v>319.57486919365164</v>
      </c>
      <c r="V47" s="639"/>
      <c r="W47" s="723"/>
      <c r="X47" s="723"/>
      <c r="Y47" s="723"/>
      <c r="Z47" s="639"/>
      <c r="AA47" s="731"/>
      <c r="AB47" s="724">
        <f t="shared" si="30"/>
        <v>13.65011258235765</v>
      </c>
      <c r="AC47" s="725"/>
      <c r="AD47" s="639"/>
      <c r="AE47" s="639"/>
      <c r="AF47" s="639"/>
      <c r="AG47" s="639"/>
      <c r="AH47" s="639"/>
      <c r="AI47" s="970">
        <v>13.65011258235765</v>
      </c>
      <c r="AJ47" s="970">
        <v>0</v>
      </c>
      <c r="AK47" s="722"/>
      <c r="AL47" s="723"/>
      <c r="AM47" s="639"/>
      <c r="AN47" s="721"/>
      <c r="AO47" s="731"/>
      <c r="AP47" s="724"/>
      <c r="AQ47" s="638">
        <f t="shared" si="13"/>
        <v>333.22498177600926</v>
      </c>
      <c r="AS47" s="60"/>
    </row>
    <row r="48" spans="1:45" s="59" customFormat="1" ht="12.75" customHeight="1">
      <c r="A48" s="726" t="s">
        <v>277</v>
      </c>
      <c r="B48" s="582"/>
      <c r="C48" s="583">
        <f t="shared" si="27"/>
        <v>0</v>
      </c>
      <c r="D48" s="584"/>
      <c r="E48" s="594"/>
      <c r="F48" s="586"/>
      <c r="G48" s="586"/>
      <c r="H48" s="587">
        <f t="shared" si="28"/>
        <v>0</v>
      </c>
      <c r="I48" s="588"/>
      <c r="J48" s="589"/>
      <c r="K48" s="589"/>
      <c r="L48" s="587">
        <f t="shared" si="29"/>
        <v>1985.7767970742025</v>
      </c>
      <c r="M48" s="589"/>
      <c r="N48" s="589"/>
      <c r="O48" s="589"/>
      <c r="P48" s="898">
        <v>673.74419325959013</v>
      </c>
      <c r="Q48" s="589"/>
      <c r="R48" s="589"/>
      <c r="S48" s="589"/>
      <c r="T48" s="589">
        <v>1.8520724281984335</v>
      </c>
      <c r="U48" s="930">
        <v>1310.180531386414</v>
      </c>
      <c r="V48" s="589"/>
      <c r="W48" s="586"/>
      <c r="X48" s="586"/>
      <c r="Y48" s="586"/>
      <c r="Z48" s="589"/>
      <c r="AA48" s="592"/>
      <c r="AB48" s="590">
        <f t="shared" si="30"/>
        <v>78.347166728170066</v>
      </c>
      <c r="AC48" s="591"/>
      <c r="AD48" s="589"/>
      <c r="AE48" s="589"/>
      <c r="AF48" s="589"/>
      <c r="AG48" s="589"/>
      <c r="AH48" s="589"/>
      <c r="AI48" s="963">
        <v>55.96219690791942</v>
      </c>
      <c r="AJ48" s="963">
        <v>22.384969820250642</v>
      </c>
      <c r="AK48" s="588"/>
      <c r="AL48" s="586"/>
      <c r="AM48" s="589"/>
      <c r="AN48" s="587"/>
      <c r="AO48" s="592">
        <v>1.0652907432262495</v>
      </c>
      <c r="AP48" s="590"/>
      <c r="AQ48" s="593">
        <f t="shared" si="13"/>
        <v>2065.1892545455989</v>
      </c>
      <c r="AS48" s="60"/>
    </row>
    <row r="49" spans="1:45" s="59" customFormat="1" ht="12.75" customHeight="1">
      <c r="A49" s="726" t="s">
        <v>278</v>
      </c>
      <c r="B49" s="582"/>
      <c r="C49" s="583">
        <f t="shared" si="27"/>
        <v>0</v>
      </c>
      <c r="D49" s="584"/>
      <c r="E49" s="594"/>
      <c r="F49" s="586"/>
      <c r="G49" s="586"/>
      <c r="H49" s="587">
        <f t="shared" si="28"/>
        <v>0</v>
      </c>
      <c r="I49" s="588"/>
      <c r="J49" s="589"/>
      <c r="K49" s="589"/>
      <c r="L49" s="587">
        <f t="shared" si="29"/>
        <v>131.85233821544426</v>
      </c>
      <c r="M49" s="589"/>
      <c r="N49" s="589"/>
      <c r="O49" s="589"/>
      <c r="P49" s="898">
        <v>6.3769522656162847</v>
      </c>
      <c r="Q49" s="589"/>
      <c r="R49" s="589"/>
      <c r="S49" s="589"/>
      <c r="T49" s="589"/>
      <c r="U49" s="930">
        <v>125.47538594982798</v>
      </c>
      <c r="V49" s="589"/>
      <c r="W49" s="586"/>
      <c r="X49" s="586"/>
      <c r="Y49" s="586"/>
      <c r="Z49" s="589"/>
      <c r="AA49" s="592"/>
      <c r="AB49" s="590">
        <f t="shared" si="30"/>
        <v>5.5713463444749705</v>
      </c>
      <c r="AC49" s="591"/>
      <c r="AD49" s="589"/>
      <c r="AE49" s="589"/>
      <c r="AF49" s="589"/>
      <c r="AG49" s="589"/>
      <c r="AH49" s="589"/>
      <c r="AI49" s="963">
        <v>5.3594738186126225</v>
      </c>
      <c r="AJ49" s="963">
        <v>0.21187252586234828</v>
      </c>
      <c r="AK49" s="588"/>
      <c r="AL49" s="586"/>
      <c r="AM49" s="589"/>
      <c r="AN49" s="587"/>
      <c r="AO49" s="592"/>
      <c r="AP49" s="590"/>
      <c r="AQ49" s="593">
        <f t="shared" si="13"/>
        <v>137.42368455991922</v>
      </c>
      <c r="AS49" s="60"/>
    </row>
    <row r="50" spans="1:45" s="59" customFormat="1" ht="12.75" customHeight="1">
      <c r="A50" s="726" t="s">
        <v>24</v>
      </c>
      <c r="B50" s="582"/>
      <c r="C50" s="583">
        <f t="shared" si="27"/>
        <v>0</v>
      </c>
      <c r="D50" s="584"/>
      <c r="E50" s="594"/>
      <c r="F50" s="586"/>
      <c r="G50" s="586"/>
      <c r="H50" s="587">
        <f t="shared" si="28"/>
        <v>0</v>
      </c>
      <c r="I50" s="588"/>
      <c r="J50" s="589"/>
      <c r="K50" s="589"/>
      <c r="L50" s="587">
        <f t="shared" si="29"/>
        <v>38.043221783939138</v>
      </c>
      <c r="M50" s="589"/>
      <c r="N50" s="589"/>
      <c r="O50" s="589"/>
      <c r="P50" s="898"/>
      <c r="Q50" s="589"/>
      <c r="R50" s="749"/>
      <c r="S50" s="589"/>
      <c r="T50" s="589"/>
      <c r="U50" s="930">
        <v>38.043221783939138</v>
      </c>
      <c r="V50" s="589"/>
      <c r="W50" s="586"/>
      <c r="X50" s="586"/>
      <c r="Y50" s="586"/>
      <c r="Z50" s="589"/>
      <c r="AA50" s="592"/>
      <c r="AB50" s="590">
        <f t="shared" si="30"/>
        <v>0</v>
      </c>
      <c r="AC50" s="591"/>
      <c r="AD50" s="589"/>
      <c r="AE50" s="589"/>
      <c r="AF50" s="589"/>
      <c r="AG50" s="589"/>
      <c r="AH50" s="589"/>
      <c r="AI50" s="963">
        <v>0</v>
      </c>
      <c r="AJ50" s="963"/>
      <c r="AK50" s="588"/>
      <c r="AL50" s="586"/>
      <c r="AM50" s="589"/>
      <c r="AN50" s="587"/>
      <c r="AO50" s="592">
        <v>4.30809088</v>
      </c>
      <c r="AP50" s="590"/>
      <c r="AQ50" s="593">
        <f t="shared" si="13"/>
        <v>42.35131266393914</v>
      </c>
      <c r="AS50" s="60"/>
    </row>
    <row r="51" spans="1:45" s="59" customFormat="1" ht="12.75" customHeight="1">
      <c r="A51" s="726" t="s">
        <v>279</v>
      </c>
      <c r="B51" s="582"/>
      <c r="C51" s="583">
        <f t="shared" si="27"/>
        <v>0</v>
      </c>
      <c r="D51" s="584"/>
      <c r="E51" s="594"/>
      <c r="F51" s="586"/>
      <c r="G51" s="586"/>
      <c r="H51" s="587">
        <f t="shared" si="28"/>
        <v>0</v>
      </c>
      <c r="I51" s="588"/>
      <c r="J51" s="589"/>
      <c r="K51" s="589"/>
      <c r="L51" s="587">
        <f t="shared" si="29"/>
        <v>5.5768892778871404</v>
      </c>
      <c r="M51" s="589"/>
      <c r="N51" s="589"/>
      <c r="O51" s="589"/>
      <c r="P51" s="898">
        <v>0.66818888888888883</v>
      </c>
      <c r="Q51" s="589"/>
      <c r="R51" s="589">
        <v>4.9087003889982519</v>
      </c>
      <c r="S51" s="589"/>
      <c r="T51" s="589"/>
      <c r="U51" s="930"/>
      <c r="V51" s="589"/>
      <c r="W51" s="586"/>
      <c r="X51" s="586"/>
      <c r="Y51" s="586"/>
      <c r="Z51" s="589"/>
      <c r="AA51" s="592"/>
      <c r="AB51" s="590">
        <f t="shared" si="30"/>
        <v>0</v>
      </c>
      <c r="AC51" s="591"/>
      <c r="AD51" s="589"/>
      <c r="AE51" s="589"/>
      <c r="AF51" s="589"/>
      <c r="AG51" s="589"/>
      <c r="AH51" s="589"/>
      <c r="AI51" s="963"/>
      <c r="AJ51" s="963"/>
      <c r="AK51" s="588"/>
      <c r="AL51" s="586"/>
      <c r="AM51" s="589"/>
      <c r="AN51" s="587"/>
      <c r="AO51" s="592"/>
      <c r="AP51" s="590"/>
      <c r="AQ51" s="593">
        <f t="shared" si="13"/>
        <v>5.5768892778871404</v>
      </c>
      <c r="AS51" s="60"/>
    </row>
    <row r="52" spans="1:45" s="59" customFormat="1" ht="12.75" customHeight="1">
      <c r="A52" s="726" t="s">
        <v>280</v>
      </c>
      <c r="B52" s="730"/>
      <c r="C52" s="750">
        <f t="shared" si="27"/>
        <v>0</v>
      </c>
      <c r="D52" s="749"/>
      <c r="E52" s="749"/>
      <c r="F52" s="751"/>
      <c r="G52" s="751"/>
      <c r="H52" s="752">
        <f t="shared" si="28"/>
        <v>0</v>
      </c>
      <c r="I52" s="753"/>
      <c r="J52" s="749"/>
      <c r="K52" s="749"/>
      <c r="L52" s="752">
        <f t="shared" si="29"/>
        <v>1097.1586093062015</v>
      </c>
      <c r="M52" s="749"/>
      <c r="N52" s="749"/>
      <c r="O52" s="749"/>
      <c r="P52" s="913"/>
      <c r="Q52" s="749"/>
      <c r="R52" s="749">
        <v>1097.1586093062015</v>
      </c>
      <c r="S52" s="749"/>
      <c r="T52" s="749"/>
      <c r="U52" s="947"/>
      <c r="V52" s="749"/>
      <c r="W52" s="751"/>
      <c r="X52" s="751"/>
      <c r="Y52" s="751"/>
      <c r="Z52" s="749"/>
      <c r="AA52" s="731"/>
      <c r="AB52" s="754">
        <f t="shared" si="30"/>
        <v>0</v>
      </c>
      <c r="AC52" s="755"/>
      <c r="AD52" s="749"/>
      <c r="AE52" s="749"/>
      <c r="AF52" s="749"/>
      <c r="AG52" s="749"/>
      <c r="AH52" s="749"/>
      <c r="AI52" s="976"/>
      <c r="AJ52" s="976"/>
      <c r="AK52" s="722"/>
      <c r="AL52" s="723"/>
      <c r="AM52" s="749"/>
      <c r="AN52" s="731"/>
      <c r="AO52" s="731"/>
      <c r="AP52" s="754"/>
      <c r="AQ52" s="756">
        <f t="shared" si="13"/>
        <v>1097.1586093062015</v>
      </c>
      <c r="AS52" s="60"/>
    </row>
    <row r="53" spans="1:45" s="59" customFormat="1" ht="12.6" customHeight="1">
      <c r="A53" s="726" t="s">
        <v>204</v>
      </c>
      <c r="B53" s="730"/>
      <c r="C53" s="750">
        <f t="shared" si="27"/>
        <v>0</v>
      </c>
      <c r="D53" s="753"/>
      <c r="E53" s="749"/>
      <c r="F53" s="751"/>
      <c r="G53" s="751"/>
      <c r="H53" s="752">
        <f t="shared" si="28"/>
        <v>0</v>
      </c>
      <c r="I53" s="753"/>
      <c r="J53" s="749"/>
      <c r="K53" s="749"/>
      <c r="L53" s="752">
        <f t="shared" si="29"/>
        <v>176.94052908505745</v>
      </c>
      <c r="M53" s="749"/>
      <c r="N53" s="749"/>
      <c r="O53" s="749"/>
      <c r="P53" s="914">
        <v>0</v>
      </c>
      <c r="Q53" s="749"/>
      <c r="R53" s="749"/>
      <c r="S53" s="749"/>
      <c r="T53" s="749"/>
      <c r="U53" s="947">
        <v>176.94052908505745</v>
      </c>
      <c r="V53" s="749"/>
      <c r="W53" s="751"/>
      <c r="X53" s="751"/>
      <c r="Y53" s="751"/>
      <c r="Z53" s="749"/>
      <c r="AA53" s="731"/>
      <c r="AB53" s="754">
        <f t="shared" si="30"/>
        <v>7.5577223843887342</v>
      </c>
      <c r="AC53" s="755"/>
      <c r="AD53" s="749"/>
      <c r="AE53" s="749"/>
      <c r="AF53" s="749"/>
      <c r="AG53" s="749"/>
      <c r="AH53" s="749"/>
      <c r="AI53" s="963">
        <v>7.5577223843887342</v>
      </c>
      <c r="AJ53" s="963">
        <v>0</v>
      </c>
      <c r="AK53" s="749"/>
      <c r="AL53" s="749"/>
      <c r="AM53" s="749"/>
      <c r="AN53" s="731"/>
      <c r="AO53" s="592"/>
      <c r="AP53" s="754"/>
      <c r="AQ53" s="756">
        <f t="shared" si="13"/>
        <v>184.49825146944619</v>
      </c>
      <c r="AS53" s="310"/>
    </row>
    <row r="54" spans="1:45" s="59" customFormat="1" ht="12.75" customHeight="1">
      <c r="A54" s="581" t="s">
        <v>170</v>
      </c>
      <c r="B54" s="582"/>
      <c r="C54" s="750">
        <f t="shared" si="27"/>
        <v>0</v>
      </c>
      <c r="D54" s="753"/>
      <c r="E54" s="749"/>
      <c r="F54" s="751"/>
      <c r="G54" s="751"/>
      <c r="H54" s="752">
        <f t="shared" si="28"/>
        <v>0</v>
      </c>
      <c r="I54" s="753"/>
      <c r="J54" s="749"/>
      <c r="K54" s="749"/>
      <c r="L54" s="752">
        <f t="shared" si="29"/>
        <v>83.913724293678101</v>
      </c>
      <c r="M54" s="749"/>
      <c r="N54" s="749"/>
      <c r="O54" s="749"/>
      <c r="P54" s="914"/>
      <c r="Q54" s="749"/>
      <c r="R54" s="749"/>
      <c r="S54" s="749"/>
      <c r="T54" s="749"/>
      <c r="U54" s="947">
        <v>83.913724293678101</v>
      </c>
      <c r="V54" s="749"/>
      <c r="W54" s="751"/>
      <c r="X54" s="751"/>
      <c r="Y54" s="751"/>
      <c r="Z54" s="749"/>
      <c r="AA54" s="688"/>
      <c r="AB54" s="754">
        <f t="shared" si="30"/>
        <v>0</v>
      </c>
      <c r="AC54" s="755"/>
      <c r="AD54" s="749"/>
      <c r="AE54" s="749"/>
      <c r="AF54" s="749"/>
      <c r="AG54" s="749"/>
      <c r="AH54" s="749"/>
      <c r="AI54" s="976"/>
      <c r="AJ54" s="976"/>
      <c r="AK54" s="749"/>
      <c r="AL54" s="749"/>
      <c r="AM54" s="749"/>
      <c r="AN54" s="688"/>
      <c r="AO54" s="731"/>
      <c r="AP54" s="754"/>
      <c r="AQ54" s="756">
        <f t="shared" si="13"/>
        <v>83.913724293678101</v>
      </c>
      <c r="AS54" s="310"/>
    </row>
    <row r="55" spans="1:45" s="59" customFormat="1" ht="12.75" customHeight="1">
      <c r="A55" s="640" t="s">
        <v>205</v>
      </c>
      <c r="B55" s="641"/>
      <c r="C55" s="642">
        <f t="shared" si="27"/>
        <v>0</v>
      </c>
      <c r="D55" s="757"/>
      <c r="E55" s="758"/>
      <c r="F55" s="645"/>
      <c r="G55" s="645"/>
      <c r="H55" s="646">
        <f t="shared" si="28"/>
        <v>0</v>
      </c>
      <c r="I55" s="643"/>
      <c r="J55" s="644"/>
      <c r="K55" s="644"/>
      <c r="L55" s="646">
        <f t="shared" si="29"/>
        <v>478.67565344603031</v>
      </c>
      <c r="M55" s="644"/>
      <c r="N55" s="644"/>
      <c r="O55" s="644"/>
      <c r="P55" s="902">
        <v>140.69069390787573</v>
      </c>
      <c r="Q55" s="644"/>
      <c r="R55" s="644"/>
      <c r="S55" s="644">
        <v>0</v>
      </c>
      <c r="T55" s="644"/>
      <c r="U55" s="934">
        <v>337.98495953815461</v>
      </c>
      <c r="V55" s="644"/>
      <c r="W55" s="645"/>
      <c r="X55" s="645"/>
      <c r="Y55" s="645"/>
      <c r="Z55" s="644"/>
      <c r="AA55" s="649">
        <v>22.531112229915806</v>
      </c>
      <c r="AB55" s="647">
        <f t="shared" si="30"/>
        <v>19.110879685596952</v>
      </c>
      <c r="AC55" s="648"/>
      <c r="AD55" s="644"/>
      <c r="AE55" s="644"/>
      <c r="AF55" s="644"/>
      <c r="AG55" s="644"/>
      <c r="AH55" s="644"/>
      <c r="AI55" s="968">
        <v>14.436469176941943</v>
      </c>
      <c r="AJ55" s="968">
        <v>4.6744105086550087</v>
      </c>
      <c r="AK55" s="643"/>
      <c r="AL55" s="645"/>
      <c r="AM55" s="644"/>
      <c r="AN55" s="646"/>
      <c r="AO55" s="649"/>
      <c r="AP55" s="647"/>
      <c r="AQ55" s="650">
        <f t="shared" si="13"/>
        <v>520.3176453615431</v>
      </c>
      <c r="AR55" s="523"/>
      <c r="AS55" s="310"/>
    </row>
    <row r="56" spans="1:45" s="62" customFormat="1" ht="12.75" customHeight="1">
      <c r="A56" s="759" t="s">
        <v>281</v>
      </c>
      <c r="B56" s="760"/>
      <c r="C56" s="761">
        <f t="shared" si="27"/>
        <v>245.30288163122782</v>
      </c>
      <c r="D56" s="762">
        <v>84.19758326883435</v>
      </c>
      <c r="E56" s="585">
        <v>153.30941368399715</v>
      </c>
      <c r="F56" s="763"/>
      <c r="G56" s="763">
        <v>7.795884678396293</v>
      </c>
      <c r="H56" s="764">
        <f t="shared" si="28"/>
        <v>196.53880633</v>
      </c>
      <c r="I56" s="762"/>
      <c r="J56" s="660">
        <v>127.70399999999999</v>
      </c>
      <c r="K56" s="660">
        <v>68.834806329999992</v>
      </c>
      <c r="L56" s="764">
        <f t="shared" si="29"/>
        <v>1204.833103126648</v>
      </c>
      <c r="M56" s="660"/>
      <c r="N56" s="660"/>
      <c r="O56" s="660"/>
      <c r="P56" s="915">
        <v>0</v>
      </c>
      <c r="Q56" s="660">
        <v>863.40024232349867</v>
      </c>
      <c r="R56" s="660"/>
      <c r="S56" s="660">
        <v>0</v>
      </c>
      <c r="T56" s="660">
        <v>53.841522983216713</v>
      </c>
      <c r="U56" s="948">
        <v>284.08105108362315</v>
      </c>
      <c r="V56" s="660">
        <v>3.5102867363093639</v>
      </c>
      <c r="W56" s="763"/>
      <c r="X56" s="763"/>
      <c r="Y56" s="763"/>
      <c r="Z56" s="660"/>
      <c r="AA56" s="764">
        <v>604.09375845912712</v>
      </c>
      <c r="AB56" s="765">
        <f t="shared" si="30"/>
        <v>72.095627568998594</v>
      </c>
      <c r="AC56" s="766"/>
      <c r="AD56" s="660"/>
      <c r="AE56" s="660">
        <v>30.588864173321877</v>
      </c>
      <c r="AF56" s="660"/>
      <c r="AG56" s="660"/>
      <c r="AH56" s="660"/>
      <c r="AI56" s="969"/>
      <c r="AJ56" s="969"/>
      <c r="AK56" s="762"/>
      <c r="AL56" s="763">
        <v>13.379590942008413</v>
      </c>
      <c r="AM56" s="660">
        <v>28.127172453668308</v>
      </c>
      <c r="AN56" s="764"/>
      <c r="AO56" s="764">
        <v>702.94473599999992</v>
      </c>
      <c r="AP56" s="765"/>
      <c r="AQ56" s="661">
        <f t="shared" si="13"/>
        <v>3025.8089131160013</v>
      </c>
      <c r="AR56" s="523"/>
      <c r="AS56" s="61"/>
    </row>
    <row r="57" spans="1:45" s="62" customFormat="1" ht="12.75" customHeight="1">
      <c r="A57" s="759" t="s">
        <v>1108</v>
      </c>
      <c r="B57" s="760"/>
      <c r="C57" s="761">
        <f>C58+C65</f>
        <v>0.53991879699248124</v>
      </c>
      <c r="D57" s="660">
        <f t="shared" ref="D57:AP57" si="31">D58+D65</f>
        <v>0.53991879699248124</v>
      </c>
      <c r="E57" s="660">
        <f t="shared" si="31"/>
        <v>0</v>
      </c>
      <c r="F57" s="763">
        <f t="shared" si="31"/>
        <v>0</v>
      </c>
      <c r="G57" s="763">
        <f t="shared" si="31"/>
        <v>0</v>
      </c>
      <c r="H57" s="764">
        <f t="shared" si="31"/>
        <v>0</v>
      </c>
      <c r="I57" s="762">
        <f t="shared" si="31"/>
        <v>0</v>
      </c>
      <c r="J57" s="762">
        <f t="shared" si="31"/>
        <v>0</v>
      </c>
      <c r="K57" s="762">
        <f t="shared" si="31"/>
        <v>0</v>
      </c>
      <c r="L57" s="764">
        <f t="shared" si="31"/>
        <v>263.55542937744985</v>
      </c>
      <c r="M57" s="660">
        <f t="shared" si="31"/>
        <v>0</v>
      </c>
      <c r="N57" s="660">
        <f t="shared" si="31"/>
        <v>0</v>
      </c>
      <c r="O57" s="660">
        <f t="shared" si="31"/>
        <v>0</v>
      </c>
      <c r="P57" s="915">
        <f t="shared" si="31"/>
        <v>0</v>
      </c>
      <c r="Q57" s="660">
        <f t="shared" si="31"/>
        <v>73.683977149948603</v>
      </c>
      <c r="R57" s="660">
        <f t="shared" si="31"/>
        <v>0</v>
      </c>
      <c r="S57" s="660">
        <f t="shared" si="31"/>
        <v>0.64284746861564912</v>
      </c>
      <c r="T57" s="660">
        <f t="shared" si="31"/>
        <v>69.72090857001308</v>
      </c>
      <c r="U57" s="948">
        <f t="shared" si="31"/>
        <v>119.50730406570531</v>
      </c>
      <c r="V57" s="660">
        <f t="shared" si="31"/>
        <v>3.9212316723240829E-4</v>
      </c>
      <c r="W57" s="763">
        <f t="shared" si="31"/>
        <v>0</v>
      </c>
      <c r="X57" s="763">
        <f t="shared" si="31"/>
        <v>0</v>
      </c>
      <c r="Y57" s="763">
        <f t="shared" si="31"/>
        <v>0</v>
      </c>
      <c r="Z57" s="762">
        <f t="shared" si="31"/>
        <v>0</v>
      </c>
      <c r="AA57" s="764">
        <f t="shared" si="31"/>
        <v>397.69184770224592</v>
      </c>
      <c r="AB57" s="765">
        <f t="shared" si="31"/>
        <v>41.379323582548558</v>
      </c>
      <c r="AC57" s="766">
        <f t="shared" si="31"/>
        <v>0</v>
      </c>
      <c r="AD57" s="660">
        <f t="shared" si="31"/>
        <v>0</v>
      </c>
      <c r="AE57" s="660">
        <f t="shared" si="31"/>
        <v>17.99312324724</v>
      </c>
      <c r="AF57" s="660">
        <f t="shared" si="31"/>
        <v>0</v>
      </c>
      <c r="AG57" s="660">
        <f t="shared" si="31"/>
        <v>0</v>
      </c>
      <c r="AH57" s="660">
        <f t="shared" si="31"/>
        <v>7.541555368675982</v>
      </c>
      <c r="AI57" s="969">
        <f t="shared" si="31"/>
        <v>0</v>
      </c>
      <c r="AJ57" s="969">
        <f t="shared" si="31"/>
        <v>0</v>
      </c>
      <c r="AK57" s="660">
        <f t="shared" si="31"/>
        <v>0</v>
      </c>
      <c r="AL57" s="660">
        <f t="shared" si="31"/>
        <v>0.16649466165720572</v>
      </c>
      <c r="AM57" s="762">
        <f t="shared" si="31"/>
        <v>15.678150304975372</v>
      </c>
      <c r="AN57" s="764">
        <f t="shared" si="31"/>
        <v>0</v>
      </c>
      <c r="AO57" s="764">
        <f t="shared" si="31"/>
        <v>1019.3925755397834</v>
      </c>
      <c r="AP57" s="765">
        <f t="shared" si="31"/>
        <v>0</v>
      </c>
      <c r="AQ57" s="767">
        <f t="shared" si="13"/>
        <v>1722.5590949990201</v>
      </c>
      <c r="AR57" s="59"/>
      <c r="AS57" s="61"/>
    </row>
    <row r="58" spans="1:45" s="59" customFormat="1" ht="12.75" customHeight="1">
      <c r="A58" s="759" t="s">
        <v>1109</v>
      </c>
      <c r="B58" s="760"/>
      <c r="C58" s="761">
        <f t="shared" si="27"/>
        <v>0.53991879699248124</v>
      </c>
      <c r="D58" s="766">
        <v>0.53991879699248124</v>
      </c>
      <c r="E58" s="765">
        <v>0</v>
      </c>
      <c r="F58" s="765">
        <f>SUM(F59:F64)</f>
        <v>0</v>
      </c>
      <c r="G58" s="768">
        <v>0</v>
      </c>
      <c r="H58" s="764">
        <f t="shared" si="28"/>
        <v>0</v>
      </c>
      <c r="I58" s="762">
        <f>SUM(I59:I64)</f>
        <v>0</v>
      </c>
      <c r="J58" s="762">
        <f>SUM(J59:J64)</f>
        <v>0</v>
      </c>
      <c r="K58" s="762">
        <f>SUM(K59:K64)</f>
        <v>0</v>
      </c>
      <c r="L58" s="764">
        <f t="shared" si="29"/>
        <v>123.39297948584372</v>
      </c>
      <c r="M58" s="660">
        <f t="shared" ref="M58:AN58" si="32">SUM(M59:M64)</f>
        <v>0</v>
      </c>
      <c r="N58" s="763">
        <f t="shared" si="32"/>
        <v>0</v>
      </c>
      <c r="O58" s="763">
        <f t="shared" si="32"/>
        <v>0</v>
      </c>
      <c r="P58" s="916">
        <f t="shared" si="32"/>
        <v>0</v>
      </c>
      <c r="Q58" s="765">
        <v>25.817592108194308</v>
      </c>
      <c r="R58" s="765">
        <f t="shared" si="32"/>
        <v>0</v>
      </c>
      <c r="S58" s="765">
        <v>0</v>
      </c>
      <c r="T58" s="765">
        <v>53.639757659500326</v>
      </c>
      <c r="U58" s="949">
        <v>43.935237594981864</v>
      </c>
      <c r="V58" s="765">
        <f t="shared" si="32"/>
        <v>3.9212316723240829E-4</v>
      </c>
      <c r="W58" s="765">
        <f t="shared" si="32"/>
        <v>0</v>
      </c>
      <c r="X58" s="765">
        <f t="shared" si="32"/>
        <v>0</v>
      </c>
      <c r="Y58" s="763">
        <f t="shared" si="32"/>
        <v>0</v>
      </c>
      <c r="Z58" s="762">
        <f t="shared" si="32"/>
        <v>0</v>
      </c>
      <c r="AA58" s="764">
        <v>205.61511570855646</v>
      </c>
      <c r="AB58" s="765">
        <f t="shared" si="30"/>
        <v>23.586836774290585</v>
      </c>
      <c r="AC58" s="766">
        <f t="shared" si="32"/>
        <v>0</v>
      </c>
      <c r="AD58" s="660">
        <f t="shared" si="32"/>
        <v>0</v>
      </c>
      <c r="AE58" s="660">
        <f t="shared" si="32"/>
        <v>5.0179504193776099</v>
      </c>
      <c r="AF58" s="660"/>
      <c r="AG58" s="660">
        <f t="shared" si="32"/>
        <v>0</v>
      </c>
      <c r="AH58" s="660">
        <f t="shared" si="32"/>
        <v>2.7242413882803982</v>
      </c>
      <c r="AI58" s="969">
        <f t="shared" si="32"/>
        <v>0</v>
      </c>
      <c r="AJ58" s="969">
        <f t="shared" si="32"/>
        <v>0</v>
      </c>
      <c r="AK58" s="660"/>
      <c r="AL58" s="660">
        <v>0.16649466165720572</v>
      </c>
      <c r="AM58" s="763">
        <v>15.678150304975372</v>
      </c>
      <c r="AN58" s="764">
        <f t="shared" si="32"/>
        <v>0</v>
      </c>
      <c r="AO58" s="764">
        <v>684.51532146142654</v>
      </c>
      <c r="AP58" s="765">
        <f t="shared" ref="AP58" si="33">SUM(AP59:AP64)</f>
        <v>0</v>
      </c>
      <c r="AQ58" s="767">
        <f t="shared" si="13"/>
        <v>1037.6501722271098</v>
      </c>
      <c r="AS58" s="60"/>
    </row>
    <row r="59" spans="1:45" s="69" customFormat="1" ht="12.75" customHeight="1">
      <c r="A59" s="769" t="s">
        <v>1110</v>
      </c>
      <c r="B59" s="770" t="s">
        <v>1111</v>
      </c>
      <c r="C59" s="630">
        <f t="shared" si="27"/>
        <v>9.9984962406015031E-3</v>
      </c>
      <c r="D59" s="771">
        <v>9.9984962406015031E-3</v>
      </c>
      <c r="E59" s="635"/>
      <c r="F59" s="635"/>
      <c r="G59" s="676"/>
      <c r="H59" s="634">
        <f t="shared" si="28"/>
        <v>0</v>
      </c>
      <c r="I59" s="745"/>
      <c r="J59" s="745"/>
      <c r="K59" s="745"/>
      <c r="L59" s="634">
        <f t="shared" si="29"/>
        <v>32.327049654868127</v>
      </c>
      <c r="M59" s="678"/>
      <c r="N59" s="772"/>
      <c r="O59" s="772"/>
      <c r="P59" s="917"/>
      <c r="Q59" s="773">
        <v>8.0278057943609493</v>
      </c>
      <c r="R59" s="635"/>
      <c r="S59" s="773">
        <v>0</v>
      </c>
      <c r="T59" s="773">
        <v>15.105482293518097</v>
      </c>
      <c r="U59" s="950">
        <v>9.19376156698908</v>
      </c>
      <c r="V59" s="773">
        <v>0</v>
      </c>
      <c r="W59" s="635"/>
      <c r="X59" s="635"/>
      <c r="Y59" s="772"/>
      <c r="Z59" s="745"/>
      <c r="AA59" s="774">
        <v>57.532573159401849</v>
      </c>
      <c r="AB59" s="635">
        <f t="shared" si="30"/>
        <v>1.2773333532141125</v>
      </c>
      <c r="AC59" s="775"/>
      <c r="AD59" s="678"/>
      <c r="AE59" s="776">
        <v>1.2773333532141125</v>
      </c>
      <c r="AF59" s="776"/>
      <c r="AG59" s="776"/>
      <c r="AH59" s="776">
        <v>0</v>
      </c>
      <c r="AI59" s="977"/>
      <c r="AJ59" s="977"/>
      <c r="AK59" s="776"/>
      <c r="AL59" s="776">
        <v>0</v>
      </c>
      <c r="AM59" s="777">
        <v>0</v>
      </c>
      <c r="AN59" s="634"/>
      <c r="AO59" s="774">
        <v>227.43297899256885</v>
      </c>
      <c r="AP59" s="635"/>
      <c r="AQ59" s="778">
        <f t="shared" si="13"/>
        <v>318.57993365629352</v>
      </c>
      <c r="AS59" s="60"/>
    </row>
    <row r="60" spans="1:45" s="69" customFormat="1" ht="12.75" customHeight="1">
      <c r="A60" s="769" t="s">
        <v>1112</v>
      </c>
      <c r="B60" s="770" t="s">
        <v>1113</v>
      </c>
      <c r="C60" s="583">
        <f t="shared" si="27"/>
        <v>1.0998345864661654E-2</v>
      </c>
      <c r="D60" s="771">
        <v>1.0998345864661654E-2</v>
      </c>
      <c r="E60" s="590"/>
      <c r="F60" s="590"/>
      <c r="G60" s="779"/>
      <c r="H60" s="587">
        <f t="shared" si="28"/>
        <v>0</v>
      </c>
      <c r="I60" s="584"/>
      <c r="J60" s="584"/>
      <c r="K60" s="584"/>
      <c r="L60" s="587">
        <f t="shared" si="29"/>
        <v>24.137833390343388</v>
      </c>
      <c r="M60" s="594"/>
      <c r="N60" s="585"/>
      <c r="O60" s="585"/>
      <c r="P60" s="918"/>
      <c r="Q60" s="773">
        <v>5.3543303518790886</v>
      </c>
      <c r="R60" s="590"/>
      <c r="S60" s="773">
        <v>0</v>
      </c>
      <c r="T60" s="773">
        <v>5.393987425308894</v>
      </c>
      <c r="U60" s="950">
        <v>13.389515613155407</v>
      </c>
      <c r="V60" s="773">
        <v>0</v>
      </c>
      <c r="W60" s="590"/>
      <c r="X60" s="590"/>
      <c r="Y60" s="585"/>
      <c r="Z60" s="584"/>
      <c r="AA60" s="774">
        <v>17.076846566169994</v>
      </c>
      <c r="AB60" s="590">
        <f t="shared" si="30"/>
        <v>6.7770858417357749E-2</v>
      </c>
      <c r="AC60" s="780"/>
      <c r="AD60" s="594"/>
      <c r="AE60" s="781">
        <v>6.7770858417357749E-2</v>
      </c>
      <c r="AF60" s="781"/>
      <c r="AG60" s="781"/>
      <c r="AH60" s="781">
        <v>0</v>
      </c>
      <c r="AI60" s="978"/>
      <c r="AJ60" s="978"/>
      <c r="AK60" s="781"/>
      <c r="AL60" s="781">
        <v>0</v>
      </c>
      <c r="AM60" s="782">
        <v>0</v>
      </c>
      <c r="AN60" s="587"/>
      <c r="AO60" s="774">
        <v>69.841724309024471</v>
      </c>
      <c r="AP60" s="590"/>
      <c r="AQ60" s="783">
        <f t="shared" si="13"/>
        <v>111.13517346981988</v>
      </c>
      <c r="AS60" s="60"/>
    </row>
    <row r="61" spans="1:45" s="69" customFormat="1" ht="12.75" customHeight="1">
      <c r="A61" s="769" t="s">
        <v>1114</v>
      </c>
      <c r="B61" s="770" t="s">
        <v>1115</v>
      </c>
      <c r="C61" s="583">
        <f t="shared" si="27"/>
        <v>0.48392721804511274</v>
      </c>
      <c r="D61" s="771">
        <v>0.48392721804511274</v>
      </c>
      <c r="E61" s="590"/>
      <c r="F61" s="590"/>
      <c r="G61" s="779"/>
      <c r="H61" s="587">
        <f t="shared" si="28"/>
        <v>0</v>
      </c>
      <c r="I61" s="584"/>
      <c r="J61" s="584"/>
      <c r="K61" s="584"/>
      <c r="L61" s="587">
        <f t="shared" si="29"/>
        <v>31.333616383670492</v>
      </c>
      <c r="M61" s="594"/>
      <c r="N61" s="585"/>
      <c r="O61" s="585"/>
      <c r="P61" s="918"/>
      <c r="Q61" s="773">
        <v>4.9790317487546645</v>
      </c>
      <c r="R61" s="590"/>
      <c r="S61" s="773">
        <v>0</v>
      </c>
      <c r="T61" s="773">
        <v>19.202826984364982</v>
      </c>
      <c r="U61" s="950">
        <v>7.1517576505508451</v>
      </c>
      <c r="V61" s="773">
        <v>0</v>
      </c>
      <c r="W61" s="590"/>
      <c r="X61" s="590"/>
      <c r="Y61" s="585"/>
      <c r="Z61" s="584"/>
      <c r="AA61" s="774">
        <v>37.147190784142389</v>
      </c>
      <c r="AB61" s="590">
        <f t="shared" si="30"/>
        <v>2.1318354810851448</v>
      </c>
      <c r="AC61" s="780"/>
      <c r="AD61" s="594"/>
      <c r="AE61" s="781">
        <v>2.1318354810851448</v>
      </c>
      <c r="AF61" s="781"/>
      <c r="AG61" s="781"/>
      <c r="AH61" s="781">
        <v>0</v>
      </c>
      <c r="AI61" s="978"/>
      <c r="AJ61" s="978"/>
      <c r="AK61" s="781"/>
      <c r="AL61" s="781">
        <v>0</v>
      </c>
      <c r="AM61" s="782">
        <v>0</v>
      </c>
      <c r="AN61" s="587"/>
      <c r="AO61" s="774">
        <v>87.896378653102275</v>
      </c>
      <c r="AP61" s="590"/>
      <c r="AQ61" s="783">
        <f t="shared" si="13"/>
        <v>158.99294852004542</v>
      </c>
      <c r="AS61" s="60"/>
    </row>
    <row r="62" spans="1:45" s="69" customFormat="1" ht="12.75" customHeight="1">
      <c r="A62" s="769" t="s">
        <v>1116</v>
      </c>
      <c r="B62" s="770" t="s">
        <v>1117</v>
      </c>
      <c r="C62" s="583">
        <f t="shared" si="27"/>
        <v>0</v>
      </c>
      <c r="D62" s="771">
        <v>0</v>
      </c>
      <c r="E62" s="590"/>
      <c r="F62" s="590"/>
      <c r="G62" s="779"/>
      <c r="H62" s="587">
        <f t="shared" si="28"/>
        <v>0</v>
      </c>
      <c r="I62" s="584"/>
      <c r="J62" s="584"/>
      <c r="K62" s="584"/>
      <c r="L62" s="587">
        <f t="shared" si="29"/>
        <v>5.4379501694305112</v>
      </c>
      <c r="M62" s="594"/>
      <c r="N62" s="585"/>
      <c r="O62" s="585"/>
      <c r="P62" s="918"/>
      <c r="Q62" s="773">
        <v>1.5602301478206442</v>
      </c>
      <c r="R62" s="590"/>
      <c r="S62" s="773">
        <v>0</v>
      </c>
      <c r="T62" s="773">
        <v>1.6396331271347122</v>
      </c>
      <c r="U62" s="950">
        <v>2.2380868944751544</v>
      </c>
      <c r="V62" s="773">
        <v>0</v>
      </c>
      <c r="W62" s="590"/>
      <c r="X62" s="590"/>
      <c r="Y62" s="585"/>
      <c r="Z62" s="584"/>
      <c r="AA62" s="774">
        <v>9.7954001243574229</v>
      </c>
      <c r="AB62" s="590">
        <f t="shared" si="30"/>
        <v>3.8305267801115254E-2</v>
      </c>
      <c r="AC62" s="780"/>
      <c r="AD62" s="594"/>
      <c r="AE62" s="781">
        <v>3.8305267801115254E-2</v>
      </c>
      <c r="AF62" s="781"/>
      <c r="AG62" s="781"/>
      <c r="AH62" s="781">
        <v>0</v>
      </c>
      <c r="AI62" s="978"/>
      <c r="AJ62" s="978"/>
      <c r="AK62" s="781"/>
      <c r="AL62" s="781">
        <v>0</v>
      </c>
      <c r="AM62" s="782">
        <v>0</v>
      </c>
      <c r="AN62" s="587"/>
      <c r="AO62" s="774">
        <v>168.21982573047418</v>
      </c>
      <c r="AP62" s="590"/>
      <c r="AQ62" s="783">
        <f t="shared" si="13"/>
        <v>183.49148129206324</v>
      </c>
      <c r="AS62" s="60"/>
    </row>
    <row r="63" spans="1:45" s="69" customFormat="1" ht="12.75" customHeight="1">
      <c r="A63" s="769" t="s">
        <v>1118</v>
      </c>
      <c r="B63" s="770" t="s">
        <v>1119</v>
      </c>
      <c r="C63" s="583">
        <f t="shared" si="27"/>
        <v>3.4994736842105266E-2</v>
      </c>
      <c r="D63" s="784">
        <v>3.4994736842105266E-2</v>
      </c>
      <c r="E63" s="590"/>
      <c r="F63" s="590"/>
      <c r="G63" s="779"/>
      <c r="H63" s="587">
        <f t="shared" si="28"/>
        <v>0</v>
      </c>
      <c r="I63" s="584"/>
      <c r="J63" s="584"/>
      <c r="K63" s="584"/>
      <c r="L63" s="587">
        <f t="shared" si="29"/>
        <v>2.5994355613729017</v>
      </c>
      <c r="M63" s="594"/>
      <c r="N63" s="585"/>
      <c r="O63" s="585"/>
      <c r="P63" s="918"/>
      <c r="Q63" s="785">
        <v>0.92243336442098911</v>
      </c>
      <c r="R63" s="590"/>
      <c r="S63" s="785">
        <v>0</v>
      </c>
      <c r="T63" s="785">
        <v>0.18424146092891816</v>
      </c>
      <c r="U63" s="951">
        <v>1.4927607360229946</v>
      </c>
      <c r="V63" s="785">
        <v>0</v>
      </c>
      <c r="W63" s="590"/>
      <c r="X63" s="590"/>
      <c r="Y63" s="585"/>
      <c r="Z63" s="584"/>
      <c r="AA63" s="786">
        <v>15.333339022313094</v>
      </c>
      <c r="AB63" s="590">
        <f t="shared" si="30"/>
        <v>0</v>
      </c>
      <c r="AC63" s="780"/>
      <c r="AD63" s="594"/>
      <c r="AE63" s="781">
        <v>0</v>
      </c>
      <c r="AF63" s="781"/>
      <c r="AG63" s="781"/>
      <c r="AH63" s="781">
        <v>0</v>
      </c>
      <c r="AI63" s="978"/>
      <c r="AJ63" s="978"/>
      <c r="AK63" s="781"/>
      <c r="AL63" s="781">
        <v>0</v>
      </c>
      <c r="AM63" s="782">
        <v>0</v>
      </c>
      <c r="AN63" s="587"/>
      <c r="AO63" s="786">
        <v>37.594013086148287</v>
      </c>
      <c r="AP63" s="590"/>
      <c r="AQ63" s="783">
        <f t="shared" si="13"/>
        <v>55.561782406676386</v>
      </c>
      <c r="AS63" s="60"/>
    </row>
    <row r="64" spans="1:45" s="69" customFormat="1" ht="12.75" customHeight="1">
      <c r="A64" s="787" t="s">
        <v>1120</v>
      </c>
      <c r="B64" s="788"/>
      <c r="C64" s="642">
        <f t="shared" si="27"/>
        <v>0</v>
      </c>
      <c r="D64" s="784">
        <v>0</v>
      </c>
      <c r="E64" s="647"/>
      <c r="F64" s="647"/>
      <c r="G64" s="789"/>
      <c r="H64" s="646">
        <f t="shared" si="28"/>
        <v>0</v>
      </c>
      <c r="I64" s="757"/>
      <c r="J64" s="757"/>
      <c r="K64" s="757"/>
      <c r="L64" s="646">
        <f t="shared" si="29"/>
        <v>27.557094326158314</v>
      </c>
      <c r="M64" s="758"/>
      <c r="N64" s="790"/>
      <c r="O64" s="790"/>
      <c r="P64" s="919"/>
      <c r="Q64" s="785">
        <v>4.9737607009579721</v>
      </c>
      <c r="R64" s="647"/>
      <c r="S64" s="785">
        <v>0</v>
      </c>
      <c r="T64" s="785">
        <v>12.11358636824472</v>
      </c>
      <c r="U64" s="951">
        <v>10.469355133788389</v>
      </c>
      <c r="V64" s="785">
        <v>3.9212316723240829E-4</v>
      </c>
      <c r="W64" s="647"/>
      <c r="X64" s="647"/>
      <c r="Y64" s="790"/>
      <c r="Z64" s="757"/>
      <c r="AA64" s="786">
        <v>68.729766052171726</v>
      </c>
      <c r="AB64" s="647">
        <f t="shared" si="30"/>
        <v>20.071591813772855</v>
      </c>
      <c r="AC64" s="791"/>
      <c r="AD64" s="758"/>
      <c r="AE64" s="792">
        <v>1.5027054588598796</v>
      </c>
      <c r="AF64" s="792"/>
      <c r="AG64" s="792"/>
      <c r="AH64" s="792">
        <v>2.7242413882803982</v>
      </c>
      <c r="AI64" s="979"/>
      <c r="AJ64" s="979"/>
      <c r="AK64" s="792"/>
      <c r="AL64" s="792">
        <v>0.16649466165720572</v>
      </c>
      <c r="AM64" s="793">
        <v>15.678150304975372</v>
      </c>
      <c r="AN64" s="646"/>
      <c r="AO64" s="786">
        <v>93.530400690108436</v>
      </c>
      <c r="AP64" s="647"/>
      <c r="AQ64" s="794">
        <f t="shared" si="13"/>
        <v>209.88885288221132</v>
      </c>
      <c r="AS64" s="60"/>
    </row>
    <row r="65" spans="1:45" s="59" customFormat="1" ht="12.75" customHeight="1">
      <c r="A65" s="759" t="s">
        <v>1121</v>
      </c>
      <c r="B65" s="760"/>
      <c r="C65" s="642">
        <f>SUM(D65:G65)</f>
        <v>0</v>
      </c>
      <c r="D65" s="766">
        <f>SUM(D66:D69)</f>
        <v>0</v>
      </c>
      <c r="E65" s="734"/>
      <c r="F65" s="734"/>
      <c r="G65" s="735"/>
      <c r="H65" s="646">
        <f>SUM(I65:K65)</f>
        <v>0</v>
      </c>
      <c r="I65" s="643"/>
      <c r="J65" s="644">
        <v>0</v>
      </c>
      <c r="K65" s="644">
        <v>0</v>
      </c>
      <c r="L65" s="646">
        <f>SUM(M65:Z65)</f>
        <v>140.16244989160612</v>
      </c>
      <c r="M65" s="644"/>
      <c r="N65" s="645"/>
      <c r="O65" s="645"/>
      <c r="P65" s="920"/>
      <c r="Q65" s="765">
        <v>47.866385041754299</v>
      </c>
      <c r="R65" s="734"/>
      <c r="S65" s="765">
        <v>0.64284746861564912</v>
      </c>
      <c r="T65" s="765">
        <v>16.081150910512747</v>
      </c>
      <c r="U65" s="949">
        <v>75.572066470723442</v>
      </c>
      <c r="V65" s="765">
        <f>SUM(V66:V69)</f>
        <v>0</v>
      </c>
      <c r="W65" s="734"/>
      <c r="X65" s="734"/>
      <c r="Y65" s="645"/>
      <c r="Z65" s="644"/>
      <c r="AA65" s="764">
        <v>192.07673199368949</v>
      </c>
      <c r="AB65" s="647">
        <f>SUM(AC65:AM65)</f>
        <v>17.792486808257973</v>
      </c>
      <c r="AC65" s="648"/>
      <c r="AD65" s="644"/>
      <c r="AE65" s="644">
        <f>SUM(AE66:AE69)</f>
        <v>12.975172827862389</v>
      </c>
      <c r="AF65" s="644"/>
      <c r="AG65" s="644"/>
      <c r="AH65" s="644">
        <v>4.8173139803955838</v>
      </c>
      <c r="AI65" s="968"/>
      <c r="AJ65" s="968"/>
      <c r="AK65" s="644"/>
      <c r="AL65" s="644"/>
      <c r="AM65" s="645"/>
      <c r="AN65" s="646"/>
      <c r="AO65" s="764">
        <v>334.87725407835688</v>
      </c>
      <c r="AP65" s="647"/>
      <c r="AQ65" s="795">
        <f t="shared" si="13"/>
        <v>684.90892277191051</v>
      </c>
      <c r="AS65" s="60"/>
    </row>
    <row r="66" spans="1:45" s="69" customFormat="1" ht="12.75" customHeight="1">
      <c r="A66" s="796" t="s">
        <v>1122</v>
      </c>
      <c r="B66" s="797" t="s">
        <v>1123</v>
      </c>
      <c r="C66" s="630">
        <f t="shared" ref="C66:C69" si="34">SUM(D66:G66)</f>
        <v>0</v>
      </c>
      <c r="D66" s="798">
        <v>0</v>
      </c>
      <c r="E66" s="679"/>
      <c r="F66" s="679"/>
      <c r="G66" s="799"/>
      <c r="H66" s="634">
        <f t="shared" ref="H66:H69" si="35">SUM(I66:K66)</f>
        <v>0</v>
      </c>
      <c r="I66" s="800"/>
      <c r="J66" s="632"/>
      <c r="K66" s="801"/>
      <c r="L66" s="634">
        <f t="shared" ref="L66:L69" si="36">SUM(M66:Z66)</f>
        <v>11.083842216367572</v>
      </c>
      <c r="M66" s="800"/>
      <c r="N66" s="679"/>
      <c r="O66" s="633"/>
      <c r="P66" s="921"/>
      <c r="Q66" s="802">
        <v>0.2530102942411856</v>
      </c>
      <c r="R66" s="679"/>
      <c r="S66" s="802">
        <v>0.3129380842779857</v>
      </c>
      <c r="T66" s="802">
        <v>1.0521462045500485</v>
      </c>
      <c r="U66" s="952">
        <v>9.4657476332983528</v>
      </c>
      <c r="V66" s="802">
        <v>0</v>
      </c>
      <c r="W66" s="679"/>
      <c r="X66" s="679"/>
      <c r="Y66" s="633"/>
      <c r="Z66" s="632"/>
      <c r="AA66" s="803">
        <v>8.4437848043838404</v>
      </c>
      <c r="AB66" s="635">
        <f t="shared" ref="AB66:AB69" si="37">SUM(AC66:AM66)</f>
        <v>5.4773432101994155</v>
      </c>
      <c r="AC66" s="636"/>
      <c r="AD66" s="632"/>
      <c r="AE66" s="632">
        <v>0.66002922980383205</v>
      </c>
      <c r="AF66" s="632"/>
      <c r="AG66" s="632"/>
      <c r="AH66" s="632">
        <v>4.8173139803955838</v>
      </c>
      <c r="AI66" s="967"/>
      <c r="AJ66" s="967"/>
      <c r="AK66" s="632"/>
      <c r="AL66" s="632"/>
      <c r="AM66" s="633"/>
      <c r="AN66" s="634"/>
      <c r="AO66" s="803">
        <v>55.850156928746095</v>
      </c>
      <c r="AP66" s="635"/>
      <c r="AQ66" s="662">
        <f t="shared" si="13"/>
        <v>80.85512715969692</v>
      </c>
      <c r="AS66" s="60"/>
    </row>
    <row r="67" spans="1:45" s="69" customFormat="1" ht="12.75" customHeight="1">
      <c r="A67" s="804" t="s">
        <v>1124</v>
      </c>
      <c r="B67" s="805">
        <v>84</v>
      </c>
      <c r="C67" s="583">
        <f t="shared" si="34"/>
        <v>0</v>
      </c>
      <c r="D67" s="806">
        <v>0</v>
      </c>
      <c r="E67" s="728"/>
      <c r="F67" s="728"/>
      <c r="G67" s="729"/>
      <c r="H67" s="587">
        <f t="shared" si="35"/>
        <v>0</v>
      </c>
      <c r="I67" s="807"/>
      <c r="J67" s="589"/>
      <c r="K67" s="808"/>
      <c r="L67" s="587">
        <f t="shared" si="36"/>
        <v>59.95397707725251</v>
      </c>
      <c r="M67" s="807"/>
      <c r="N67" s="728"/>
      <c r="O67" s="586"/>
      <c r="P67" s="922"/>
      <c r="Q67" s="809">
        <v>11.981091641879475</v>
      </c>
      <c r="R67" s="728"/>
      <c r="S67" s="809">
        <v>0.20048339509750321</v>
      </c>
      <c r="T67" s="809">
        <v>7.85054023769447</v>
      </c>
      <c r="U67" s="953">
        <v>39.921861802581063</v>
      </c>
      <c r="V67" s="809">
        <v>0</v>
      </c>
      <c r="W67" s="728"/>
      <c r="X67" s="728"/>
      <c r="Y67" s="586"/>
      <c r="Z67" s="589"/>
      <c r="AA67" s="810">
        <v>66.187230278743982</v>
      </c>
      <c r="AB67" s="590">
        <f t="shared" si="37"/>
        <v>9.4672942649987188</v>
      </c>
      <c r="AC67" s="591"/>
      <c r="AD67" s="589"/>
      <c r="AE67" s="589">
        <v>9.4672942649987188</v>
      </c>
      <c r="AF67" s="589"/>
      <c r="AG67" s="589"/>
      <c r="AH67" s="589">
        <v>0</v>
      </c>
      <c r="AI67" s="963"/>
      <c r="AJ67" s="963"/>
      <c r="AK67" s="589"/>
      <c r="AL67" s="589"/>
      <c r="AM67" s="586"/>
      <c r="AN67" s="587"/>
      <c r="AO67" s="810">
        <v>154.30936641104071</v>
      </c>
      <c r="AP67" s="590"/>
      <c r="AQ67" s="593">
        <f t="shared" si="13"/>
        <v>289.91786803203593</v>
      </c>
      <c r="AS67" s="60"/>
    </row>
    <row r="68" spans="1:45" s="69" customFormat="1" ht="12.75" customHeight="1">
      <c r="A68" s="769" t="s">
        <v>1125</v>
      </c>
      <c r="B68" s="770">
        <v>85</v>
      </c>
      <c r="C68" s="583">
        <f t="shared" si="34"/>
        <v>0</v>
      </c>
      <c r="D68" s="806">
        <v>0</v>
      </c>
      <c r="E68" s="728"/>
      <c r="F68" s="728"/>
      <c r="G68" s="729"/>
      <c r="H68" s="587">
        <f t="shared" si="35"/>
        <v>0</v>
      </c>
      <c r="I68" s="807"/>
      <c r="J68" s="589"/>
      <c r="K68" s="808"/>
      <c r="L68" s="587">
        <f t="shared" si="36"/>
        <v>42.831123161298109</v>
      </c>
      <c r="M68" s="807"/>
      <c r="N68" s="728"/>
      <c r="O68" s="586"/>
      <c r="P68" s="922"/>
      <c r="Q68" s="809">
        <v>21.281328374361724</v>
      </c>
      <c r="R68" s="728"/>
      <c r="S68" s="809">
        <v>3.2197887029108509E-2</v>
      </c>
      <c r="T68" s="809">
        <v>4.5585277188324795</v>
      </c>
      <c r="U68" s="953">
        <v>16.959069181074796</v>
      </c>
      <c r="V68" s="809">
        <v>0</v>
      </c>
      <c r="W68" s="728"/>
      <c r="X68" s="728"/>
      <c r="Y68" s="586"/>
      <c r="Z68" s="589"/>
      <c r="AA68" s="810">
        <v>53.929324235430926</v>
      </c>
      <c r="AB68" s="590">
        <f t="shared" si="37"/>
        <v>1.3804629203709615</v>
      </c>
      <c r="AC68" s="591"/>
      <c r="AD68" s="589"/>
      <c r="AE68" s="589">
        <v>1.3804629203709615</v>
      </c>
      <c r="AF68" s="589"/>
      <c r="AG68" s="589"/>
      <c r="AH68" s="589">
        <v>0</v>
      </c>
      <c r="AI68" s="963"/>
      <c r="AJ68" s="963"/>
      <c r="AK68" s="589"/>
      <c r="AL68" s="589"/>
      <c r="AM68" s="586"/>
      <c r="AN68" s="587"/>
      <c r="AO68" s="810">
        <v>74.178871141573552</v>
      </c>
      <c r="AP68" s="590"/>
      <c r="AQ68" s="593">
        <f t="shared" si="13"/>
        <v>172.31978145867356</v>
      </c>
      <c r="AS68" s="60"/>
    </row>
    <row r="69" spans="1:45" s="69" customFormat="1" ht="12.75" customHeight="1">
      <c r="A69" s="787" t="s">
        <v>1126</v>
      </c>
      <c r="B69" s="788" t="s">
        <v>1127</v>
      </c>
      <c r="C69" s="750">
        <f t="shared" si="34"/>
        <v>0</v>
      </c>
      <c r="D69" s="811">
        <v>0</v>
      </c>
      <c r="E69" s="734"/>
      <c r="F69" s="734"/>
      <c r="G69" s="735"/>
      <c r="H69" s="752">
        <f t="shared" si="35"/>
        <v>0</v>
      </c>
      <c r="I69" s="812"/>
      <c r="J69" s="644"/>
      <c r="K69" s="813"/>
      <c r="L69" s="752">
        <f t="shared" si="36"/>
        <v>26.293507436687939</v>
      </c>
      <c r="M69" s="812"/>
      <c r="N69" s="734"/>
      <c r="O69" s="645"/>
      <c r="P69" s="920"/>
      <c r="Q69" s="814">
        <v>14.35095473127191</v>
      </c>
      <c r="R69" s="734"/>
      <c r="S69" s="814">
        <v>9.7228102211051784E-2</v>
      </c>
      <c r="T69" s="814">
        <v>2.6199367494357482</v>
      </c>
      <c r="U69" s="954">
        <v>9.2253878537692273</v>
      </c>
      <c r="V69" s="814">
        <v>0</v>
      </c>
      <c r="W69" s="734"/>
      <c r="X69" s="734"/>
      <c r="Y69" s="645"/>
      <c r="Z69" s="644"/>
      <c r="AA69" s="815">
        <v>63.51639267513076</v>
      </c>
      <c r="AB69" s="754">
        <f t="shared" si="37"/>
        <v>1.4673864126888767</v>
      </c>
      <c r="AC69" s="755"/>
      <c r="AD69" s="749"/>
      <c r="AE69" s="749">
        <v>1.4673864126888767</v>
      </c>
      <c r="AF69" s="749"/>
      <c r="AG69" s="749"/>
      <c r="AH69" s="749">
        <v>0</v>
      </c>
      <c r="AI69" s="976"/>
      <c r="AJ69" s="976"/>
      <c r="AK69" s="749"/>
      <c r="AL69" s="749"/>
      <c r="AM69" s="751"/>
      <c r="AN69" s="752"/>
      <c r="AO69" s="815">
        <v>50.538859596996531</v>
      </c>
      <c r="AP69" s="754"/>
      <c r="AQ69" s="756">
        <f t="shared" si="13"/>
        <v>141.81614612150412</v>
      </c>
      <c r="AS69" s="60"/>
    </row>
    <row r="70" spans="1:45" s="62" customFormat="1" ht="12.75" customHeight="1">
      <c r="A70" s="664" t="s">
        <v>282</v>
      </c>
      <c r="B70" s="665"/>
      <c r="C70" s="666">
        <f>SUM(D70:G70)</f>
        <v>0</v>
      </c>
      <c r="D70" s="816">
        <v>0</v>
      </c>
      <c r="E70" s="817"/>
      <c r="F70" s="818"/>
      <c r="G70" s="818"/>
      <c r="H70" s="670">
        <f>SUM(I70:K70)</f>
        <v>0</v>
      </c>
      <c r="I70" s="816"/>
      <c r="J70" s="817"/>
      <c r="K70" s="817"/>
      <c r="L70" s="670">
        <f>SUM(M70:Z70)</f>
        <v>175.46549158593075</v>
      </c>
      <c r="M70" s="817"/>
      <c r="N70" s="817"/>
      <c r="O70" s="817"/>
      <c r="P70" s="923">
        <v>0</v>
      </c>
      <c r="Q70" s="817">
        <v>0</v>
      </c>
      <c r="R70" s="817"/>
      <c r="S70" s="817"/>
      <c r="T70" s="819">
        <v>0</v>
      </c>
      <c r="U70" s="955">
        <v>175.46549158593075</v>
      </c>
      <c r="V70" s="632"/>
      <c r="W70" s="818"/>
      <c r="X70" s="818"/>
      <c r="Y70" s="818"/>
      <c r="Z70" s="817"/>
      <c r="AA70" s="670">
        <v>0</v>
      </c>
      <c r="AB70" s="671">
        <f>SUM(AC70:AM70)</f>
        <v>0</v>
      </c>
      <c r="AC70" s="820"/>
      <c r="AD70" s="817"/>
      <c r="AE70" s="817"/>
      <c r="AF70" s="817"/>
      <c r="AG70" s="817"/>
      <c r="AH70" s="817"/>
      <c r="AI70" s="980"/>
      <c r="AJ70" s="980"/>
      <c r="AK70" s="816"/>
      <c r="AL70" s="818"/>
      <c r="AM70" s="817"/>
      <c r="AN70" s="670"/>
      <c r="AO70" s="670">
        <v>47.988</v>
      </c>
      <c r="AP70" s="671"/>
      <c r="AQ70" s="661">
        <f t="shared" si="13"/>
        <v>223.45349158593075</v>
      </c>
      <c r="AR70" s="59"/>
      <c r="AS70" s="61"/>
    </row>
    <row r="71" spans="1:45" s="62" customFormat="1" ht="12.75" customHeight="1" thickBot="1">
      <c r="A71" s="821" t="s">
        <v>283</v>
      </c>
      <c r="B71" s="641"/>
      <c r="C71" s="642">
        <f>SUM(D71:G71)</f>
        <v>0</v>
      </c>
      <c r="D71" s="643"/>
      <c r="E71" s="644"/>
      <c r="F71" s="645"/>
      <c r="G71" s="645"/>
      <c r="H71" s="646">
        <f>SUM(I71:K71)</f>
        <v>0</v>
      </c>
      <c r="I71" s="643"/>
      <c r="J71" s="644"/>
      <c r="K71" s="644"/>
      <c r="L71" s="646">
        <f>SUM(M71:Z71)</f>
        <v>27.249865733664667</v>
      </c>
      <c r="M71" s="644"/>
      <c r="N71" s="644"/>
      <c r="O71" s="644"/>
      <c r="P71" s="902"/>
      <c r="Q71" s="644"/>
      <c r="R71" s="644"/>
      <c r="S71" s="644"/>
      <c r="T71" s="644"/>
      <c r="U71" s="956">
        <v>27.249865733664667</v>
      </c>
      <c r="V71" s="644"/>
      <c r="W71" s="645"/>
      <c r="X71" s="645"/>
      <c r="Y71" s="645"/>
      <c r="Z71" s="644"/>
      <c r="AA71" s="646"/>
      <c r="AB71" s="647">
        <f>SUM(AC71:AM71)</f>
        <v>0</v>
      </c>
      <c r="AC71" s="648"/>
      <c r="AD71" s="644"/>
      <c r="AE71" s="644"/>
      <c r="AF71" s="644"/>
      <c r="AG71" s="644"/>
      <c r="AH71" s="644"/>
      <c r="AI71" s="968"/>
      <c r="AJ71" s="968"/>
      <c r="AK71" s="643"/>
      <c r="AL71" s="645"/>
      <c r="AM71" s="644"/>
      <c r="AN71" s="646"/>
      <c r="AO71" s="649"/>
      <c r="AP71" s="647"/>
      <c r="AQ71" s="822">
        <f t="shared" si="13"/>
        <v>27.249865733664667</v>
      </c>
      <c r="AR71" s="59"/>
      <c r="AS71" s="61"/>
    </row>
    <row r="72" spans="1:45" s="62" customFormat="1" ht="12.75" customHeight="1" thickBot="1">
      <c r="A72" s="693" t="s">
        <v>284</v>
      </c>
      <c r="B72" s="694"/>
      <c r="C72" s="695">
        <f t="shared" ref="C72:AP72" si="38">C26-C27-C29</f>
        <v>-2.719924399165734</v>
      </c>
      <c r="D72" s="696">
        <f t="shared" si="38"/>
        <v>0.18184486786384468</v>
      </c>
      <c r="E72" s="697">
        <f t="shared" si="38"/>
        <v>-3.4486883993195647</v>
      </c>
      <c r="F72" s="700">
        <f t="shared" si="38"/>
        <v>0</v>
      </c>
      <c r="G72" s="700">
        <f t="shared" si="38"/>
        <v>0.6924657422902083</v>
      </c>
      <c r="H72" s="698">
        <f t="shared" si="38"/>
        <v>1.9457250152908045</v>
      </c>
      <c r="I72" s="696">
        <f t="shared" si="38"/>
        <v>-0.45741265470912973</v>
      </c>
      <c r="J72" s="697">
        <f t="shared" si="38"/>
        <v>0</v>
      </c>
      <c r="K72" s="697">
        <f t="shared" si="38"/>
        <v>2.4031376700000067</v>
      </c>
      <c r="L72" s="698">
        <f t="shared" si="38"/>
        <v>-0.17452026544560795</v>
      </c>
      <c r="M72" s="697">
        <f t="shared" si="38"/>
        <v>0</v>
      </c>
      <c r="N72" s="697">
        <f t="shared" si="38"/>
        <v>-0.14794174855289199</v>
      </c>
      <c r="O72" s="697">
        <f t="shared" si="38"/>
        <v>-5.2567080980734033</v>
      </c>
      <c r="P72" s="907">
        <f t="shared" si="38"/>
        <v>-22.015945821971172</v>
      </c>
      <c r="Q72" s="697">
        <f t="shared" si="38"/>
        <v>15.370413414720133</v>
      </c>
      <c r="R72" s="697">
        <f t="shared" si="38"/>
        <v>-6.7103906044801533</v>
      </c>
      <c r="S72" s="697">
        <f t="shared" si="38"/>
        <v>8.1718040718781069</v>
      </c>
      <c r="T72" s="697">
        <f t="shared" si="38"/>
        <v>6.5570336698137623</v>
      </c>
      <c r="U72" s="939">
        <f t="shared" si="38"/>
        <v>-4.4746269624060915</v>
      </c>
      <c r="V72" s="697">
        <f t="shared" si="38"/>
        <v>0.82532907951213019</v>
      </c>
      <c r="W72" s="700">
        <f t="shared" si="38"/>
        <v>7.506512734116022</v>
      </c>
      <c r="X72" s="700">
        <f t="shared" si="38"/>
        <v>0</v>
      </c>
      <c r="Y72" s="700">
        <f t="shared" si="38"/>
        <v>0</v>
      </c>
      <c r="Z72" s="697">
        <f t="shared" si="38"/>
        <v>0</v>
      </c>
      <c r="AA72" s="698">
        <f t="shared" si="38"/>
        <v>-40.274710307198575</v>
      </c>
      <c r="AB72" s="699">
        <f t="shared" si="38"/>
        <v>-8.1303135021793764</v>
      </c>
      <c r="AC72" s="823">
        <f t="shared" si="38"/>
        <v>0</v>
      </c>
      <c r="AD72" s="697">
        <f t="shared" si="38"/>
        <v>0</v>
      </c>
      <c r="AE72" s="697">
        <f t="shared" si="38"/>
        <v>-5.8327477785794315</v>
      </c>
      <c r="AF72" s="697">
        <f t="shared" si="38"/>
        <v>0</v>
      </c>
      <c r="AG72" s="697">
        <f t="shared" si="38"/>
        <v>0</v>
      </c>
      <c r="AH72" s="697">
        <f t="shared" si="38"/>
        <v>0</v>
      </c>
      <c r="AI72" s="981">
        <f t="shared" si="38"/>
        <v>-2.9556858672000175</v>
      </c>
      <c r="AJ72" s="981">
        <f t="shared" si="38"/>
        <v>0.65812014360000148</v>
      </c>
      <c r="AK72" s="696">
        <f t="shared" si="38"/>
        <v>0</v>
      </c>
      <c r="AL72" s="700">
        <f t="shared" si="38"/>
        <v>0</v>
      </c>
      <c r="AM72" s="697">
        <f t="shared" si="38"/>
        <v>0</v>
      </c>
      <c r="AN72" s="698">
        <f t="shared" si="38"/>
        <v>0</v>
      </c>
      <c r="AO72" s="698">
        <f t="shared" si="38"/>
        <v>-36.15143685982639</v>
      </c>
      <c r="AP72" s="699">
        <f t="shared" si="38"/>
        <v>0</v>
      </c>
      <c r="AQ72" s="701">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924"/>
      <c r="Q73" s="122"/>
      <c r="R73" s="122"/>
      <c r="S73" s="122"/>
      <c r="T73" s="122"/>
      <c r="U73" s="957"/>
      <c r="V73" s="122"/>
      <c r="W73" s="122"/>
      <c r="X73" s="122"/>
      <c r="Y73" s="122"/>
      <c r="Z73" s="122"/>
      <c r="AA73" s="122"/>
      <c r="AB73" s="122"/>
      <c r="AC73" s="122"/>
      <c r="AD73" s="122"/>
      <c r="AE73" s="122"/>
      <c r="AF73" s="122"/>
      <c r="AG73" s="122"/>
      <c r="AH73" s="122"/>
      <c r="AI73" s="982"/>
      <c r="AJ73" s="982"/>
      <c r="AK73" s="122"/>
      <c r="AL73" s="122"/>
      <c r="AM73" s="122"/>
      <c r="AN73" s="122"/>
      <c r="AO73" s="122"/>
      <c r="AP73" s="122"/>
      <c r="AQ73" s="122"/>
    </row>
    <row r="74" spans="1:45" s="68" customFormat="1" ht="15" customHeight="1">
      <c r="A74" s="680" t="s">
        <v>1128</v>
      </c>
      <c r="B74" s="658"/>
      <c r="C74" s="658"/>
      <c r="D74" s="658"/>
      <c r="E74" s="658"/>
      <c r="F74" s="658"/>
      <c r="G74" s="658"/>
      <c r="H74" s="658"/>
      <c r="I74" s="658"/>
      <c r="J74" s="658"/>
      <c r="K74" s="658"/>
      <c r="L74" s="824"/>
      <c r="M74" s="658"/>
      <c r="N74" s="658"/>
      <c r="P74" s="925"/>
      <c r="Q74" s="658"/>
      <c r="R74" s="658"/>
      <c r="S74" s="658"/>
      <c r="T74" s="658"/>
      <c r="U74" s="958"/>
      <c r="V74" s="658"/>
      <c r="W74" s="651"/>
      <c r="Y74" s="658"/>
      <c r="Z74" s="658"/>
      <c r="AA74" s="658"/>
      <c r="AB74" s="658"/>
      <c r="AC74" s="658"/>
      <c r="AD74" s="658"/>
      <c r="AE74" s="658"/>
      <c r="AF74" s="658"/>
      <c r="AG74" s="658"/>
      <c r="AH74" s="658"/>
      <c r="AI74" s="983"/>
      <c r="AJ74" s="983"/>
      <c r="AK74" s="658"/>
      <c r="AL74" s="658"/>
      <c r="AM74" s="658"/>
      <c r="AN74" s="658"/>
      <c r="AO74" s="658"/>
      <c r="AP74" s="658"/>
      <c r="AQ74" s="658"/>
      <c r="AS74" s="61"/>
    </row>
    <row r="75" spans="1:45" ht="12.75" customHeight="1">
      <c r="A75" s="825" t="s">
        <v>1129</v>
      </c>
      <c r="B75" s="122"/>
      <c r="C75" s="122"/>
      <c r="D75" s="122"/>
      <c r="E75" s="122"/>
      <c r="F75" s="122"/>
      <c r="G75" s="122"/>
      <c r="H75" s="122"/>
      <c r="I75" s="122"/>
      <c r="J75" s="122"/>
      <c r="K75" s="122"/>
      <c r="L75" s="122"/>
      <c r="M75" s="122"/>
      <c r="N75" s="122"/>
      <c r="O75" s="122"/>
      <c r="P75" s="924"/>
      <c r="Q75" s="122"/>
      <c r="R75" s="122"/>
      <c r="S75" s="122"/>
      <c r="T75" s="122"/>
      <c r="U75" s="957"/>
      <c r="V75" s="122"/>
      <c r="W75" s="122"/>
      <c r="X75" s="122"/>
      <c r="Y75" s="122"/>
      <c r="Z75" s="122"/>
      <c r="AA75" s="122"/>
      <c r="AB75" s="122"/>
      <c r="AC75" s="122"/>
      <c r="AD75" s="122"/>
      <c r="AE75" s="122"/>
      <c r="AF75" s="122"/>
      <c r="AG75" s="122"/>
      <c r="AH75" s="122"/>
      <c r="AI75" s="982"/>
      <c r="AJ75" s="982"/>
      <c r="AK75" s="122"/>
      <c r="AL75" s="122"/>
      <c r="AM75" s="122"/>
      <c r="AN75" s="122"/>
      <c r="AO75" s="122"/>
      <c r="AP75" s="122"/>
      <c r="AQ75" s="122"/>
    </row>
    <row r="76" spans="1:45" ht="12.75" customHeight="1">
      <c r="A76" s="826" t="s">
        <v>328</v>
      </c>
      <c r="B76" s="827"/>
      <c r="C76" s="122"/>
      <c r="D76" s="122"/>
      <c r="E76" s="122"/>
      <c r="F76" s="122"/>
      <c r="G76" s="122"/>
      <c r="H76" s="122"/>
      <c r="I76" s="122"/>
      <c r="J76" s="122"/>
      <c r="K76" s="122"/>
      <c r="L76" s="122"/>
      <c r="M76" s="122"/>
      <c r="N76" s="122"/>
      <c r="O76" s="122"/>
      <c r="P76" s="924"/>
      <c r="Q76" s="122"/>
      <c r="R76" s="122"/>
      <c r="S76" s="122"/>
      <c r="T76" s="122"/>
      <c r="U76" s="957"/>
      <c r="V76" s="122"/>
      <c r="W76" s="122"/>
      <c r="X76" s="122"/>
      <c r="Y76" s="122"/>
      <c r="Z76" s="122"/>
      <c r="AA76" s="122"/>
      <c r="AB76" s="122"/>
      <c r="AC76" s="122"/>
      <c r="AD76" s="122"/>
      <c r="AE76" s="122"/>
      <c r="AF76" s="122"/>
      <c r="AG76" s="122"/>
      <c r="AH76" s="122"/>
      <c r="AI76" s="982"/>
      <c r="AJ76" s="982"/>
      <c r="AK76" s="122"/>
      <c r="AL76" s="122"/>
      <c r="AM76" s="122"/>
      <c r="AN76" s="122"/>
      <c r="AO76" s="122"/>
      <c r="AP76" s="122"/>
      <c r="AQ76" s="122"/>
    </row>
    <row r="77" spans="1:45" ht="12.75" customHeight="1">
      <c r="A77" s="828" t="s">
        <v>329</v>
      </c>
      <c r="B77" s="825"/>
      <c r="C77" s="122"/>
      <c r="D77" s="122"/>
      <c r="E77" s="122"/>
      <c r="F77" s="122"/>
      <c r="G77" s="122"/>
      <c r="H77" s="122"/>
      <c r="I77" s="122"/>
      <c r="J77" s="122"/>
      <c r="K77" s="122"/>
      <c r="L77" s="122"/>
      <c r="M77" s="122"/>
      <c r="N77" s="122"/>
      <c r="O77" s="122"/>
      <c r="P77" s="924"/>
      <c r="Q77" s="122"/>
      <c r="R77" s="122"/>
      <c r="S77" s="122"/>
      <c r="T77" s="122"/>
      <c r="U77" s="957"/>
      <c r="V77" s="122"/>
      <c r="W77" s="122"/>
      <c r="X77" s="122"/>
      <c r="Y77" s="122"/>
      <c r="Z77" s="122"/>
      <c r="AA77" s="122"/>
      <c r="AB77" s="122"/>
      <c r="AC77" s="122"/>
      <c r="AD77" s="122"/>
      <c r="AE77" s="122"/>
      <c r="AF77" s="122"/>
      <c r="AG77" s="122"/>
      <c r="AH77" s="122"/>
      <c r="AI77" s="982"/>
      <c r="AJ77" s="982"/>
      <c r="AK77" s="122"/>
      <c r="AL77" s="122"/>
      <c r="AM77" s="122"/>
      <c r="AN77" s="122"/>
      <c r="AO77" s="122"/>
      <c r="AP77" s="122"/>
      <c r="AQ77" s="122"/>
    </row>
    <row r="78" spans="1:45" ht="12.75" customHeight="1">
      <c r="A78" s="123" t="s">
        <v>330</v>
      </c>
      <c r="B78" s="825"/>
      <c r="C78" s="122"/>
      <c r="D78" s="122"/>
      <c r="E78" s="122"/>
      <c r="F78" s="122"/>
      <c r="G78" s="122"/>
      <c r="H78" s="122"/>
      <c r="I78" s="122"/>
      <c r="J78" s="122"/>
      <c r="K78" s="122"/>
      <c r="L78" s="122"/>
      <c r="M78" s="122"/>
      <c r="N78" s="122"/>
      <c r="O78" s="122"/>
      <c r="P78" s="924"/>
      <c r="Q78" s="122"/>
      <c r="R78" s="122"/>
      <c r="S78" s="122"/>
      <c r="T78" s="122"/>
      <c r="U78" s="957"/>
      <c r="V78" s="122"/>
      <c r="W78" s="122"/>
      <c r="X78" s="122"/>
      <c r="Y78" s="122"/>
      <c r="Z78" s="122"/>
      <c r="AA78" s="122"/>
      <c r="AB78" s="122"/>
      <c r="AC78" s="122"/>
      <c r="AD78" s="122"/>
      <c r="AE78" s="122"/>
      <c r="AF78" s="122"/>
      <c r="AG78" s="122"/>
      <c r="AH78" s="122"/>
      <c r="AI78" s="982"/>
      <c r="AJ78" s="982"/>
      <c r="AK78" s="122"/>
      <c r="AL78" s="122"/>
      <c r="AM78" s="122"/>
      <c r="AN78" s="122"/>
      <c r="AO78" s="122"/>
      <c r="AP78" s="122"/>
      <c r="AQ78" s="122"/>
    </row>
    <row r="79" spans="1:45" ht="12.75" customHeight="1">
      <c r="A79" s="829" t="s">
        <v>285</v>
      </c>
      <c r="B79" s="124"/>
      <c r="C79" s="124"/>
      <c r="D79" s="124"/>
      <c r="E79" s="830"/>
      <c r="F79" s="831"/>
      <c r="G79" s="831"/>
      <c r="H79" s="832"/>
      <c r="I79" s="831"/>
      <c r="J79" s="831"/>
      <c r="K79" s="831"/>
      <c r="L79" s="832"/>
      <c r="M79" s="831"/>
      <c r="N79" s="831"/>
      <c r="O79" s="831"/>
      <c r="P79" s="926"/>
      <c r="Q79" s="831"/>
      <c r="R79" s="831"/>
      <c r="S79" s="833"/>
      <c r="T79" s="548"/>
      <c r="U79" s="959"/>
      <c r="V79" s="833"/>
      <c r="W79" s="831"/>
      <c r="X79" s="831"/>
      <c r="Y79" s="831"/>
      <c r="Z79" s="831"/>
      <c r="AA79" s="832"/>
      <c r="AB79" s="834"/>
      <c r="AC79" s="831"/>
      <c r="AD79" s="831"/>
      <c r="AE79" s="831"/>
      <c r="AF79" s="831"/>
      <c r="AG79" s="831"/>
      <c r="AH79" s="831"/>
      <c r="AI79" s="984"/>
      <c r="AJ79" s="984"/>
      <c r="AK79" s="831"/>
      <c r="AL79" s="831"/>
      <c r="AM79" s="831"/>
      <c r="AN79" s="831"/>
      <c r="AO79" s="832"/>
      <c r="AP79" s="834"/>
      <c r="AQ79" s="831"/>
    </row>
    <row r="80" spans="1:45" ht="12.75" customHeight="1">
      <c r="A80" s="829" t="s">
        <v>286</v>
      </c>
      <c r="B80" s="124"/>
      <c r="C80" s="124"/>
      <c r="D80" s="124"/>
      <c r="E80" s="830"/>
      <c r="F80" s="831"/>
      <c r="G80" s="831"/>
      <c r="H80" s="832"/>
      <c r="I80" s="831"/>
      <c r="J80" s="831"/>
      <c r="K80" s="831"/>
      <c r="L80" s="832"/>
      <c r="M80" s="831"/>
      <c r="N80" s="831"/>
      <c r="O80" s="831"/>
      <c r="P80" s="926"/>
      <c r="Q80" s="831"/>
      <c r="R80" s="831"/>
      <c r="S80" s="833"/>
      <c r="T80" s="548"/>
      <c r="U80" s="959"/>
      <c r="V80" s="833"/>
      <c r="W80" s="831"/>
      <c r="X80" s="831"/>
      <c r="Y80" s="831"/>
      <c r="Z80" s="831"/>
      <c r="AA80" s="832"/>
      <c r="AB80" s="834"/>
      <c r="AC80" s="831"/>
      <c r="AD80" s="831"/>
      <c r="AE80" s="831"/>
      <c r="AF80" s="831"/>
      <c r="AG80" s="831"/>
      <c r="AH80" s="831"/>
      <c r="AI80" s="984"/>
      <c r="AJ80" s="984"/>
      <c r="AK80" s="831"/>
      <c r="AL80" s="831"/>
      <c r="AM80" s="831"/>
      <c r="AN80" s="831"/>
      <c r="AO80" s="832"/>
      <c r="AP80" s="834"/>
      <c r="AQ80" s="831"/>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29" customWidth="1"/>
    <col min="2" max="2" width="11.6640625" style="429" customWidth="1"/>
    <col min="3" max="3" width="3.109375" style="429" bestFit="1" customWidth="1"/>
    <col min="4" max="4" width="8.5546875" style="429" bestFit="1" customWidth="1"/>
    <col min="5" max="5" width="6.44140625" style="429" bestFit="1" customWidth="1"/>
    <col min="6" max="6" width="4.88671875" style="429" bestFit="1" customWidth="1"/>
    <col min="7" max="7" width="5.6640625" style="429" bestFit="1" customWidth="1"/>
    <col min="8" max="8" width="5.88671875" style="429" bestFit="1" customWidth="1"/>
    <col min="9" max="9" width="5.44140625" style="429" bestFit="1" customWidth="1"/>
    <col min="10" max="11" width="5.6640625" style="429" bestFit="1" customWidth="1"/>
    <col min="12" max="12" width="6.5546875" style="429" bestFit="1" customWidth="1"/>
    <col min="13" max="13" width="6.109375" style="429" bestFit="1" customWidth="1"/>
    <col min="14" max="14" width="6.6640625" style="429" bestFit="1" customWidth="1"/>
    <col min="15" max="15" width="6.5546875" style="429" bestFit="1" customWidth="1"/>
    <col min="16" max="16" width="7.33203125" style="429" bestFit="1" customWidth="1"/>
    <col min="17" max="17" width="5.6640625" style="429" bestFit="1" customWidth="1"/>
    <col min="18" max="18" width="6.109375" style="429" bestFit="1" customWidth="1"/>
    <col min="19" max="19" width="5.6640625" style="429" bestFit="1" customWidth="1"/>
    <col min="20" max="20" width="5.5546875" style="429" bestFit="1" customWidth="1"/>
    <col min="21" max="21" width="5.88671875" style="429" bestFit="1" customWidth="1"/>
    <col min="22" max="22" width="6.6640625" style="429" bestFit="1" customWidth="1"/>
    <col min="23" max="23" width="4.88671875" style="429" bestFit="1" customWidth="1"/>
    <col min="24" max="24" width="7.5546875" style="429" customWidth="1"/>
    <col min="25" max="25" width="6.6640625" style="429" bestFit="1" customWidth="1"/>
    <col min="26" max="26" width="6.109375" style="429" bestFit="1" customWidth="1"/>
    <col min="27" max="28" width="6" style="429" bestFit="1" customWidth="1"/>
    <col min="29" max="29" width="5.6640625" style="429" bestFit="1" customWidth="1"/>
    <col min="30" max="30" width="6.6640625" style="429" bestFit="1" customWidth="1"/>
    <col min="31" max="16384" width="9.109375" style="429"/>
  </cols>
  <sheetData>
    <row r="3" spans="1:30">
      <c r="C3" s="432" t="str" cm="1">
        <f t="array" ref="C3">IF(LEFT(INDEX(C5:C7,$A$4),1)&lt;&gt;"*",INDEX(C5:C7,$A$4),"")</f>
        <v>IE</v>
      </c>
      <c r="D3" s="432" t="str" cm="1">
        <f t="array" ref="D3">IF(LEFT(INDEX(D5:D7,$A$4),1)&lt;&gt;"*",INDEX(D5:D7,$A$4),"")</f>
        <v/>
      </c>
      <c r="E3" s="432" t="str" cm="1">
        <f t="array" ref="E3">IF(LEFT(INDEX(E5:E7,$A$4),1)&lt;&gt;"*",INDEX(E5:E7,$A$4),"")</f>
        <v>IE-CW</v>
      </c>
      <c r="F3" s="432" t="str" cm="1">
        <f t="array" ref="F3">IF(LEFT(INDEX(F5:F7,$A$4),1)&lt;&gt;"*",INDEX(F5:F7,$A$4),"")</f>
        <v>IE-D</v>
      </c>
      <c r="G3" s="432" t="str" cm="1">
        <f t="array" ref="G3">IF(LEFT(INDEX(G5:G7,$A$4),1)&lt;&gt;"*",INDEX(G5:G7,$A$4),"")</f>
        <v>IE-KE</v>
      </c>
      <c r="H3" s="432" t="str" cm="1">
        <f t="array" ref="H3">IF(LEFT(INDEX(H5:H7,$A$4),1)&lt;&gt;"*",INDEX(H5:H7,$A$4),"")</f>
        <v>IE-KK</v>
      </c>
      <c r="I3" s="432" t="str" cm="1">
        <f t="array" ref="I3">IF(LEFT(INDEX(I5:I7,$A$4),1)&lt;&gt;"*",INDEX(I5:I7,$A$4),"")</f>
        <v>IE-LS</v>
      </c>
      <c r="J3" s="432" t="str" cm="1">
        <f t="array" ref="J3">IF(LEFT(INDEX(J5:J7,$A$4),1)&lt;&gt;"*",INDEX(J5:J7,$A$4),"")</f>
        <v>IE-LD</v>
      </c>
      <c r="K3" s="432" t="str" cm="1">
        <f t="array" ref="K3">IF(LEFT(INDEX(K5:K7,$A$4),1)&lt;&gt;"*",INDEX(K5:K7,$A$4),"")</f>
        <v>IE-LH</v>
      </c>
      <c r="L3" s="432" t="str" cm="1">
        <f t="array" ref="L3">IF(LEFT(INDEX(L5:L7,$A$4),1)&lt;&gt;"*",INDEX(L5:L7,$A$4),"")</f>
        <v>IE-MH</v>
      </c>
      <c r="M3" s="432" t="str" cm="1">
        <f t="array" ref="M3">IF(LEFT(INDEX(M5:M7,$A$4),1)&lt;&gt;"*",INDEX(M5:M7,$A$4),"")</f>
        <v>IE-OY</v>
      </c>
      <c r="N3" s="432" t="str" cm="1">
        <f t="array" ref="N3">IF(LEFT(INDEX(N5:N7,$A$4),1)&lt;&gt;"*",INDEX(N5:N7,$A$4),"")</f>
        <v>IE-WH</v>
      </c>
      <c r="O3" s="432" t="str" cm="1">
        <f t="array" ref="O3">IF(LEFT(INDEX(O5:O7,$A$4),1)&lt;&gt;"*",INDEX(O5:O7,$A$4),"")</f>
        <v>IE-WX</v>
      </c>
      <c r="P3" s="432" t="str" cm="1">
        <f t="array" ref="P3">IF(LEFT(INDEX(P5:P7,$A$4),1)&lt;&gt;"*",INDEX(P5:P7,$A$4),"")</f>
        <v>IE-WW</v>
      </c>
      <c r="Q3" s="432" t="str" cm="1">
        <f t="array" ref="Q3">IF(LEFT(INDEX(Q5:Q7,$A$4),1)&lt;&gt;"*",INDEX(Q5:Q7,$A$4),"")</f>
        <v>IE-CE</v>
      </c>
      <c r="R3" s="432" t="str" cm="1">
        <f t="array" ref="R3">IF(LEFT(INDEX(R5:R7,$A$4),1)&lt;&gt;"*",INDEX(R5:R7,$A$4),"")</f>
        <v>IE-CO</v>
      </c>
      <c r="S3" s="432" t="str" cm="1">
        <f t="array" ref="S3">IF(LEFT(INDEX(S5:S7,$A$4),1)&lt;&gt;"*",INDEX(S5:S7,$A$4),"")</f>
        <v>IE-KY</v>
      </c>
      <c r="T3" s="432" t="str" cm="1">
        <f t="array" ref="T3">IF(LEFT(INDEX(T5:T7,$A$4),1)&lt;&gt;"*",INDEX(T5:T7,$A$4),"")</f>
        <v>IE-LK</v>
      </c>
      <c r="U3" s="432" t="str" cm="1">
        <f t="array" ref="U3">IF(LEFT(INDEX(U5:U7,$A$4),1)&lt;&gt;"*",INDEX(U5:U7,$A$4),"")</f>
        <v>IE-TA</v>
      </c>
      <c r="V3" s="432" t="str" cm="1">
        <f t="array" ref="V3">IF(LEFT(INDEX(V5:V7,$A$4),1)&lt;&gt;"*",INDEX(V5:V7,$A$4),"")</f>
        <v>IE-WD</v>
      </c>
      <c r="W3" s="432" t="str" cm="1">
        <f t="array" ref="W3">IF(LEFT(INDEX(W5:W7,$A$4),1)&lt;&gt;"*",INDEX(W5:W7,$A$4),"")</f>
        <v>IE-G</v>
      </c>
      <c r="X3" s="432" t="str" cm="1">
        <f t="array" ref="X3">IF(LEFT(INDEX(X5:X7,$A$4),1)&lt;&gt;"*",INDEX(X5:X7,$A$4),"")</f>
        <v>IE-LM</v>
      </c>
      <c r="Y3" s="432" t="str" cm="1">
        <f t="array" ref="Y3">IF(LEFT(INDEX(Y5:Y7,$A$4),1)&lt;&gt;"*",INDEX(Y5:Y7,$A$4),"")</f>
        <v>IE-MO</v>
      </c>
      <c r="Z3" s="432" t="str" cm="1">
        <f t="array" ref="Z3">IF(LEFT(INDEX(Z5:Z7,$A$4),1)&lt;&gt;"*",INDEX(Z5:Z7,$A$4),"")</f>
        <v>IE-RN</v>
      </c>
      <c r="AA3" s="432" t="str" cm="1">
        <f t="array" ref="AA3">IF(LEFT(INDEX(AA5:AA7,$A$4),1)&lt;&gt;"*",INDEX(AA5:AA7,$A$4),"")</f>
        <v>IE-SO</v>
      </c>
      <c r="AB3" s="432" t="str" cm="1">
        <f t="array" ref="AB3">IF(LEFT(INDEX(AB5:AB7,$A$4),1)&lt;&gt;"*",INDEX(AB5:AB7,$A$4),"")</f>
        <v>IE-CN</v>
      </c>
      <c r="AC3" s="432" t="str" cm="1">
        <f t="array" ref="AC3">IF(LEFT(INDEX(AC5:AC7,$A$4),1)&lt;&gt;"*",INDEX(AC5:AC7,$A$4),"")</f>
        <v>IE-DL</v>
      </c>
      <c r="AD3" s="432" t="str" cm="1">
        <f t="array" ref="AD3">IF(LEFT(INDEX(AD5:AD7,$A$4),1)&lt;&gt;"*",INDEX(AD5:AD7,$A$4),"")</f>
        <v>IE-MN</v>
      </c>
    </row>
    <row r="4" spans="1:30">
      <c r="A4" s="429">
        <v>1</v>
      </c>
    </row>
    <row r="5" spans="1:30">
      <c r="A5" s="429" t="s">
        <v>927</v>
      </c>
      <c r="C5" s="431" t="s">
        <v>926</v>
      </c>
      <c r="D5" s="115" t="s">
        <v>1133</v>
      </c>
      <c r="E5" s="432" t="str">
        <f>Regions!A11</f>
        <v>IE-CW</v>
      </c>
      <c r="F5" s="432" t="str">
        <f>Regions!A16</f>
        <v>IE-D</v>
      </c>
      <c r="G5" s="432" t="str">
        <f>Regions!A19</f>
        <v>IE-KE</v>
      </c>
      <c r="H5" s="432" t="str">
        <f>Regions!A20</f>
        <v>IE-KK</v>
      </c>
      <c r="I5" s="432" t="str">
        <f>Regions!A21</f>
        <v>IE-LS</v>
      </c>
      <c r="J5" s="432" t="str">
        <f>Regions!A24</f>
        <v>IE-LD</v>
      </c>
      <c r="K5" s="432" t="str">
        <f>Regions!A25</f>
        <v>IE-LH</v>
      </c>
      <c r="L5" s="432" t="str">
        <f>Regions!A27</f>
        <v>IE-MH</v>
      </c>
      <c r="M5" s="432" t="str">
        <f>Regions!A29</f>
        <v>IE-OY</v>
      </c>
      <c r="N5" s="432" t="str">
        <f>Regions!A34</f>
        <v>IE-WH</v>
      </c>
      <c r="O5" s="432" t="str">
        <f>Regions!A35</f>
        <v>IE-WX</v>
      </c>
      <c r="P5" s="432" t="str">
        <f>Regions!A36</f>
        <v>IE-WW</v>
      </c>
      <c r="Q5" s="432" t="str">
        <f>Regions!A13</f>
        <v>IE-CE</v>
      </c>
      <c r="R5" s="432" t="str">
        <f>Regions!A14</f>
        <v>IE-CO</v>
      </c>
      <c r="S5" s="432" t="str">
        <f>Regions!A18</f>
        <v>IE-KY</v>
      </c>
      <c r="T5" s="432" t="str">
        <f>Regions!A23</f>
        <v>IE-LK</v>
      </c>
      <c r="U5" s="432" t="str">
        <f>Regions!A32</f>
        <v>IE-TA</v>
      </c>
      <c r="V5" s="432" t="str">
        <f>Regions!A33</f>
        <v>IE-WD</v>
      </c>
      <c r="W5" s="432" t="str">
        <f>Regions!A17</f>
        <v>IE-G</v>
      </c>
      <c r="X5" s="432" t="str">
        <f>Regions!A22</f>
        <v>IE-LM</v>
      </c>
      <c r="Y5" s="432" t="str">
        <f>Regions!A26</f>
        <v>IE-MO</v>
      </c>
      <c r="Z5" s="432" t="str">
        <f>Regions!A30</f>
        <v>IE-RN</v>
      </c>
      <c r="AA5" s="432" t="str">
        <f>Regions!A31</f>
        <v>IE-SO</v>
      </c>
      <c r="AB5" s="432" t="str">
        <f>Regions!A12</f>
        <v>IE-CN</v>
      </c>
      <c r="AC5" s="432" t="str">
        <f>Regions!A15</f>
        <v>IE-DL</v>
      </c>
      <c r="AD5" s="432" t="str">
        <f>Regions!A28</f>
        <v>IE-MN</v>
      </c>
    </row>
    <row r="6" spans="1:30">
      <c r="A6" s="429" t="s">
        <v>858</v>
      </c>
      <c r="C6" s="430" t="str">
        <f>C5</f>
        <v>IE</v>
      </c>
      <c r="D6" s="430" t="str">
        <f>IF(LEFT(D5,1)&lt;&gt;"*","*"&amp;D5,D5)</f>
        <v>*National</v>
      </c>
      <c r="E6" s="430" t="str">
        <f t="shared" ref="E6:AD6" si="0">IF(LEFT(E5,1)&lt;&gt;"*","*"&amp;E5,E5)</f>
        <v>*IE-CW</v>
      </c>
      <c r="F6" s="430" t="str">
        <f t="shared" si="0"/>
        <v>*IE-D</v>
      </c>
      <c r="G6" s="430" t="str">
        <f t="shared" si="0"/>
        <v>*IE-KE</v>
      </c>
      <c r="H6" s="430" t="str">
        <f t="shared" si="0"/>
        <v>*IE-KK</v>
      </c>
      <c r="I6" s="430" t="str">
        <f t="shared" si="0"/>
        <v>*IE-LS</v>
      </c>
      <c r="J6" s="430" t="str">
        <f t="shared" si="0"/>
        <v>*IE-LD</v>
      </c>
      <c r="K6" s="430" t="str">
        <f t="shared" si="0"/>
        <v>*IE-LH</v>
      </c>
      <c r="L6" s="430" t="str">
        <f t="shared" si="0"/>
        <v>*IE-MH</v>
      </c>
      <c r="M6" s="430" t="str">
        <f t="shared" si="0"/>
        <v>*IE-OY</v>
      </c>
      <c r="N6" s="430" t="str">
        <f t="shared" si="0"/>
        <v>*IE-WH</v>
      </c>
      <c r="O6" s="430" t="str">
        <f t="shared" si="0"/>
        <v>*IE-WX</v>
      </c>
      <c r="P6" s="430" t="str">
        <f t="shared" si="0"/>
        <v>*IE-WW</v>
      </c>
      <c r="Q6" s="430" t="str">
        <f t="shared" si="0"/>
        <v>*IE-CE</v>
      </c>
      <c r="R6" s="430" t="str">
        <f t="shared" si="0"/>
        <v>*IE-CO</v>
      </c>
      <c r="S6" s="430" t="str">
        <f t="shared" si="0"/>
        <v>*IE-KY</v>
      </c>
      <c r="T6" s="430" t="str">
        <f t="shared" si="0"/>
        <v>*IE-LK</v>
      </c>
      <c r="U6" s="430" t="str">
        <f t="shared" si="0"/>
        <v>*IE-TA</v>
      </c>
      <c r="V6" s="430" t="str">
        <f t="shared" si="0"/>
        <v>*IE-WD</v>
      </c>
      <c r="W6" s="430" t="str">
        <f t="shared" si="0"/>
        <v>*IE-G</v>
      </c>
      <c r="X6" s="430" t="str">
        <f t="shared" si="0"/>
        <v>*IE-LM</v>
      </c>
      <c r="Y6" s="430" t="str">
        <f t="shared" si="0"/>
        <v>*IE-MO</v>
      </c>
      <c r="Z6" s="430" t="str">
        <f t="shared" si="0"/>
        <v>*IE-RN</v>
      </c>
      <c r="AA6" s="430" t="str">
        <f t="shared" si="0"/>
        <v>*IE-SO</v>
      </c>
      <c r="AB6" s="430" t="str">
        <f t="shared" si="0"/>
        <v>*IE-CN</v>
      </c>
      <c r="AC6" s="430" t="str">
        <f t="shared" si="0"/>
        <v>*IE-DL</v>
      </c>
      <c r="AD6" s="430" t="str">
        <f t="shared" si="0"/>
        <v>*IE-MN</v>
      </c>
    </row>
    <row r="7" spans="1:30">
      <c r="A7" s="429" t="s">
        <v>859</v>
      </c>
      <c r="C7" s="430" t="str">
        <f>"*"&amp;C5</f>
        <v>*IE</v>
      </c>
      <c r="D7" s="430" t="str">
        <f>D5</f>
        <v>*National</v>
      </c>
      <c r="E7" s="430" t="str">
        <f t="shared" ref="E7:AD7" si="1">E5</f>
        <v>IE-CW</v>
      </c>
      <c r="F7" s="430" t="str">
        <f t="shared" si="1"/>
        <v>IE-D</v>
      </c>
      <c r="G7" s="430" t="str">
        <f t="shared" si="1"/>
        <v>IE-KE</v>
      </c>
      <c r="H7" s="430" t="str">
        <f t="shared" si="1"/>
        <v>IE-KK</v>
      </c>
      <c r="I7" s="430" t="str">
        <f t="shared" si="1"/>
        <v>IE-LS</v>
      </c>
      <c r="J7" s="430" t="str">
        <f t="shared" si="1"/>
        <v>IE-LD</v>
      </c>
      <c r="K7" s="430" t="str">
        <f t="shared" si="1"/>
        <v>IE-LH</v>
      </c>
      <c r="L7" s="430" t="str">
        <f t="shared" si="1"/>
        <v>IE-MH</v>
      </c>
      <c r="M7" s="430" t="str">
        <f t="shared" si="1"/>
        <v>IE-OY</v>
      </c>
      <c r="N7" s="430" t="str">
        <f t="shared" si="1"/>
        <v>IE-WH</v>
      </c>
      <c r="O7" s="430" t="str">
        <f t="shared" si="1"/>
        <v>IE-WX</v>
      </c>
      <c r="P7" s="430" t="str">
        <f t="shared" si="1"/>
        <v>IE-WW</v>
      </c>
      <c r="Q7" s="430" t="str">
        <f t="shared" si="1"/>
        <v>IE-CE</v>
      </c>
      <c r="R7" s="430" t="str">
        <f t="shared" si="1"/>
        <v>IE-CO</v>
      </c>
      <c r="S7" s="430" t="str">
        <f t="shared" si="1"/>
        <v>IE-KY</v>
      </c>
      <c r="T7" s="430" t="str">
        <f t="shared" si="1"/>
        <v>IE-LK</v>
      </c>
      <c r="U7" s="430" t="str">
        <f t="shared" si="1"/>
        <v>IE-TA</v>
      </c>
      <c r="V7" s="430" t="str">
        <f t="shared" si="1"/>
        <v>IE-WD</v>
      </c>
      <c r="W7" s="430" t="str">
        <f t="shared" si="1"/>
        <v>IE-G</v>
      </c>
      <c r="X7" s="430" t="str">
        <f t="shared" si="1"/>
        <v>IE-LM</v>
      </c>
      <c r="Y7" s="430" t="str">
        <f t="shared" si="1"/>
        <v>IE-MO</v>
      </c>
      <c r="Z7" s="430" t="str">
        <f t="shared" si="1"/>
        <v>IE-RN</v>
      </c>
      <c r="AA7" s="430" t="str">
        <f t="shared" si="1"/>
        <v>IE-SO</v>
      </c>
      <c r="AB7" s="430" t="str">
        <f t="shared" si="1"/>
        <v>IE-CN</v>
      </c>
      <c r="AC7" s="430" t="str">
        <f t="shared" si="1"/>
        <v>IE-DL</v>
      </c>
      <c r="AD7" s="430" t="str">
        <f t="shared" si="1"/>
        <v>IE-MN</v>
      </c>
    </row>
    <row r="10" spans="1:30" ht="15" thickBot="1">
      <c r="A10" s="392" t="s">
        <v>855</v>
      </c>
      <c r="B10" s="392" t="s">
        <v>856</v>
      </c>
    </row>
    <row r="11" spans="1:30">
      <c r="A11" s="391" t="s">
        <v>829</v>
      </c>
      <c r="B11" s="391" t="s">
        <v>359</v>
      </c>
    </row>
    <row r="12" spans="1:30">
      <c r="A12" s="389" t="s">
        <v>830</v>
      </c>
      <c r="B12" s="389" t="s">
        <v>382</v>
      </c>
    </row>
    <row r="13" spans="1:30">
      <c r="A13" s="389" t="s">
        <v>831</v>
      </c>
      <c r="B13" s="389" t="s">
        <v>371</v>
      </c>
    </row>
    <row r="14" spans="1:30">
      <c r="A14" s="389" t="s">
        <v>832</v>
      </c>
      <c r="B14" s="389" t="s">
        <v>372</v>
      </c>
    </row>
    <row r="15" spans="1:30">
      <c r="A15" s="389" t="s">
        <v>833</v>
      </c>
      <c r="B15" s="389" t="s">
        <v>383</v>
      </c>
    </row>
    <row r="16" spans="1:30">
      <c r="A16" s="389" t="s">
        <v>834</v>
      </c>
      <c r="B16" s="389" t="s">
        <v>360</v>
      </c>
    </row>
    <row r="17" spans="1:2">
      <c r="A17" s="389" t="s">
        <v>835</v>
      </c>
      <c r="B17" s="389" t="s">
        <v>377</v>
      </c>
    </row>
    <row r="18" spans="1:2">
      <c r="A18" s="389" t="s">
        <v>836</v>
      </c>
      <c r="B18" s="389" t="s">
        <v>373</v>
      </c>
    </row>
    <row r="19" spans="1:2">
      <c r="A19" s="389" t="s">
        <v>837</v>
      </c>
      <c r="B19" s="389" t="s">
        <v>361</v>
      </c>
    </row>
    <row r="20" spans="1:2">
      <c r="A20" s="389" t="s">
        <v>838</v>
      </c>
      <c r="B20" s="389" t="s">
        <v>362</v>
      </c>
    </row>
    <row r="21" spans="1:2">
      <c r="A21" s="389" t="s">
        <v>839</v>
      </c>
      <c r="B21" s="389" t="s">
        <v>363</v>
      </c>
    </row>
    <row r="22" spans="1:2">
      <c r="A22" s="389" t="s">
        <v>840</v>
      </c>
      <c r="B22" s="389" t="s">
        <v>378</v>
      </c>
    </row>
    <row r="23" spans="1:2">
      <c r="A23" s="389" t="s">
        <v>841</v>
      </c>
      <c r="B23" s="389" t="s">
        <v>374</v>
      </c>
    </row>
    <row r="24" spans="1:2">
      <c r="A24" s="389" t="s">
        <v>842</v>
      </c>
      <c r="B24" s="389" t="s">
        <v>364</v>
      </c>
    </row>
    <row r="25" spans="1:2">
      <c r="A25" s="389" t="s">
        <v>843</v>
      </c>
      <c r="B25" s="389" t="s">
        <v>365</v>
      </c>
    </row>
    <row r="26" spans="1:2">
      <c r="A26" s="389" t="s">
        <v>844</v>
      </c>
      <c r="B26" s="389" t="s">
        <v>379</v>
      </c>
    </row>
    <row r="27" spans="1:2">
      <c r="A27" s="389" t="s">
        <v>845</v>
      </c>
      <c r="B27" s="389" t="s">
        <v>366</v>
      </c>
    </row>
    <row r="28" spans="1:2">
      <c r="A28" s="389" t="s">
        <v>846</v>
      </c>
      <c r="B28" s="389" t="s">
        <v>384</v>
      </c>
    </row>
    <row r="29" spans="1:2">
      <c r="A29" s="389" t="s">
        <v>847</v>
      </c>
      <c r="B29" s="389" t="s">
        <v>367</v>
      </c>
    </row>
    <row r="30" spans="1:2">
      <c r="A30" s="389" t="s">
        <v>848</v>
      </c>
      <c r="B30" s="389" t="s">
        <v>380</v>
      </c>
    </row>
    <row r="31" spans="1:2">
      <c r="A31" s="389" t="s">
        <v>849</v>
      </c>
      <c r="B31" s="389" t="s">
        <v>381</v>
      </c>
    </row>
    <row r="32" spans="1:2">
      <c r="A32" s="389" t="s">
        <v>850</v>
      </c>
      <c r="B32" s="389" t="s">
        <v>375</v>
      </c>
    </row>
    <row r="33" spans="1:2">
      <c r="A33" s="389" t="s">
        <v>851</v>
      </c>
      <c r="B33" s="389" t="s">
        <v>376</v>
      </c>
    </row>
    <row r="34" spans="1:2">
      <c r="A34" s="389" t="s">
        <v>852</v>
      </c>
      <c r="B34" s="389" t="s">
        <v>368</v>
      </c>
    </row>
    <row r="35" spans="1:2">
      <c r="A35" s="389" t="s">
        <v>853</v>
      </c>
      <c r="B35" s="389" t="s">
        <v>369</v>
      </c>
    </row>
    <row r="36" spans="1:2">
      <c r="A36" s="389" t="s">
        <v>854</v>
      </c>
      <c r="B36" s="389" t="s">
        <v>370</v>
      </c>
    </row>
    <row r="37" spans="1:2">
      <c r="A37" s="390" t="s">
        <v>857</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D18" sqref="D6:D18"/>
    </sheetView>
  </sheetViews>
  <sheetFormatPr defaultRowHeight="14.4"/>
  <cols>
    <col min="1" max="1" width="16.33203125" customWidth="1"/>
    <col min="2" max="2" width="16.33203125" style="548"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793</v>
      </c>
      <c r="C4" s="169" t="s">
        <v>61</v>
      </c>
      <c r="D4" s="169" t="s">
        <v>62</v>
      </c>
      <c r="E4" s="169" t="s">
        <v>63</v>
      </c>
      <c r="F4" s="169" t="s">
        <v>64</v>
      </c>
      <c r="G4" s="169" t="s">
        <v>65</v>
      </c>
      <c r="H4" s="169" t="s">
        <v>66</v>
      </c>
      <c r="I4" s="169" t="s">
        <v>67</v>
      </c>
    </row>
    <row r="5" spans="1:14" ht="28.8">
      <c r="A5" s="215" t="s">
        <v>455</v>
      </c>
      <c r="B5" s="215" t="s">
        <v>793</v>
      </c>
      <c r="C5" s="215" t="s">
        <v>456</v>
      </c>
      <c r="D5" s="215" t="s">
        <v>457</v>
      </c>
      <c r="E5" s="215" t="s">
        <v>63</v>
      </c>
      <c r="F5" s="215" t="s">
        <v>458</v>
      </c>
      <c r="G5" s="215" t="s">
        <v>459</v>
      </c>
      <c r="H5" s="215" t="s">
        <v>460</v>
      </c>
      <c r="I5" s="215" t="s">
        <v>461</v>
      </c>
    </row>
    <row r="6" spans="1:14">
      <c r="A6" s="56" t="s">
        <v>83</v>
      </c>
      <c r="B6" s="56" t="str">
        <f>_xlfn.TEXTJOIN(",",TRUE,Regions!$C$3:'Regions'!$AD$3)</f>
        <v>IE,IE-CW,IE-D,IE-KE,IE-KK,IE-LS,IE-LD,IE-LH,IE-MH,IE-OY,IE-WH,IE-WX,IE-WW,IE-CE,IE-CO,IE-KY,IE-LK,IE-TA,IE-WD,IE-G,IE-LM,IE-MO,IE-RN,IE-SO,IE-CN,IE-DL,IE-MN</v>
      </c>
      <c r="C6" s="478" t="s">
        <v>465</v>
      </c>
      <c r="D6" s="478" t="s">
        <v>958</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78" t="s">
        <v>464</v>
      </c>
      <c r="D7" s="478" t="s">
        <v>959</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78" t="s">
        <v>81</v>
      </c>
      <c r="D8" s="478" t="s">
        <v>960</v>
      </c>
      <c r="E8" s="56" t="s">
        <v>86</v>
      </c>
      <c r="F8" s="56"/>
      <c r="G8" s="56"/>
      <c r="H8" s="56"/>
      <c r="I8" s="56"/>
      <c r="N8"/>
    </row>
    <row r="9" spans="1:14" s="76" customFormat="1">
      <c r="A9" s="56"/>
      <c r="B9" s="847" t="str">
        <f>_xlfn.TEXTJOIN(",",TRUE,Regions!$C$3:'Regions'!$AD$3)</f>
        <v>IE,IE-CW,IE-D,IE-KE,IE-KK,IE-LS,IE-LD,IE-LH,IE-MH,IE-OY,IE-WH,IE-WX,IE-WW,IE-CE,IE-CO,IE-KY,IE-LK,IE-TA,IE-WD,IE-G,IE-LM,IE-MO,IE-RN,IE-SO,IE-CN,IE-DL,IE-MN</v>
      </c>
      <c r="C9" s="848" t="s">
        <v>84</v>
      </c>
      <c r="D9" s="848" t="s">
        <v>961</v>
      </c>
      <c r="E9" s="847" t="s">
        <v>86</v>
      </c>
      <c r="F9" s="847"/>
      <c r="G9" s="56"/>
      <c r="H9" s="56"/>
      <c r="I9" s="56"/>
    </row>
    <row r="10" spans="1:14">
      <c r="A10" s="56"/>
      <c r="B10" s="847" t="str">
        <f>_xlfn.TEXTJOIN(",",TRUE,Regions!$C$3:'Regions'!$AD$3)</f>
        <v>IE,IE-CW,IE-D,IE-KE,IE-KK,IE-LS,IE-LD,IE-LH,IE-MH,IE-OY,IE-WH,IE-WX,IE-WW,IE-CE,IE-CO,IE-KY,IE-LK,IE-TA,IE-WD,IE-G,IE-LM,IE-MO,IE-RN,IE-SO,IE-CN,IE-DL,IE-MN</v>
      </c>
      <c r="C10" s="848" t="s">
        <v>208</v>
      </c>
      <c r="D10" s="848" t="s">
        <v>962</v>
      </c>
      <c r="E10" s="847" t="s">
        <v>86</v>
      </c>
      <c r="F10" s="847"/>
      <c r="G10" s="56"/>
      <c r="H10" s="56"/>
      <c r="I10" s="56"/>
    </row>
    <row r="11" spans="1:14" s="25" customFormat="1">
      <c r="A11" s="56"/>
      <c r="B11" s="847" t="str">
        <f>_xlfn.TEXTJOIN(",",TRUE,Regions!$C$3:'Regions'!$AD$3)</f>
        <v>IE,IE-CW,IE-D,IE-KE,IE-KK,IE-LS,IE-LD,IE-LH,IE-MH,IE-OY,IE-WH,IE-WX,IE-WW,IE-CE,IE-CO,IE-KY,IE-LK,IE-TA,IE-WD,IE-G,IE-LM,IE-MO,IE-RN,IE-SO,IE-CN,IE-DL,IE-MN</v>
      </c>
      <c r="C11" s="848" t="s">
        <v>209</v>
      </c>
      <c r="D11" s="848" t="s">
        <v>963</v>
      </c>
      <c r="E11" s="847" t="s">
        <v>86</v>
      </c>
      <c r="F11" s="847"/>
      <c r="G11" s="56"/>
      <c r="H11" s="56"/>
      <c r="I11" s="56"/>
    </row>
    <row r="12" spans="1:14" s="42" customFormat="1">
      <c r="B12" s="847" t="str">
        <f>_xlfn.TEXTJOIN(",",TRUE,Regions!$C$3:'Regions'!$AD$3)</f>
        <v>IE,IE-CW,IE-D,IE-KE,IE-KK,IE-LS,IE-LD,IE-LH,IE-MH,IE-OY,IE-WH,IE-WX,IE-WW,IE-CE,IE-CO,IE-KY,IE-LK,IE-TA,IE-WD,IE-G,IE-LM,IE-MO,IE-RN,IE-SO,IE-CN,IE-DL,IE-MN</v>
      </c>
      <c r="C12" s="848" t="s">
        <v>1079</v>
      </c>
      <c r="D12" s="848" t="s">
        <v>1076</v>
      </c>
      <c r="E12" s="847" t="s">
        <v>86</v>
      </c>
      <c r="F12" s="12"/>
    </row>
    <row r="13" spans="1:14" s="76" customFormat="1">
      <c r="A13" s="56"/>
      <c r="B13" s="847" t="str">
        <f>_xlfn.TEXTJOIN(",",TRUE,Regions!$C$3:'Regions'!$AD$3)</f>
        <v>IE,IE-CW,IE-D,IE-KE,IE-KK,IE-LS,IE-LD,IE-LH,IE-MH,IE-OY,IE-WH,IE-WX,IE-WW,IE-CE,IE-CO,IE-KY,IE-LK,IE-TA,IE-WD,IE-G,IE-LM,IE-MO,IE-RN,IE-SO,IE-CN,IE-DL,IE-MN</v>
      </c>
      <c r="C13" s="848" t="s">
        <v>462</v>
      </c>
      <c r="D13" s="848" t="s">
        <v>964</v>
      </c>
      <c r="E13" s="847" t="s">
        <v>86</v>
      </c>
      <c r="F13" s="847"/>
      <c r="G13" s="56"/>
      <c r="H13" s="56"/>
      <c r="I13" s="56"/>
      <c r="J13" s="42"/>
    </row>
    <row r="14" spans="1:14" s="42" customFormat="1">
      <c r="A14" s="56"/>
      <c r="B14" s="847" t="str">
        <f>_xlfn.TEXTJOIN(",",TRUE,Regions!$C$3:'Regions'!$AD$3)</f>
        <v>IE,IE-CW,IE-D,IE-KE,IE-KK,IE-LS,IE-LD,IE-LH,IE-MH,IE-OY,IE-WH,IE-WX,IE-WW,IE-CE,IE-CO,IE-KY,IE-LK,IE-TA,IE-WD,IE-G,IE-LM,IE-MO,IE-RN,IE-SO,IE-CN,IE-DL,IE-MN</v>
      </c>
      <c r="C14" s="848" t="s">
        <v>463</v>
      </c>
      <c r="D14" s="848" t="s">
        <v>965</v>
      </c>
      <c r="E14" s="847" t="s">
        <v>86</v>
      </c>
      <c r="F14" s="847"/>
      <c r="G14" s="56"/>
      <c r="H14" s="56"/>
      <c r="I14" s="56"/>
      <c r="J14" s="76"/>
    </row>
    <row r="15" spans="1:14" s="42" customFormat="1">
      <c r="A15" s="360"/>
      <c r="B15" s="847" t="str">
        <f>_xlfn.TEXTJOIN(",",TRUE,Regions!$C$3:'Regions'!$AD$3)</f>
        <v>IE,IE-CW,IE-D,IE-KE,IE-KK,IE-LS,IE-LD,IE-LH,IE-MH,IE-OY,IE-WH,IE-WX,IE-WW,IE-CE,IE-CO,IE-KY,IE-LK,IE-TA,IE-WD,IE-G,IE-LM,IE-MO,IE-RN,IE-SO,IE-CN,IE-DL,IE-MN</v>
      </c>
      <c r="C15" s="848" t="s">
        <v>85</v>
      </c>
      <c r="D15" s="848" t="s">
        <v>966</v>
      </c>
      <c r="E15" s="458" t="s">
        <v>86</v>
      </c>
      <c r="F15" s="847"/>
      <c r="G15" s="56" t="s">
        <v>88</v>
      </c>
      <c r="H15" s="360"/>
      <c r="I15" s="360" t="s">
        <v>87</v>
      </c>
    </row>
    <row r="16" spans="1:14" s="25" customFormat="1">
      <c r="A16" s="42"/>
      <c r="B16" s="847" t="str">
        <f>_xlfn.TEXTJOIN(",",TRUE,Regions!$C$3:'Regions'!$AD$3)</f>
        <v>IE,IE-CW,IE-D,IE-KE,IE-KK,IE-LS,IE-LD,IE-LH,IE-MH,IE-OY,IE-WH,IE-WX,IE-WW,IE-CE,IE-CO,IE-KY,IE-LK,IE-TA,IE-WD,IE-G,IE-LM,IE-MO,IE-RN,IE-SO,IE-CN,IE-DL,IE-MN</v>
      </c>
      <c r="C16" s="848" t="s">
        <v>811</v>
      </c>
      <c r="D16" s="848" t="s">
        <v>967</v>
      </c>
      <c r="E16" s="458" t="s">
        <v>86</v>
      </c>
      <c r="F16" s="847"/>
      <c r="G16" s="56"/>
      <c r="H16" s="42"/>
      <c r="I16" s="42"/>
      <c r="J16" s="42"/>
    </row>
    <row r="17" spans="1:11" s="25" customFormat="1">
      <c r="B17" s="847" t="str">
        <f>_xlfn.TEXTJOIN(",",TRUE,Regions!$C$3:'Regions'!$AD$3)</f>
        <v>IE,IE-CW,IE-D,IE-KE,IE-KK,IE-LS,IE-LD,IE-LH,IE-MH,IE-OY,IE-WH,IE-WX,IE-WW,IE-CE,IE-CO,IE-KY,IE-LK,IE-TA,IE-WD,IE-G,IE-LM,IE-MO,IE-RN,IE-SO,IE-CN,IE-DL,IE-MN</v>
      </c>
      <c r="C17" s="848" t="s">
        <v>968</v>
      </c>
      <c r="D17" s="848" t="s">
        <v>969</v>
      </c>
      <c r="E17" s="458" t="s">
        <v>86</v>
      </c>
      <c r="F17" s="847"/>
      <c r="G17" s="56"/>
    </row>
    <row r="18" spans="1:11" s="25" customFormat="1">
      <c r="A18" s="200"/>
      <c r="B18" s="1004" t="str">
        <f>_xlfn.TEXTJOIN(",",TRUE,Regions!$C$3:'Regions'!$AD$3)</f>
        <v>IE,IE-CW,IE-D,IE-KE,IE-KK,IE-LS,IE-LD,IE-LH,IE-MH,IE-OY,IE-WH,IE-WX,IE-WW,IE-CE,IE-CO,IE-KY,IE-LK,IE-TA,IE-WD,IE-G,IE-LM,IE-MO,IE-RN,IE-SO,IE-CN,IE-DL,IE-MN</v>
      </c>
      <c r="C18" s="1005" t="s">
        <v>92</v>
      </c>
      <c r="D18" s="1005" t="s">
        <v>970</v>
      </c>
      <c r="E18" s="1006" t="s">
        <v>86</v>
      </c>
      <c r="F18" s="1006"/>
      <c r="G18" s="200"/>
      <c r="H18" s="200"/>
      <c r="I18" s="200"/>
    </row>
    <row r="19" spans="1:11" s="76" customFormat="1">
      <c r="A19" s="56" t="s">
        <v>89</v>
      </c>
      <c r="B19" s="56" t="str">
        <f>_xlfn.TEXTJOIN(",",TRUE,Regions!$C$3:'Regions'!$AD$3)</f>
        <v>IE,IE-CW,IE-D,IE-KE,IE-KK,IE-LS,IE-LD,IE-LH,IE-MH,IE-OY,IE-WH,IE-WX,IE-WW,IE-CE,IE-CO,IE-KY,IE-LK,IE-TA,IE-WD,IE-G,IE-LM,IE-MO,IE-RN,IE-SO,IE-CN,IE-DL,IE-MN</v>
      </c>
      <c r="C19" s="56" t="s">
        <v>911</v>
      </c>
      <c r="D19" s="27" t="s">
        <v>916</v>
      </c>
      <c r="E19" s="136" t="s">
        <v>819</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912</v>
      </c>
      <c r="D20" s="27" t="s">
        <v>914</v>
      </c>
      <c r="E20" s="136" t="s">
        <v>819</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913</v>
      </c>
      <c r="D21" s="27" t="s">
        <v>915</v>
      </c>
      <c r="E21" s="201" t="s">
        <v>819</v>
      </c>
      <c r="F21" s="56"/>
      <c r="G21" s="56"/>
      <c r="H21" s="56"/>
      <c r="I21" s="56"/>
      <c r="J21" s="56"/>
    </row>
    <row r="22" spans="1:11">
      <c r="A22" s="136"/>
      <c r="B22" s="56" t="str">
        <f>_xlfn.TEXTJOIN(",",TRUE,Regions!$C$3:'Regions'!$AD$3)</f>
        <v>IE,IE-CW,IE-D,IE-KE,IE-KK,IE-LS,IE-LD,IE-LH,IE-MH,IE-OY,IE-WH,IE-WX,IE-WW,IE-CE,IE-CO,IE-KY,IE-LK,IE-TA,IE-WD,IE-G,IE-LM,IE-MO,IE-RN,IE-SO,IE-CN,IE-DL,IE-MN</v>
      </c>
      <c r="C22" s="56" t="s">
        <v>1073</v>
      </c>
      <c r="D22" s="56" t="s">
        <v>803</v>
      </c>
      <c r="E22" s="201" t="s">
        <v>928</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802</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801</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800</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799</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798</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549"/>
      <c r="C34" s="360"/>
      <c r="D34" s="360"/>
      <c r="E34" s="2"/>
      <c r="F34" s="360"/>
      <c r="G34" s="360"/>
      <c r="H34" s="360"/>
      <c r="I34" s="360"/>
      <c r="K34" s="184"/>
    </row>
    <row r="35" spans="1:15">
      <c r="A35" s="311" t="s">
        <v>725</v>
      </c>
      <c r="B35" s="311"/>
      <c r="H35" s="56"/>
      <c r="I35" s="56"/>
      <c r="J35" s="25"/>
      <c r="K35" s="184"/>
    </row>
    <row r="36" spans="1:15" s="25" customFormat="1">
      <c r="A36" s="311" t="s">
        <v>726</v>
      </c>
      <c r="B36" s="311"/>
      <c r="C36"/>
      <c r="D36"/>
      <c r="E36"/>
      <c r="F36"/>
      <c r="G36"/>
      <c r="H36" s="201"/>
      <c r="I36" s="201"/>
      <c r="J36"/>
      <c r="K36" s="184"/>
    </row>
    <row r="37" spans="1:15" s="25" customFormat="1">
      <c r="A37" s="311" t="s">
        <v>724</v>
      </c>
      <c r="B37" s="311"/>
      <c r="C37"/>
      <c r="D37"/>
      <c r="E37"/>
      <c r="F37"/>
      <c r="G37"/>
      <c r="H37" s="201"/>
      <c r="I37" s="201"/>
      <c r="K37" s="184"/>
    </row>
    <row r="38" spans="1:15">
      <c r="A38" s="311" t="s">
        <v>727</v>
      </c>
      <c r="B38" s="311"/>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548"/>
    </row>
    <row r="46" spans="1:15">
      <c r="A46" s="201"/>
      <c r="C46" s="201"/>
      <c r="D46" s="201"/>
      <c r="E46" s="201"/>
      <c r="F46" s="201"/>
      <c r="G46" s="201"/>
      <c r="H46" s="201"/>
      <c r="I46" s="201"/>
      <c r="N46" s="201"/>
      <c r="O46" s="201"/>
    </row>
    <row r="47" spans="1:15" s="42" customFormat="1">
      <c r="A47" s="201"/>
      <c r="B47" s="548"/>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548"/>
    </row>
    <row r="51" spans="1:17" s="201" customFormat="1">
      <c r="B51" s="548"/>
    </row>
    <row r="52" spans="1:17" s="201" customFormat="1">
      <c r="B52" s="548"/>
    </row>
    <row r="53" spans="1:17" s="201" customFormat="1">
      <c r="A53"/>
      <c r="B53" s="548"/>
      <c r="C53"/>
      <c r="D53"/>
      <c r="E53"/>
      <c r="F53"/>
      <c r="G53"/>
    </row>
    <row r="54" spans="1:17" s="201" customFormat="1">
      <c r="A54"/>
      <c r="B54" s="548"/>
      <c r="C54"/>
      <c r="D54"/>
      <c r="E54"/>
      <c r="F54"/>
      <c r="G54"/>
    </row>
    <row r="55" spans="1:17" s="201" customFormat="1">
      <c r="A55"/>
      <c r="B55" s="548"/>
      <c r="C55"/>
      <c r="D55"/>
      <c r="E55"/>
      <c r="F55"/>
      <c r="G55"/>
      <c r="H55"/>
      <c r="I55"/>
    </row>
    <row r="56" spans="1:17" s="201" customFormat="1">
      <c r="B56" s="548"/>
      <c r="H56"/>
      <c r="I56"/>
    </row>
    <row r="57" spans="1:17" s="201" customFormat="1">
      <c r="B57" s="548"/>
      <c r="H57"/>
      <c r="I57"/>
    </row>
    <row r="58" spans="1:17" s="201" customFormat="1">
      <c r="A58"/>
      <c r="B58" s="548"/>
      <c r="C58"/>
      <c r="D58"/>
      <c r="E58"/>
      <c r="F58"/>
      <c r="G58"/>
    </row>
    <row r="59" spans="1:17" s="201" customFormat="1">
      <c r="A59"/>
      <c r="B59" s="548"/>
      <c r="C59"/>
      <c r="D59"/>
      <c r="E59"/>
      <c r="F59"/>
      <c r="G59"/>
    </row>
    <row r="60" spans="1:17" s="201" customFormat="1">
      <c r="A60"/>
      <c r="B60" s="548"/>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548"/>
      <c r="C64"/>
      <c r="D64"/>
      <c r="E64"/>
      <c r="F64"/>
      <c r="G64"/>
      <c r="H64"/>
      <c r="I64"/>
      <c r="J64" s="56"/>
    </row>
    <row r="65" spans="1:16" s="201" customFormat="1">
      <c r="A65" s="136"/>
      <c r="B65" s="548"/>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548"/>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548"/>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G10" sqref="G10"/>
    </sheetView>
  </sheetViews>
  <sheetFormatPr defaultRowHeight="14.4"/>
  <cols>
    <col min="3" max="3" width="11.33203125" style="548" customWidth="1"/>
    <col min="4" max="4" width="19.109375" bestFit="1" customWidth="1"/>
    <col min="5" max="5" width="49.109375" bestFit="1" customWidth="1"/>
  </cols>
  <sheetData>
    <row r="2" spans="2:10">
      <c r="B2" s="26" t="s">
        <v>59</v>
      </c>
      <c r="C2" s="26"/>
      <c r="D2" s="359"/>
      <c r="E2" s="359"/>
      <c r="F2" s="359"/>
      <c r="G2" s="359"/>
      <c r="H2" s="359"/>
      <c r="I2" s="359"/>
      <c r="J2" s="359"/>
    </row>
    <row r="3" spans="2:10">
      <c r="B3" s="837" t="s">
        <v>68</v>
      </c>
      <c r="C3" s="838" t="s">
        <v>793</v>
      </c>
      <c r="D3" s="837" t="s">
        <v>69</v>
      </c>
      <c r="E3" s="837" t="s">
        <v>70</v>
      </c>
      <c r="F3" s="837" t="s">
        <v>71</v>
      </c>
      <c r="G3" s="837" t="s">
        <v>72</v>
      </c>
      <c r="H3" s="837" t="s">
        <v>73</v>
      </c>
      <c r="I3" s="837" t="s">
        <v>74</v>
      </c>
      <c r="J3" s="837" t="s">
        <v>0</v>
      </c>
    </row>
    <row r="4" spans="2:10">
      <c r="B4" s="838" t="s">
        <v>648</v>
      </c>
      <c r="C4" s="838"/>
      <c r="D4" s="838"/>
      <c r="E4" s="838"/>
      <c r="F4" s="838"/>
      <c r="G4" s="838"/>
      <c r="H4" s="838"/>
      <c r="I4" s="838"/>
      <c r="J4" s="838"/>
    </row>
    <row r="5" spans="2:10">
      <c r="B5" s="839" t="s">
        <v>647</v>
      </c>
      <c r="C5" s="839"/>
      <c r="D5" s="839"/>
      <c r="E5" s="839"/>
      <c r="F5" s="839"/>
      <c r="G5" s="839"/>
      <c r="H5" s="839"/>
      <c r="I5" s="839"/>
      <c r="J5" s="839"/>
    </row>
    <row r="6" spans="2:10">
      <c r="B6" s="380" t="s">
        <v>804</v>
      </c>
      <c r="C6" s="380" t="str">
        <f>_xlfn.TEXTJOIN(",",TRUE,Regions!$C$3:'Regions'!$AD$3)</f>
        <v>IE,IE-CW,IE-D,IE-KE,IE-KK,IE-LS,IE-LD,IE-LH,IE-MH,IE-OY,IE-WH,IE-WX,IE-WW,IE-CE,IE-CO,IE-KY,IE-LK,IE-TA,IE-WD,IE-G,IE-LM,IE-MO,IE-RN,IE-SO,IE-CN,IE-DL,IE-MN</v>
      </c>
      <c r="D6" s="479" t="s">
        <v>971</v>
      </c>
      <c r="E6" s="479" t="s">
        <v>972</v>
      </c>
      <c r="F6" s="380" t="s">
        <v>819</v>
      </c>
      <c r="G6" s="380" t="s">
        <v>1130</v>
      </c>
      <c r="H6" s="380"/>
      <c r="I6" s="380"/>
      <c r="J6" s="380"/>
    </row>
    <row r="7" spans="2:10">
      <c r="B7" s="380" t="s">
        <v>804</v>
      </c>
      <c r="C7" s="380" t="str">
        <f>_xlfn.TEXTJOIN(",",TRUE,Regions!$C$3:'Regions'!$AD$3)</f>
        <v>IE,IE-CW,IE-D,IE-KE,IE-KK,IE-LS,IE-LD,IE-LH,IE-MH,IE-OY,IE-WH,IE-WX,IE-WW,IE-CE,IE-CO,IE-KY,IE-LK,IE-TA,IE-WD,IE-G,IE-LM,IE-MO,IE-RN,IE-SO,IE-CN,IE-DL,IE-MN</v>
      </c>
      <c r="D7" s="479" t="s">
        <v>973</v>
      </c>
      <c r="E7" s="479" t="s">
        <v>974</v>
      </c>
      <c r="F7" s="380" t="s">
        <v>819</v>
      </c>
      <c r="G7" s="380" t="s">
        <v>1130</v>
      </c>
      <c r="H7" s="380"/>
      <c r="I7" s="380"/>
      <c r="J7" s="380"/>
    </row>
    <row r="8" spans="2:10">
      <c r="B8" s="839" t="s">
        <v>523</v>
      </c>
      <c r="C8" s="839"/>
      <c r="D8" s="839"/>
      <c r="E8" s="839"/>
      <c r="F8" s="839"/>
      <c r="G8" s="839"/>
      <c r="H8" s="839"/>
      <c r="I8" s="839"/>
      <c r="J8" s="839"/>
    </row>
    <row r="9" spans="2:10">
      <c r="B9" s="380" t="s">
        <v>804</v>
      </c>
      <c r="C9" s="380" t="str">
        <f>_xlfn.TEXTJOIN(",",TRUE,Regions!$C$3:'Regions'!$AD$3)</f>
        <v>IE,IE-CW,IE-D,IE-KE,IE-KK,IE-LS,IE-LD,IE-LH,IE-MH,IE-OY,IE-WH,IE-WX,IE-WW,IE-CE,IE-CO,IE-KY,IE-LK,IE-TA,IE-WD,IE-G,IE-LM,IE-MO,IE-RN,IE-SO,IE-CN,IE-DL,IE-MN</v>
      </c>
      <c r="D9" s="479" t="s">
        <v>975</v>
      </c>
      <c r="E9" s="479" t="s">
        <v>976</v>
      </c>
      <c r="F9" s="380" t="s">
        <v>819</v>
      </c>
      <c r="G9" s="380" t="s">
        <v>1130</v>
      </c>
      <c r="H9" s="380"/>
      <c r="I9" s="380"/>
      <c r="J9" s="380"/>
    </row>
    <row r="10" spans="2:10">
      <c r="B10" s="839" t="s">
        <v>524</v>
      </c>
      <c r="C10" s="839"/>
      <c r="D10" s="839"/>
      <c r="E10" s="839"/>
      <c r="F10" s="840"/>
      <c r="G10" s="839"/>
      <c r="H10" s="839"/>
      <c r="I10" s="839"/>
      <c r="J10" s="839"/>
    </row>
    <row r="11" spans="2:10">
      <c r="B11" s="380" t="s">
        <v>804</v>
      </c>
      <c r="C11" s="380" t="str">
        <f>_xlfn.TEXTJOIN(",",TRUE,Regions!$C$3:'Regions'!$AD$3)</f>
        <v>IE,IE-CW,IE-D,IE-KE,IE-KK,IE-LS,IE-LD,IE-LH,IE-MH,IE-OY,IE-WH,IE-WX,IE-WW,IE-CE,IE-CO,IE-KY,IE-LK,IE-TA,IE-WD,IE-G,IE-LM,IE-MO,IE-RN,IE-SO,IE-CN,IE-DL,IE-MN</v>
      </c>
      <c r="D11" s="479" t="s">
        <v>977</v>
      </c>
      <c r="E11" s="479" t="s">
        <v>978</v>
      </c>
      <c r="F11" s="380" t="s">
        <v>819</v>
      </c>
      <c r="G11" s="380" t="s">
        <v>1130</v>
      </c>
      <c r="H11" s="380"/>
      <c r="I11" s="380"/>
      <c r="J11" s="380"/>
    </row>
    <row r="12" spans="2:10">
      <c r="B12" s="380" t="s">
        <v>804</v>
      </c>
      <c r="C12" s="380" t="str">
        <f>_xlfn.TEXTJOIN(",",TRUE,Regions!$C$3:'Regions'!$AD$3)</f>
        <v>IE,IE-CW,IE-D,IE-KE,IE-KK,IE-LS,IE-LD,IE-LH,IE-MH,IE-OY,IE-WH,IE-WX,IE-WW,IE-CE,IE-CO,IE-KY,IE-LK,IE-TA,IE-WD,IE-G,IE-LM,IE-MO,IE-RN,IE-SO,IE-CN,IE-DL,IE-MN</v>
      </c>
      <c r="D12" s="479" t="s">
        <v>979</v>
      </c>
      <c r="E12" s="479" t="s">
        <v>980</v>
      </c>
      <c r="F12" s="380" t="s">
        <v>819</v>
      </c>
      <c r="G12" s="380" t="s">
        <v>1130</v>
      </c>
      <c r="H12" s="380"/>
      <c r="I12" s="380"/>
      <c r="J12" s="380"/>
    </row>
    <row r="13" spans="2:10">
      <c r="B13" s="380" t="s">
        <v>804</v>
      </c>
      <c r="C13" s="380" t="str">
        <f>_xlfn.TEXTJOIN(",",TRUE,Regions!$C$3:'Regions'!$AD$3)</f>
        <v>IE,IE-CW,IE-D,IE-KE,IE-KK,IE-LS,IE-LD,IE-LH,IE-MH,IE-OY,IE-WH,IE-WX,IE-WW,IE-CE,IE-CO,IE-KY,IE-LK,IE-TA,IE-WD,IE-G,IE-LM,IE-MO,IE-RN,IE-SO,IE-CN,IE-DL,IE-MN</v>
      </c>
      <c r="D13" s="479" t="s">
        <v>981</v>
      </c>
      <c r="E13" s="479" t="s">
        <v>982</v>
      </c>
      <c r="F13" s="380" t="s">
        <v>819</v>
      </c>
      <c r="G13" s="380" t="s">
        <v>1130</v>
      </c>
      <c r="H13" s="380"/>
      <c r="I13" s="380"/>
      <c r="J13" s="380"/>
    </row>
    <row r="14" spans="2:10">
      <c r="B14" s="380" t="s">
        <v>804</v>
      </c>
      <c r="C14" s="380" t="str">
        <f>_xlfn.TEXTJOIN(",",TRUE,Regions!$C$3:'Regions'!$AD$3)</f>
        <v>IE,IE-CW,IE-D,IE-KE,IE-KK,IE-LS,IE-LD,IE-LH,IE-MH,IE-OY,IE-WH,IE-WX,IE-WW,IE-CE,IE-CO,IE-KY,IE-LK,IE-TA,IE-WD,IE-G,IE-LM,IE-MO,IE-RN,IE-SO,IE-CN,IE-DL,IE-MN</v>
      </c>
      <c r="D14" s="479" t="s">
        <v>983</v>
      </c>
      <c r="E14" s="479" t="s">
        <v>984</v>
      </c>
      <c r="F14" s="380" t="s">
        <v>819</v>
      </c>
      <c r="G14" s="380" t="s">
        <v>1130</v>
      </c>
      <c r="H14" s="380"/>
      <c r="I14" s="380"/>
      <c r="J14" s="380"/>
    </row>
    <row r="15" spans="2:10">
      <c r="B15" s="380" t="s">
        <v>804</v>
      </c>
      <c r="C15" s="380" t="str">
        <f>_xlfn.TEXTJOIN(",",TRUE,Regions!$C$3:'Regions'!$AD$3)</f>
        <v>IE,IE-CW,IE-D,IE-KE,IE-KK,IE-LS,IE-LD,IE-LH,IE-MH,IE-OY,IE-WH,IE-WX,IE-WW,IE-CE,IE-CO,IE-KY,IE-LK,IE-TA,IE-WD,IE-G,IE-LM,IE-MO,IE-RN,IE-SO,IE-CN,IE-DL,IE-MN</v>
      </c>
      <c r="D15" s="479" t="s">
        <v>985</v>
      </c>
      <c r="E15" s="479" t="s">
        <v>986</v>
      </c>
      <c r="F15" s="380" t="s">
        <v>819</v>
      </c>
      <c r="G15" s="380" t="s">
        <v>1130</v>
      </c>
      <c r="H15" s="380"/>
      <c r="I15" s="380"/>
      <c r="J15" s="380"/>
    </row>
    <row r="16" spans="2:10">
      <c r="B16" s="380" t="s">
        <v>804</v>
      </c>
      <c r="C16" s="380" t="str">
        <f>_xlfn.TEXTJOIN(",",TRUE,Regions!$C$3:'Regions'!$AD$3)</f>
        <v>IE,IE-CW,IE-D,IE-KE,IE-KK,IE-LS,IE-LD,IE-LH,IE-MH,IE-OY,IE-WH,IE-WX,IE-WW,IE-CE,IE-CO,IE-KY,IE-LK,IE-TA,IE-WD,IE-G,IE-LM,IE-MO,IE-RN,IE-SO,IE-CN,IE-DL,IE-MN</v>
      </c>
      <c r="D16" s="479" t="s">
        <v>987</v>
      </c>
      <c r="E16" s="479" t="s">
        <v>988</v>
      </c>
      <c r="F16" s="380" t="s">
        <v>819</v>
      </c>
      <c r="G16" s="380" t="s">
        <v>1130</v>
      </c>
      <c r="H16" s="380"/>
      <c r="I16" s="380"/>
      <c r="J16" s="380"/>
    </row>
    <row r="17" spans="2:10">
      <c r="B17" s="380" t="s">
        <v>804</v>
      </c>
      <c r="C17" s="380" t="str">
        <f>_xlfn.TEXTJOIN(",",TRUE,Regions!$C$3:'Regions'!$AD$3)</f>
        <v>IE,IE-CW,IE-D,IE-KE,IE-KK,IE-LS,IE-LD,IE-LH,IE-MH,IE-OY,IE-WH,IE-WX,IE-WW,IE-CE,IE-CO,IE-KY,IE-LK,IE-TA,IE-WD,IE-G,IE-LM,IE-MO,IE-RN,IE-SO,IE-CN,IE-DL,IE-MN</v>
      </c>
      <c r="D17" s="479" t="s">
        <v>989</v>
      </c>
      <c r="E17" s="479" t="s">
        <v>990</v>
      </c>
      <c r="F17" s="380" t="s">
        <v>819</v>
      </c>
      <c r="G17" s="380" t="s">
        <v>1130</v>
      </c>
      <c r="H17" s="380"/>
      <c r="I17" s="380"/>
      <c r="J17" s="380"/>
    </row>
    <row r="18" spans="2:10">
      <c r="B18" s="380" t="s">
        <v>804</v>
      </c>
      <c r="C18" s="380" t="str">
        <f>_xlfn.TEXTJOIN(",",TRUE,Regions!$C$3:'Regions'!$AD$3)</f>
        <v>IE,IE-CW,IE-D,IE-KE,IE-KK,IE-LS,IE-LD,IE-LH,IE-MH,IE-OY,IE-WH,IE-WX,IE-WW,IE-CE,IE-CO,IE-KY,IE-LK,IE-TA,IE-WD,IE-G,IE-LM,IE-MO,IE-RN,IE-SO,IE-CN,IE-DL,IE-MN</v>
      </c>
      <c r="D18" s="479" t="s">
        <v>991</v>
      </c>
      <c r="E18" s="479" t="s">
        <v>992</v>
      </c>
      <c r="F18" s="380" t="s">
        <v>819</v>
      </c>
      <c r="G18" s="380" t="s">
        <v>1130</v>
      </c>
      <c r="H18" s="380"/>
      <c r="I18" s="380"/>
      <c r="J18" s="380"/>
    </row>
    <row r="19" spans="2:10">
      <c r="B19" s="380" t="s">
        <v>804</v>
      </c>
      <c r="C19" s="380" t="str">
        <f>_xlfn.TEXTJOIN(",",TRUE,Regions!$C$3:'Regions'!$AD$3)</f>
        <v>IE,IE-CW,IE-D,IE-KE,IE-KK,IE-LS,IE-LD,IE-LH,IE-MH,IE-OY,IE-WH,IE-WX,IE-WW,IE-CE,IE-CO,IE-KY,IE-LK,IE-TA,IE-WD,IE-G,IE-LM,IE-MO,IE-RN,IE-SO,IE-CN,IE-DL,IE-MN</v>
      </c>
      <c r="D19" s="479" t="s">
        <v>993</v>
      </c>
      <c r="E19" s="479" t="s">
        <v>994</v>
      </c>
      <c r="F19" s="380" t="s">
        <v>819</v>
      </c>
      <c r="G19" s="380" t="s">
        <v>1130</v>
      </c>
      <c r="H19" s="380"/>
      <c r="I19" s="380"/>
      <c r="J19" s="380"/>
    </row>
    <row r="20" spans="2:10">
      <c r="B20" s="839" t="s">
        <v>539</v>
      </c>
      <c r="C20" s="839"/>
      <c r="D20" s="839"/>
      <c r="E20" s="839"/>
      <c r="F20" s="840"/>
      <c r="G20" s="839"/>
      <c r="H20" s="839"/>
      <c r="I20" s="839"/>
      <c r="J20" s="839"/>
    </row>
    <row r="21" spans="2:10">
      <c r="B21" s="380" t="s">
        <v>804</v>
      </c>
      <c r="C21" s="380" t="str">
        <f>_xlfn.TEXTJOIN(",",TRUE,Regions!$C$3:'Regions'!$AD$3)</f>
        <v>IE,IE-CW,IE-D,IE-KE,IE-KK,IE-LS,IE-LD,IE-LH,IE-MH,IE-OY,IE-WH,IE-WX,IE-WW,IE-CE,IE-CO,IE-KY,IE-LK,IE-TA,IE-WD,IE-G,IE-LM,IE-MO,IE-RN,IE-SO,IE-CN,IE-DL,IE-MN</v>
      </c>
      <c r="D21" s="479" t="s">
        <v>995</v>
      </c>
      <c r="E21" s="479" t="s">
        <v>996</v>
      </c>
      <c r="F21" s="380" t="s">
        <v>819</v>
      </c>
      <c r="G21" s="380" t="s">
        <v>1130</v>
      </c>
      <c r="H21" s="380"/>
      <c r="I21" s="380"/>
      <c r="J21" s="380"/>
    </row>
    <row r="22" spans="2:10">
      <c r="B22" s="380" t="s">
        <v>804</v>
      </c>
      <c r="C22" s="380" t="str">
        <f>_xlfn.TEXTJOIN(",",TRUE,Regions!$C$3:'Regions'!$AD$3)</f>
        <v>IE,IE-CW,IE-D,IE-KE,IE-KK,IE-LS,IE-LD,IE-LH,IE-MH,IE-OY,IE-WH,IE-WX,IE-WW,IE-CE,IE-CO,IE-KY,IE-LK,IE-TA,IE-WD,IE-G,IE-LM,IE-MO,IE-RN,IE-SO,IE-CN,IE-DL,IE-MN</v>
      </c>
      <c r="D22" s="479" t="s">
        <v>997</v>
      </c>
      <c r="E22" s="479" t="s">
        <v>998</v>
      </c>
      <c r="F22" s="380" t="s">
        <v>819</v>
      </c>
      <c r="G22" s="380" t="s">
        <v>1130</v>
      </c>
      <c r="H22" s="380"/>
      <c r="I22" s="380"/>
      <c r="J22" s="380"/>
    </row>
    <row r="23" spans="2:10">
      <c r="B23" s="380" t="s">
        <v>804</v>
      </c>
      <c r="C23" s="380" t="str">
        <f>_xlfn.TEXTJOIN(",",TRUE,Regions!$C$3:'Regions'!$AD$3)</f>
        <v>IE,IE-CW,IE-D,IE-KE,IE-KK,IE-LS,IE-LD,IE-LH,IE-MH,IE-OY,IE-WH,IE-WX,IE-WW,IE-CE,IE-CO,IE-KY,IE-LK,IE-TA,IE-WD,IE-G,IE-LM,IE-MO,IE-RN,IE-SO,IE-CN,IE-DL,IE-MN</v>
      </c>
      <c r="D23" s="479" t="s">
        <v>999</v>
      </c>
      <c r="E23" s="479" t="s">
        <v>1000</v>
      </c>
      <c r="F23" s="380" t="s">
        <v>819</v>
      </c>
      <c r="G23" s="380" t="s">
        <v>1130</v>
      </c>
      <c r="H23" s="380"/>
      <c r="I23" s="380"/>
      <c r="J23" s="380"/>
    </row>
    <row r="24" spans="2:10">
      <c r="B24" s="839" t="s">
        <v>575</v>
      </c>
      <c r="C24" s="839"/>
      <c r="D24" s="839"/>
      <c r="E24" s="839"/>
      <c r="F24" s="840"/>
      <c r="G24" s="839"/>
      <c r="H24" s="839"/>
      <c r="I24" s="839"/>
      <c r="J24" s="839"/>
    </row>
    <row r="25" spans="2:10">
      <c r="B25" s="380" t="s">
        <v>804</v>
      </c>
      <c r="C25" s="380" t="str">
        <f>_xlfn.TEXTJOIN(",",TRUE,Regions!$C$3:'Regions'!$AD$3)</f>
        <v>IE,IE-CW,IE-D,IE-KE,IE-KK,IE-LS,IE-LD,IE-LH,IE-MH,IE-OY,IE-WH,IE-WX,IE-WW,IE-CE,IE-CO,IE-KY,IE-LK,IE-TA,IE-WD,IE-G,IE-LM,IE-MO,IE-RN,IE-SO,IE-CN,IE-DL,IE-MN</v>
      </c>
      <c r="D25" s="479" t="s">
        <v>1001</v>
      </c>
      <c r="E25" s="479" t="s">
        <v>1002</v>
      </c>
      <c r="F25" s="380" t="s">
        <v>819</v>
      </c>
      <c r="G25" s="380" t="s">
        <v>1130</v>
      </c>
      <c r="H25" s="380"/>
      <c r="I25" s="380"/>
      <c r="J25" s="380"/>
    </row>
    <row r="26" spans="2:10">
      <c r="B26" s="839" t="s">
        <v>113</v>
      </c>
      <c r="C26" s="839"/>
      <c r="D26" s="839"/>
      <c r="E26" s="839"/>
      <c r="F26" s="840"/>
      <c r="G26" s="839"/>
      <c r="H26" s="839"/>
      <c r="I26" s="839"/>
      <c r="J26" s="839"/>
    </row>
    <row r="27" spans="2:10">
      <c r="B27" s="380" t="s">
        <v>804</v>
      </c>
      <c r="C27" s="380" t="str">
        <f>_xlfn.TEXTJOIN(",",TRUE,Regions!$C$3:'Regions'!$AD$3)</f>
        <v>IE,IE-CW,IE-D,IE-KE,IE-KK,IE-LS,IE-LD,IE-LH,IE-MH,IE-OY,IE-WH,IE-WX,IE-WW,IE-CE,IE-CO,IE-KY,IE-LK,IE-TA,IE-WD,IE-G,IE-LM,IE-MO,IE-RN,IE-SO,IE-CN,IE-DL,IE-MN</v>
      </c>
      <c r="D27" s="479" t="s">
        <v>1074</v>
      </c>
      <c r="E27" s="479" t="s">
        <v>1003</v>
      </c>
      <c r="F27" s="380" t="s">
        <v>819</v>
      </c>
      <c r="G27" s="380" t="s">
        <v>1130</v>
      </c>
      <c r="H27" s="380"/>
      <c r="I27" s="380"/>
      <c r="J27" s="380"/>
    </row>
    <row r="28" spans="2:10">
      <c r="B28" s="380" t="s">
        <v>804</v>
      </c>
      <c r="C28" s="380" t="str">
        <f>_xlfn.TEXTJOIN(",",TRUE,Regions!$C$3:'Regions'!$AD$3)</f>
        <v>IE,IE-CW,IE-D,IE-KE,IE-KK,IE-LS,IE-LD,IE-LH,IE-MH,IE-OY,IE-WH,IE-WX,IE-WW,IE-CE,IE-CO,IE-KY,IE-LK,IE-TA,IE-WD,IE-G,IE-LM,IE-MO,IE-RN,IE-SO,IE-CN,IE-DL,IE-MN</v>
      </c>
      <c r="D28" s="479" t="s">
        <v>1075</v>
      </c>
      <c r="E28" s="479" t="s">
        <v>1004</v>
      </c>
      <c r="F28" s="380" t="s">
        <v>819</v>
      </c>
      <c r="G28" s="380" t="s">
        <v>1130</v>
      </c>
      <c r="H28" s="380"/>
      <c r="I28" s="380"/>
      <c r="J28" s="380"/>
    </row>
    <row r="29" spans="2:10">
      <c r="B29" s="380" t="s">
        <v>804</v>
      </c>
      <c r="C29" s="380" t="str">
        <f>_xlfn.TEXTJOIN(",",TRUE,Regions!$C$3:'Regions'!$AD$3)</f>
        <v>IE,IE-CW,IE-D,IE-KE,IE-KK,IE-LS,IE-LD,IE-LH,IE-MH,IE-OY,IE-WH,IE-WX,IE-WW,IE-CE,IE-CO,IE-KY,IE-LK,IE-TA,IE-WD,IE-G,IE-LM,IE-MO,IE-RN,IE-SO,IE-CN,IE-DL,IE-MN</v>
      </c>
      <c r="D29" s="479" t="s">
        <v>1005</v>
      </c>
      <c r="E29" s="479" t="s">
        <v>1006</v>
      </c>
      <c r="F29" s="380" t="s">
        <v>819</v>
      </c>
      <c r="G29" s="380" t="s">
        <v>1130</v>
      </c>
      <c r="H29" s="380"/>
      <c r="I29" s="380"/>
      <c r="J29" s="380"/>
    </row>
    <row r="30" spans="2:10">
      <c r="B30" s="838" t="s">
        <v>1131</v>
      </c>
      <c r="C30" s="838"/>
      <c r="D30" s="838"/>
      <c r="E30" s="838"/>
      <c r="F30" s="838"/>
      <c r="G30" s="838"/>
      <c r="H30" s="838"/>
      <c r="I30" s="838"/>
      <c r="J30" s="838"/>
    </row>
    <row r="31" spans="2:10">
      <c r="B31" s="839" t="s">
        <v>810</v>
      </c>
      <c r="C31" s="839"/>
      <c r="D31" s="839"/>
      <c r="E31" s="839"/>
      <c r="F31" s="840"/>
      <c r="G31" s="839"/>
      <c r="H31" s="839"/>
      <c r="I31" s="839"/>
      <c r="J31" s="839"/>
    </row>
    <row r="32" spans="2:10">
      <c r="B32" s="380" t="s">
        <v>804</v>
      </c>
      <c r="C32" s="380" t="str">
        <f>_xlfn.TEXTJOIN(",",TRUE,Regions!$C$3:'Regions'!$AD$3)</f>
        <v>IE,IE-CW,IE-D,IE-KE,IE-KK,IE-LS,IE-LD,IE-LH,IE-MH,IE-OY,IE-WH,IE-WX,IE-WW,IE-CE,IE-CO,IE-KY,IE-LK,IE-TA,IE-WD,IE-G,IE-LM,IE-MO,IE-RN,IE-SO,IE-CN,IE-DL,IE-MN</v>
      </c>
      <c r="D32" s="479" t="s">
        <v>1007</v>
      </c>
      <c r="E32" s="479" t="s">
        <v>1008</v>
      </c>
      <c r="F32" s="380" t="s">
        <v>928</v>
      </c>
      <c r="G32" s="380" t="s">
        <v>1130</v>
      </c>
      <c r="H32" s="380"/>
      <c r="I32" s="380"/>
      <c r="J32" s="380"/>
    </row>
    <row r="33" spans="2:10">
      <c r="B33" s="380" t="s">
        <v>804</v>
      </c>
      <c r="C33" s="380" t="str">
        <f>_xlfn.TEXTJOIN(",",TRUE,Regions!$C$3:'Regions'!$AD$3)</f>
        <v>IE,IE-CW,IE-D,IE-KE,IE-KK,IE-LS,IE-LD,IE-LH,IE-MH,IE-OY,IE-WH,IE-WX,IE-WW,IE-CE,IE-CO,IE-KY,IE-LK,IE-TA,IE-WD,IE-G,IE-LM,IE-MO,IE-RN,IE-SO,IE-CN,IE-DL,IE-MN</v>
      </c>
      <c r="D33" s="479" t="s">
        <v>1062</v>
      </c>
      <c r="E33" s="479" t="s">
        <v>1061</v>
      </c>
      <c r="F33" s="380" t="s">
        <v>928</v>
      </c>
      <c r="G33" s="380" t="s">
        <v>1130</v>
      </c>
      <c r="H33" s="380"/>
      <c r="I33" s="380"/>
      <c r="J33" s="380"/>
    </row>
    <row r="34" spans="2:10">
      <c r="B34" s="380" t="s">
        <v>804</v>
      </c>
      <c r="C34" s="380" t="str">
        <f>_xlfn.TEXTJOIN(",",TRUE,Regions!$C$3:'Regions'!$AD$3)</f>
        <v>IE,IE-CW,IE-D,IE-KE,IE-KK,IE-LS,IE-LD,IE-LH,IE-MH,IE-OY,IE-WH,IE-WX,IE-WW,IE-CE,IE-CO,IE-KY,IE-LK,IE-TA,IE-WD,IE-G,IE-LM,IE-MO,IE-RN,IE-SO,IE-CN,IE-DL,IE-MN</v>
      </c>
      <c r="D34" s="479" t="s">
        <v>1063</v>
      </c>
      <c r="E34" s="479" t="s">
        <v>1064</v>
      </c>
      <c r="F34" s="380" t="s">
        <v>928</v>
      </c>
      <c r="G34" s="380" t="s">
        <v>1130</v>
      </c>
      <c r="H34" s="380"/>
      <c r="I34" s="380"/>
      <c r="J34" s="380"/>
    </row>
    <row r="35" spans="2:10">
      <c r="B35" s="380" t="s">
        <v>804</v>
      </c>
      <c r="C35" s="380" t="str">
        <f>_xlfn.TEXTJOIN(",",TRUE,Regions!$C$3:'Regions'!$AD$3)</f>
        <v>IE,IE-CW,IE-D,IE-KE,IE-KK,IE-LS,IE-LD,IE-LH,IE-MH,IE-OY,IE-WH,IE-WX,IE-WW,IE-CE,IE-CO,IE-KY,IE-LK,IE-TA,IE-WD,IE-G,IE-LM,IE-MO,IE-RN,IE-SO,IE-CN,IE-DL,IE-MN</v>
      </c>
      <c r="D35" s="479" t="s">
        <v>1009</v>
      </c>
      <c r="E35" s="479" t="s">
        <v>1010</v>
      </c>
      <c r="F35" s="380" t="s">
        <v>928</v>
      </c>
      <c r="G35" s="380" t="s">
        <v>1130</v>
      </c>
      <c r="H35" s="380"/>
      <c r="I35" s="380"/>
      <c r="J35" s="380"/>
    </row>
    <row r="36" spans="2:10">
      <c r="B36" s="380" t="s">
        <v>804</v>
      </c>
      <c r="C36" s="380" t="str">
        <f>_xlfn.TEXTJOIN(",",TRUE,Regions!$C$3:'Regions'!$AD$3)</f>
        <v>IE,IE-CW,IE-D,IE-KE,IE-KK,IE-LS,IE-LD,IE-LH,IE-MH,IE-OY,IE-WH,IE-WX,IE-WW,IE-CE,IE-CO,IE-KY,IE-LK,IE-TA,IE-WD,IE-G,IE-LM,IE-MO,IE-RN,IE-SO,IE-CN,IE-DL,IE-MN</v>
      </c>
      <c r="D36" s="479" t="s">
        <v>1011</v>
      </c>
      <c r="E36" s="479" t="s">
        <v>1012</v>
      </c>
      <c r="F36" s="380" t="s">
        <v>928</v>
      </c>
      <c r="G36" s="380" t="s">
        <v>1130</v>
      </c>
      <c r="H36" s="380"/>
      <c r="I36" s="380"/>
      <c r="J36" s="380"/>
    </row>
    <row r="37" spans="2:10">
      <c r="B37" s="839" t="s">
        <v>728</v>
      </c>
      <c r="C37" s="839"/>
      <c r="D37" s="839"/>
      <c r="E37" s="839"/>
      <c r="F37" s="840"/>
      <c r="G37" s="839"/>
      <c r="H37" s="839"/>
      <c r="I37" s="839"/>
      <c r="J37" s="839"/>
    </row>
    <row r="38" spans="2:10">
      <c r="B38" s="380" t="s">
        <v>804</v>
      </c>
      <c r="C38" s="380" t="str">
        <f>_xlfn.TEXTJOIN(",",TRUE,Regions!$C$3:'Regions'!$AD$3)</f>
        <v>IE,IE-CW,IE-D,IE-KE,IE-KK,IE-LS,IE-LD,IE-LH,IE-MH,IE-OY,IE-WH,IE-WX,IE-WW,IE-CE,IE-CO,IE-KY,IE-LK,IE-TA,IE-WD,IE-G,IE-LM,IE-MO,IE-RN,IE-SO,IE-CN,IE-DL,IE-MN</v>
      </c>
      <c r="D38" s="479" t="s">
        <v>1013</v>
      </c>
      <c r="E38" s="479" t="s">
        <v>1014</v>
      </c>
      <c r="F38" s="380" t="s">
        <v>86</v>
      </c>
      <c r="G38" s="378" t="s">
        <v>821</v>
      </c>
      <c r="H38" s="380"/>
      <c r="I38" s="380"/>
      <c r="J38" s="380"/>
    </row>
    <row r="39" spans="2:10">
      <c r="B39" s="380" t="s">
        <v>804</v>
      </c>
      <c r="C39" s="380" t="str">
        <f>_xlfn.TEXTJOIN(",",TRUE,Regions!$C$3:'Regions'!$AD$3)</f>
        <v>IE,IE-CW,IE-D,IE-KE,IE-KK,IE-LS,IE-LD,IE-LH,IE-MH,IE-OY,IE-WH,IE-WX,IE-WW,IE-CE,IE-CO,IE-KY,IE-LK,IE-TA,IE-WD,IE-G,IE-LM,IE-MO,IE-RN,IE-SO,IE-CN,IE-DL,IE-MN</v>
      </c>
      <c r="D39" s="479" t="s">
        <v>1015</v>
      </c>
      <c r="E39" s="479" t="s">
        <v>1016</v>
      </c>
      <c r="F39" s="380" t="s">
        <v>86</v>
      </c>
      <c r="G39" s="378" t="s">
        <v>821</v>
      </c>
      <c r="H39" s="380"/>
      <c r="I39" s="380"/>
      <c r="J39" s="380"/>
    </row>
    <row r="40" spans="2:10">
      <c r="B40" s="380" t="s">
        <v>804</v>
      </c>
      <c r="C40" s="380" t="str">
        <f>_xlfn.TEXTJOIN(",",TRUE,Regions!$C$3:'Regions'!$AD$3)</f>
        <v>IE,IE-CW,IE-D,IE-KE,IE-KK,IE-LS,IE-LD,IE-LH,IE-MH,IE-OY,IE-WH,IE-WX,IE-WW,IE-CE,IE-CO,IE-KY,IE-LK,IE-TA,IE-WD,IE-G,IE-LM,IE-MO,IE-RN,IE-SO,IE-CN,IE-DL,IE-MN</v>
      </c>
      <c r="D40" s="479" t="s">
        <v>1017</v>
      </c>
      <c r="E40" s="479" t="s">
        <v>1018</v>
      </c>
      <c r="F40" s="380" t="s">
        <v>86</v>
      </c>
      <c r="G40" s="378" t="s">
        <v>821</v>
      </c>
      <c r="H40" s="380"/>
      <c r="I40" s="380"/>
      <c r="J40" s="380"/>
    </row>
    <row r="41" spans="2:10">
      <c r="B41" s="839" t="s">
        <v>729</v>
      </c>
      <c r="C41" s="839"/>
      <c r="D41" s="839"/>
      <c r="E41" s="839"/>
      <c r="F41" s="840"/>
      <c r="G41" s="839"/>
      <c r="H41" s="839"/>
      <c r="I41" s="839"/>
      <c r="J41" s="839"/>
    </row>
    <row r="42" spans="2:10">
      <c r="B42" s="380" t="s">
        <v>804</v>
      </c>
      <c r="C42" s="380" t="str">
        <f>_xlfn.TEXTJOIN(",",TRUE,Regions!$C$3:'Regions'!$AD$3)</f>
        <v>IE,IE-CW,IE-D,IE-KE,IE-KK,IE-LS,IE-LD,IE-LH,IE-MH,IE-OY,IE-WH,IE-WX,IE-WW,IE-CE,IE-CO,IE-KY,IE-LK,IE-TA,IE-WD,IE-G,IE-LM,IE-MO,IE-RN,IE-SO,IE-CN,IE-DL,IE-MN</v>
      </c>
      <c r="D42" s="479" t="s">
        <v>1019</v>
      </c>
      <c r="E42" s="479" t="s">
        <v>1020</v>
      </c>
      <c r="F42" s="380" t="s">
        <v>86</v>
      </c>
      <c r="G42" s="378" t="s">
        <v>821</v>
      </c>
      <c r="H42" s="380"/>
      <c r="I42" s="380"/>
      <c r="J42" s="380"/>
    </row>
    <row r="43" spans="2:10">
      <c r="B43" s="380" t="s">
        <v>804</v>
      </c>
      <c r="C43" s="380" t="str">
        <f>_xlfn.TEXTJOIN(",",TRUE,Regions!$C$3:'Regions'!$AD$3)</f>
        <v>IE,IE-CW,IE-D,IE-KE,IE-KK,IE-LS,IE-LD,IE-LH,IE-MH,IE-OY,IE-WH,IE-WX,IE-WW,IE-CE,IE-CO,IE-KY,IE-LK,IE-TA,IE-WD,IE-G,IE-LM,IE-MO,IE-RN,IE-SO,IE-CN,IE-DL,IE-MN</v>
      </c>
      <c r="D43" s="1" t="s">
        <v>1021</v>
      </c>
      <c r="E43" s="1" t="s">
        <v>1022</v>
      </c>
      <c r="F43" s="841" t="s">
        <v>86</v>
      </c>
      <c r="G43" s="842" t="s">
        <v>821</v>
      </c>
      <c r="H43" s="841"/>
      <c r="I43" s="841"/>
      <c r="J43" s="841"/>
    </row>
    <row r="44" spans="2:10">
      <c r="B44" s="838" t="s">
        <v>1132</v>
      </c>
      <c r="C44" s="838"/>
      <c r="D44" s="838"/>
      <c r="E44" s="838"/>
      <c r="F44" s="838"/>
      <c r="G44" s="838"/>
      <c r="H44" s="838"/>
      <c r="I44" s="838"/>
      <c r="J44" s="838"/>
    </row>
    <row r="45" spans="2:10">
      <c r="B45" s="353" t="s">
        <v>814</v>
      </c>
      <c r="C45" s="479" t="str">
        <f>_xlfn.TEXTJOIN(",",TRUE,Regions!$C$3:'Regions'!$AD$3)</f>
        <v>IE,IE-CW,IE-D,IE-KE,IE-KK,IE-LS,IE-LD,IE-LH,IE-MH,IE-OY,IE-WH,IE-WX,IE-WW,IE-CE,IE-CO,IE-KY,IE-LK,IE-TA,IE-WD,IE-G,IE-LM,IE-MO,IE-RN,IE-SO,IE-CN,IE-DL,IE-MN</v>
      </c>
      <c r="D45" s="380" t="str">
        <f>_xlfn.TEXTJOIN("-",TRUE,"FT",Commodities!C6)</f>
        <v>FT-TRAWLK</v>
      </c>
      <c r="E45" s="381" t="str">
        <f>"TRA "&amp;Commodities!D6</f>
        <v>TRA Walking (TRA)</v>
      </c>
      <c r="F45" s="380" t="s">
        <v>86</v>
      </c>
      <c r="G45" s="380" t="s">
        <v>821</v>
      </c>
      <c r="H45" s="380"/>
      <c r="I45" s="380"/>
      <c r="J45" s="380"/>
    </row>
    <row r="46" spans="2:10">
      <c r="B46" s="353" t="s">
        <v>814</v>
      </c>
      <c r="C46" s="380" t="str">
        <f>_xlfn.TEXTJOIN(",",TRUE,Regions!$C$3:'Regions'!$AD$3)</f>
        <v>IE,IE-CW,IE-D,IE-KE,IE-KK,IE-LS,IE-LD,IE-LH,IE-MH,IE-OY,IE-WH,IE-WX,IE-WW,IE-CE,IE-CO,IE-KY,IE-LK,IE-TA,IE-WD,IE-G,IE-LM,IE-MO,IE-RN,IE-SO,IE-CN,IE-DL,IE-MN</v>
      </c>
      <c r="D46" s="380" t="str">
        <f>_xlfn.TEXTJOIN("-",TRUE,"FT",Commodities!C7)</f>
        <v>FT-TRACYC</v>
      </c>
      <c r="E46" s="381" t="str">
        <f>"TRA "&amp;Commodities!D7</f>
        <v>TRA Cycling (TRA)</v>
      </c>
      <c r="F46" s="380" t="s">
        <v>86</v>
      </c>
      <c r="G46" s="380" t="s">
        <v>821</v>
      </c>
      <c r="H46" s="380"/>
      <c r="I46" s="380"/>
      <c r="J46" s="380"/>
    </row>
    <row r="47" spans="2:10">
      <c r="B47" s="353" t="s">
        <v>814</v>
      </c>
      <c r="C47" s="380" t="str">
        <f>_xlfn.TEXTJOIN(",",TRUE,Regions!$C$3:'Regions'!$AD$3)</f>
        <v>IE,IE-CW,IE-D,IE-KE,IE-KK,IE-LS,IE-LD,IE-LH,IE-MH,IE-OY,IE-WH,IE-WX,IE-WW,IE-CE,IE-CO,IE-KY,IE-LK,IE-TA,IE-WD,IE-G,IE-LM,IE-MO,IE-RN,IE-SO,IE-CN,IE-DL,IE-MN</v>
      </c>
      <c r="D47" s="380" t="str">
        <f>_xlfn.TEXTJOIN("-",TRUE,"FT",Commodities!C8)</f>
        <v>FT-TRAGSL</v>
      </c>
      <c r="E47" s="381" t="str">
        <f>"TRA "&amp;Commodities!D8</f>
        <v>TRA Gasoline (TRA)</v>
      </c>
      <c r="F47" s="380" t="s">
        <v>86</v>
      </c>
      <c r="G47" s="380" t="s">
        <v>821</v>
      </c>
      <c r="H47" s="380"/>
      <c r="I47" s="380"/>
      <c r="J47" s="380"/>
    </row>
    <row r="48" spans="2:10">
      <c r="B48" s="353" t="s">
        <v>814</v>
      </c>
      <c r="C48" s="378" t="str">
        <f>_xlfn.TEXTJOIN(",",TRUE,Regions!$C$3:'Regions'!$AD$3)</f>
        <v>IE,IE-CW,IE-D,IE-KE,IE-KK,IE-LS,IE-LD,IE-LH,IE-MH,IE-OY,IE-WH,IE-WX,IE-WW,IE-CE,IE-CO,IE-KY,IE-LK,IE-TA,IE-WD,IE-G,IE-LM,IE-MO,IE-RN,IE-SO,IE-CN,IE-DL,IE-MN</v>
      </c>
      <c r="D48" s="380" t="str">
        <f>_xlfn.TEXTJOIN("-",TRUE,"FT",Commodities!C9)</f>
        <v>FT-TRADST</v>
      </c>
      <c r="E48" s="381" t="str">
        <f>"TRA "&amp;Commodities!D9</f>
        <v>TRA Diesel (TRA)</v>
      </c>
      <c r="F48" s="380" t="s">
        <v>86</v>
      </c>
      <c r="G48" s="380" t="s">
        <v>821</v>
      </c>
      <c r="H48" s="378"/>
      <c r="I48" s="378"/>
      <c r="J48" s="378"/>
    </row>
    <row r="49" spans="2:10">
      <c r="B49" s="353" t="s">
        <v>814</v>
      </c>
      <c r="C49" s="378" t="str">
        <f>_xlfn.TEXTJOIN(",",TRUE,Regions!$C$3:'Regions'!$AD$3)</f>
        <v>IE,IE-CW,IE-D,IE-KE,IE-KK,IE-LS,IE-LD,IE-LH,IE-MH,IE-OY,IE-WH,IE-WX,IE-WW,IE-CE,IE-CO,IE-KY,IE-LK,IE-TA,IE-WD,IE-G,IE-LM,IE-MO,IE-RN,IE-SO,IE-CN,IE-DL,IE-MN</v>
      </c>
      <c r="D49" s="380" t="str">
        <f>_xlfn.TEXTJOIN("-",TRUE,"FT",Commodities!C10)</f>
        <v>FT-TRAETH</v>
      </c>
      <c r="E49" s="381" t="str">
        <f>"TRA "&amp;Commodities!D10</f>
        <v>TRA BioEthanol (TRA)</v>
      </c>
      <c r="F49" s="380" t="s">
        <v>86</v>
      </c>
      <c r="G49" s="380" t="s">
        <v>821</v>
      </c>
      <c r="H49" s="378"/>
      <c r="I49" s="378"/>
      <c r="J49" s="378"/>
    </row>
    <row r="50" spans="2:10">
      <c r="B50" s="353" t="s">
        <v>814</v>
      </c>
      <c r="C50" s="378" t="str">
        <f>_xlfn.TEXTJOIN(",",TRUE,Regions!$C$3:'Regions'!$AD$3)</f>
        <v>IE,IE-CW,IE-D,IE-KE,IE-KK,IE-LS,IE-LD,IE-LH,IE-MH,IE-OY,IE-WH,IE-WX,IE-WW,IE-CE,IE-CO,IE-KY,IE-LK,IE-TA,IE-WD,IE-G,IE-LM,IE-MO,IE-RN,IE-SO,IE-CN,IE-DL,IE-MN</v>
      </c>
      <c r="D50" s="380" t="str">
        <f>_xlfn.TEXTJOIN("-",TRUE,"FT",Commodities!C11)</f>
        <v>FT-TRABDL</v>
      </c>
      <c r="E50" s="381" t="str">
        <f>"TRA "&amp;Commodities!D11</f>
        <v>TRA BioDiesel (TRA)</v>
      </c>
      <c r="F50" s="380" t="s">
        <v>86</v>
      </c>
      <c r="G50" s="380" t="s">
        <v>821</v>
      </c>
      <c r="H50" s="378"/>
      <c r="I50" s="378"/>
      <c r="J50" s="378"/>
    </row>
    <row r="51" spans="2:10">
      <c r="B51" s="836" t="s">
        <v>814</v>
      </c>
      <c r="C51" s="538" t="str">
        <f>_xlfn.TEXTJOIN(",",TRUE,Regions!$C$3:'Regions'!$AD$3)</f>
        <v>IE,IE-CW,IE-D,IE-KE,IE-KK,IE-LS,IE-LD,IE-LH,IE-MH,IE-OY,IE-WH,IE-WX,IE-WW,IE-CE,IE-CO,IE-KY,IE-LK,IE-TA,IE-WD,IE-G,IE-LM,IE-MO,IE-RN,IE-SO,IE-CN,IE-DL,IE-MN</v>
      </c>
      <c r="D51" s="380" t="str">
        <f>_xlfn.TEXTJOIN("-",TRUE,"FT",Commodities!C12)</f>
        <v>FT-TRABJK</v>
      </c>
      <c r="E51" s="540" t="str">
        <f>"TRA "&amp;Commodities!D12</f>
        <v>TRA Bio Jet Kerosene (TRA)</v>
      </c>
      <c r="F51" s="539" t="s">
        <v>86</v>
      </c>
      <c r="G51" s="539" t="s">
        <v>821</v>
      </c>
      <c r="H51" s="538"/>
      <c r="I51" s="538"/>
      <c r="J51" s="538"/>
    </row>
    <row r="52" spans="2:10">
      <c r="B52" s="353" t="s">
        <v>814</v>
      </c>
      <c r="C52" s="378" t="str">
        <f>_xlfn.TEXTJOIN(",",TRUE,Regions!$C$3:'Regions'!$AD$3)</f>
        <v>IE,IE-CW,IE-D,IE-KE,IE-KK,IE-LS,IE-LD,IE-LH,IE-MH,IE-OY,IE-WH,IE-WX,IE-WW,IE-CE,IE-CO,IE-KY,IE-LK,IE-TA,IE-WD,IE-G,IE-LM,IE-MO,IE-RN,IE-SO,IE-CN,IE-DL,IE-MN</v>
      </c>
      <c r="D52" s="380" t="str">
        <f>_xlfn.TEXTJOIN("-",TRUE,"FT",Commodities!C13)</f>
        <v>FT-TRACNG</v>
      </c>
      <c r="E52" s="381" t="str">
        <f>"TRA "&amp;Commodities!D13</f>
        <v>TRA CNG (TRA)</v>
      </c>
      <c r="F52" s="380" t="s">
        <v>86</v>
      </c>
      <c r="G52" s="380" t="s">
        <v>821</v>
      </c>
      <c r="H52" s="378"/>
      <c r="I52" s="378"/>
      <c r="J52" s="378"/>
    </row>
    <row r="53" spans="2:10">
      <c r="B53" s="353" t="s">
        <v>814</v>
      </c>
      <c r="C53" s="378" t="str">
        <f>_xlfn.TEXTJOIN(",",TRUE,Regions!$C$3:'Regions'!$AD$3)</f>
        <v>IE,IE-CW,IE-D,IE-KE,IE-KK,IE-LS,IE-LD,IE-LH,IE-MH,IE-OY,IE-WH,IE-WX,IE-WW,IE-CE,IE-CO,IE-KY,IE-LK,IE-TA,IE-WD,IE-G,IE-LM,IE-MO,IE-RN,IE-SO,IE-CN,IE-DL,IE-MN</v>
      </c>
      <c r="D53" s="380" t="str">
        <f>_xlfn.TEXTJOIN("-",TRUE,"FT",Commodities!C14)</f>
        <v>FT-TRABNG</v>
      </c>
      <c r="E53" s="381" t="str">
        <f>"TRA "&amp;Commodities!D14</f>
        <v>TRA BioCNG (TRA)</v>
      </c>
      <c r="F53" s="380" t="s">
        <v>86</v>
      </c>
      <c r="G53" s="380" t="s">
        <v>821</v>
      </c>
      <c r="H53" s="378"/>
      <c r="I53" s="378"/>
      <c r="J53" s="378"/>
    </row>
    <row r="54" spans="2:10">
      <c r="B54" s="354" t="s">
        <v>814</v>
      </c>
      <c r="C54" s="378" t="str">
        <f>_xlfn.TEXTJOIN(",",TRUE,Regions!$C$3:'Regions'!$AD$3)</f>
        <v>IE,IE-CW,IE-D,IE-KE,IE-KK,IE-LS,IE-LD,IE-LH,IE-MH,IE-OY,IE-WH,IE-WX,IE-WW,IE-CE,IE-CO,IE-KY,IE-LK,IE-TA,IE-WD,IE-G,IE-LM,IE-MO,IE-RN,IE-SO,IE-CN,IE-DL,IE-MN</v>
      </c>
      <c r="D54" s="380" t="str">
        <f>_xlfn.TEXTJOIN("-",TRUE,"FT",Commodities!C15)</f>
        <v>FT-TRAELC</v>
      </c>
      <c r="E54" s="381" t="str">
        <f>"TRA "&amp;Commodities!D15</f>
        <v>TRA Electricity (TRA)</v>
      </c>
      <c r="F54" s="380" t="s">
        <v>86</v>
      </c>
      <c r="G54" s="380" t="s">
        <v>821</v>
      </c>
      <c r="H54" s="380" t="s">
        <v>88</v>
      </c>
      <c r="I54" s="378"/>
      <c r="J54" s="378"/>
    </row>
    <row r="55" spans="2:10">
      <c r="B55" s="353" t="s">
        <v>814</v>
      </c>
      <c r="C55" s="378" t="str">
        <f>_xlfn.TEXTJOIN(",",TRUE,Regions!$C$3:'Regions'!$AD$3)</f>
        <v>IE,IE-CW,IE-D,IE-KE,IE-KK,IE-LS,IE-LD,IE-LH,IE-MH,IE-OY,IE-WH,IE-WX,IE-WW,IE-CE,IE-CO,IE-KY,IE-LK,IE-TA,IE-WD,IE-G,IE-LM,IE-MO,IE-RN,IE-SO,IE-CN,IE-DL,IE-MN</v>
      </c>
      <c r="D55" s="380" t="str">
        <f>_xlfn.TEXTJOIN("-",TRUE,"FT",Commodities!C16)</f>
        <v>FT-TRALNG</v>
      </c>
      <c r="E55" s="381" t="str">
        <f>"TRA "&amp;Commodities!D16</f>
        <v>TRA LNG (TRA)</v>
      </c>
      <c r="F55" s="380" t="s">
        <v>86</v>
      </c>
      <c r="G55" s="380" t="s">
        <v>821</v>
      </c>
      <c r="H55" s="378"/>
      <c r="I55" s="378"/>
      <c r="J55" s="378"/>
    </row>
    <row r="56" spans="2:10">
      <c r="B56" s="353" t="s">
        <v>814</v>
      </c>
      <c r="C56" s="378" t="str">
        <f>_xlfn.TEXTJOIN(",",TRUE,Regions!$C$3:'Regions'!$AD$3)</f>
        <v>IE,IE-CW,IE-D,IE-KE,IE-KK,IE-LS,IE-LD,IE-LH,IE-MH,IE-OY,IE-WH,IE-WX,IE-WW,IE-CE,IE-CO,IE-KY,IE-LK,IE-TA,IE-WD,IE-G,IE-LM,IE-MO,IE-RN,IE-SO,IE-CN,IE-DL,IE-MN</v>
      </c>
      <c r="D56" s="380" t="str">
        <f>_xlfn.TEXTJOIN("-",TRUE,"FT",Commodities!C17)</f>
        <v>FT-TRAHYD</v>
      </c>
      <c r="E56" s="381" t="str">
        <f>"TRA "&amp;Commodities!D17</f>
        <v>TRA Hydrogen (TRA)</v>
      </c>
      <c r="F56" s="380" t="s">
        <v>86</v>
      </c>
      <c r="G56" s="380" t="s">
        <v>821</v>
      </c>
      <c r="H56" s="378"/>
      <c r="I56" s="378"/>
      <c r="J56" s="378"/>
    </row>
    <row r="57" spans="2:10">
      <c r="B57" s="367" t="s">
        <v>814</v>
      </c>
      <c r="C57" s="382" t="str">
        <f>_xlfn.TEXTJOIN(",",TRUE,Regions!$C$3:'Regions'!$AD$3)</f>
        <v>IE,IE-CW,IE-D,IE-KE,IE-KK,IE-LS,IE-LD,IE-LH,IE-MH,IE-OY,IE-WH,IE-WX,IE-WW,IE-CE,IE-CO,IE-KY,IE-LK,IE-TA,IE-WD,IE-G,IE-LM,IE-MO,IE-RN,IE-SO,IE-CN,IE-DL,IE-MN</v>
      </c>
      <c r="D57" s="380" t="str">
        <f>_xlfn.TEXTJOIN("-",TRUE,"FT",Commodities!C18)</f>
        <v>FT-TRAKER</v>
      </c>
      <c r="E57" s="477" t="str">
        <f>"TRA "&amp;Commodities!D18</f>
        <v>TRA Kerosene (TRA)</v>
      </c>
      <c r="F57" s="383" t="s">
        <v>86</v>
      </c>
      <c r="G57" s="383" t="s">
        <v>821</v>
      </c>
      <c r="H57" s="382"/>
      <c r="I57" s="382"/>
      <c r="J57" s="382"/>
    </row>
    <row r="58" spans="2:10">
      <c r="B58" s="838" t="s">
        <v>1134</v>
      </c>
      <c r="C58" s="838"/>
      <c r="D58" s="838"/>
      <c r="E58" s="838"/>
      <c r="F58" s="838"/>
      <c r="G58" s="838"/>
      <c r="H58" s="838"/>
      <c r="I58" s="838"/>
      <c r="J58" s="838"/>
    </row>
    <row r="59" spans="2:10">
      <c r="B59" s="479" t="s">
        <v>814</v>
      </c>
      <c r="C59" s="479" t="str">
        <f>_xlfn.TEXTJOIN(",",TRUE,Regions!$C$3:'Regions'!$AD$3)</f>
        <v>IE,IE-CW,IE-D,IE-KE,IE-KK,IE-LS,IE-LD,IE-LH,IE-MH,IE-OY,IE-WH,IE-WX,IE-WW,IE-CE,IE-CO,IE-KY,IE-LK,IE-TA,IE-WD,IE-G,IE-LM,IE-MO,IE-RN,IE-SO,IE-CN,IE-DL,IE-MN</v>
      </c>
      <c r="D59" s="479" t="s">
        <v>937</v>
      </c>
      <c r="E59" s="479" t="s">
        <v>947</v>
      </c>
      <c r="F59" s="378" t="s">
        <v>86</v>
      </c>
      <c r="G59" s="378" t="s">
        <v>821</v>
      </c>
      <c r="H59" s="479"/>
      <c r="I59" s="479"/>
      <c r="J59" s="378"/>
    </row>
    <row r="60" spans="2:10">
      <c r="B60" s="479" t="s">
        <v>814</v>
      </c>
      <c r="C60" s="479" t="str">
        <f>_xlfn.TEXTJOIN(",",TRUE,Regions!$C$3:'Regions'!$AD$3)</f>
        <v>IE,IE-CW,IE-D,IE-KE,IE-KK,IE-LS,IE-LD,IE-LH,IE-MH,IE-OY,IE-WH,IE-WX,IE-WW,IE-CE,IE-CO,IE-KY,IE-LK,IE-TA,IE-WD,IE-G,IE-LM,IE-MO,IE-RN,IE-SO,IE-CN,IE-DL,IE-MN</v>
      </c>
      <c r="D60" s="378" t="s">
        <v>938</v>
      </c>
      <c r="E60" s="479" t="s">
        <v>948</v>
      </c>
      <c r="F60" s="378" t="s">
        <v>86</v>
      </c>
      <c r="G60" s="378" t="s">
        <v>821</v>
      </c>
      <c r="H60" s="479"/>
      <c r="I60" s="479"/>
      <c r="J60" s="378"/>
    </row>
    <row r="61" spans="2:10">
      <c r="B61" s="479" t="s">
        <v>814</v>
      </c>
      <c r="C61" s="479" t="str">
        <f>_xlfn.TEXTJOIN(",",TRUE,Regions!$C$3:'Regions'!$AD$3)</f>
        <v>IE,IE-CW,IE-D,IE-KE,IE-KK,IE-LS,IE-LD,IE-LH,IE-MH,IE-OY,IE-WH,IE-WX,IE-WW,IE-CE,IE-CO,IE-KY,IE-LK,IE-TA,IE-WD,IE-G,IE-LM,IE-MO,IE-RN,IE-SO,IE-CN,IE-DL,IE-MN</v>
      </c>
      <c r="D61" s="1" t="s">
        <v>939</v>
      </c>
      <c r="E61" s="1" t="s">
        <v>940</v>
      </c>
      <c r="F61" s="842" t="s">
        <v>86</v>
      </c>
      <c r="G61" s="842" t="s">
        <v>821</v>
      </c>
      <c r="H61" s="1"/>
      <c r="I61" s="1"/>
      <c r="J61" s="378"/>
    </row>
    <row r="62" spans="2:10">
      <c r="B62" s="479" t="s">
        <v>814</v>
      </c>
      <c r="C62" s="479" t="str">
        <f>_xlfn.TEXTJOIN(",",TRUE,Regions!$C$3:'Regions'!$AD$3)</f>
        <v>IE,IE-CW,IE-D,IE-KE,IE-KK,IE-LS,IE-LD,IE-LH,IE-MH,IE-OY,IE-WH,IE-WX,IE-WW,IE-CE,IE-CO,IE-KY,IE-LK,IE-TA,IE-WD,IE-G,IE-LM,IE-MO,IE-RN,IE-SO,IE-CN,IE-DL,IE-MN</v>
      </c>
      <c r="D62" s="1" t="s">
        <v>949</v>
      </c>
      <c r="E62" s="1" t="s">
        <v>950</v>
      </c>
      <c r="F62" s="842" t="s">
        <v>86</v>
      </c>
      <c r="G62" s="842" t="s">
        <v>821</v>
      </c>
      <c r="H62" s="1"/>
      <c r="I62" s="1"/>
      <c r="J62" s="378"/>
    </row>
    <row r="63" spans="2:10">
      <c r="B63" s="1" t="s">
        <v>814</v>
      </c>
      <c r="C63" s="479" t="str">
        <f>_xlfn.TEXTJOIN(",",TRUE,Regions!$C$3:'Regions'!$AD$3)</f>
        <v>IE,IE-CW,IE-D,IE-KE,IE-KK,IE-LS,IE-LD,IE-LH,IE-MH,IE-OY,IE-WH,IE-WX,IE-WW,IE-CE,IE-CO,IE-KY,IE-LK,IE-TA,IE-WD,IE-G,IE-LM,IE-MO,IE-RN,IE-SO,IE-CN,IE-DL,IE-MN</v>
      </c>
      <c r="D63" s="1" t="s">
        <v>1077</v>
      </c>
      <c r="E63" s="1" t="s">
        <v>1078</v>
      </c>
      <c r="F63" s="842" t="s">
        <v>86</v>
      </c>
      <c r="G63" s="842" t="s">
        <v>821</v>
      </c>
      <c r="H63" s="1"/>
      <c r="I63" s="1"/>
      <c r="J63" s="84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E14" sqref="E14"/>
    </sheetView>
  </sheetViews>
  <sheetFormatPr defaultColWidth="8.88671875" defaultRowHeight="14.4"/>
  <cols>
    <col min="1" max="1" width="3.33203125" style="201" customWidth="1"/>
    <col min="2" max="2" width="8.6640625" style="548"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55" t="s">
        <v>75</v>
      </c>
      <c r="F2" s="355"/>
      <c r="H2" s="355"/>
    </row>
    <row r="3" spans="2:9">
      <c r="B3" s="356" t="s">
        <v>793</v>
      </c>
      <c r="C3" s="356" t="s">
        <v>69</v>
      </c>
      <c r="D3" s="357" t="s">
        <v>76</v>
      </c>
      <c r="E3" s="356" t="s">
        <v>77</v>
      </c>
      <c r="F3" s="369" t="s">
        <v>815</v>
      </c>
      <c r="G3" s="358" t="s">
        <v>822</v>
      </c>
      <c r="H3" s="358" t="s">
        <v>794</v>
      </c>
    </row>
    <row r="4" spans="2:9" ht="27.6" thickBot="1">
      <c r="B4" s="843" t="s">
        <v>793</v>
      </c>
      <c r="C4" s="843" t="s">
        <v>78</v>
      </c>
      <c r="D4" s="843" t="s">
        <v>79</v>
      </c>
      <c r="E4" s="843" t="s">
        <v>80</v>
      </c>
      <c r="F4" s="843" t="s">
        <v>784</v>
      </c>
      <c r="G4" s="843" t="s">
        <v>823</v>
      </c>
      <c r="H4" s="843" t="s">
        <v>795</v>
      </c>
    </row>
    <row r="5" spans="2:9" ht="27.6" thickBot="1">
      <c r="B5" s="843" t="s">
        <v>796</v>
      </c>
      <c r="C5" s="843"/>
      <c r="D5" s="844"/>
      <c r="E5" s="844"/>
      <c r="F5" s="844"/>
      <c r="G5" s="844" t="s">
        <v>824</v>
      </c>
      <c r="H5" s="844" t="s">
        <v>797</v>
      </c>
    </row>
    <row r="6" spans="2:9" s="378" customFormat="1" ht="13.2">
      <c r="B6" s="353" t="str">
        <f>Processes!C45</f>
        <v>IE,IE-CW,IE-D,IE-KE,IE-KK,IE-LS,IE-LD,IE-LH,IE-MH,IE-OY,IE-WH,IE-WX,IE-WW,IE-CE,IE-CO,IE-KY,IE-LK,IE-TA,IE-WD,IE-G,IE-LM,IE-MO,IE-RN,IE-SO,IE-CN,IE-DL,IE-MN</v>
      </c>
      <c r="C6" s="353" t="str">
        <f>Processes!D45</f>
        <v>FT-TRAWLK</v>
      </c>
      <c r="D6" s="354" t="s">
        <v>812</v>
      </c>
      <c r="E6" s="353" t="str">
        <f>Commodities!C6</f>
        <v>TRAWLK</v>
      </c>
      <c r="F6" s="378">
        <v>1</v>
      </c>
      <c r="G6" s="378">
        <v>50</v>
      </c>
      <c r="H6" s="378">
        <v>0.01</v>
      </c>
    </row>
    <row r="7" spans="2:9" s="378" customFormat="1" ht="13.2">
      <c r="B7" s="353" t="str">
        <f>Processes!C46</f>
        <v>IE,IE-CW,IE-D,IE-KE,IE-KK,IE-LS,IE-LD,IE-LH,IE-MH,IE-OY,IE-WH,IE-WX,IE-WW,IE-CE,IE-CO,IE-KY,IE-LK,IE-TA,IE-WD,IE-G,IE-LM,IE-MO,IE-RN,IE-SO,IE-CN,IE-DL,IE-MN</v>
      </c>
      <c r="C7" s="353" t="str">
        <f>Processes!D46</f>
        <v>FT-TRACYC</v>
      </c>
      <c r="D7" s="354" t="s">
        <v>813</v>
      </c>
      <c r="E7" s="353" t="str">
        <f>Commodities!C7</f>
        <v>TRACYC</v>
      </c>
      <c r="F7" s="378">
        <v>1</v>
      </c>
      <c r="G7" s="378">
        <v>50</v>
      </c>
      <c r="H7" s="378">
        <v>0.01</v>
      </c>
    </row>
    <row r="8" spans="2:9" s="378" customFormat="1" ht="13.2">
      <c r="B8" s="353" t="str">
        <f>Processes!C47</f>
        <v>IE,IE-CW,IE-D,IE-KE,IE-KK,IE-LS,IE-LD,IE-LH,IE-MH,IE-OY,IE-WH,IE-WX,IE-WW,IE-CE,IE-CO,IE-KY,IE-LK,IE-TA,IE-WD,IE-G,IE-LM,IE-MO,IE-RN,IE-SO,IE-CN,IE-DL,IE-MN</v>
      </c>
      <c r="C8" s="353" t="str">
        <f>Processes!D47</f>
        <v>FT-TRAGSL</v>
      </c>
      <c r="D8" s="354" t="s">
        <v>933</v>
      </c>
      <c r="E8" s="353" t="str">
        <f>Commodities!C8</f>
        <v>TRAGSL</v>
      </c>
      <c r="F8" s="378">
        <v>1</v>
      </c>
      <c r="G8" s="378">
        <v>50</v>
      </c>
      <c r="H8" s="378">
        <v>0.01</v>
      </c>
    </row>
    <row r="9" spans="2:9" s="378" customFormat="1" ht="13.2">
      <c r="B9" s="353" t="str">
        <f>Processes!C48</f>
        <v>IE,IE-CW,IE-D,IE-KE,IE-KK,IE-LS,IE-LD,IE-LH,IE-MH,IE-OY,IE-WH,IE-WX,IE-WW,IE-CE,IE-CO,IE-KY,IE-LK,IE-TA,IE-WD,IE-G,IE-LM,IE-MO,IE-RN,IE-SO,IE-CN,IE-DL,IE-MN</v>
      </c>
      <c r="C9" s="353" t="str">
        <f>Processes!D48</f>
        <v>FT-TRADST</v>
      </c>
      <c r="D9" s="354" t="s">
        <v>934</v>
      </c>
      <c r="E9" s="353" t="str">
        <f>Commodities!C9</f>
        <v>TRADST</v>
      </c>
      <c r="F9" s="378">
        <v>1</v>
      </c>
      <c r="G9" s="378">
        <v>50</v>
      </c>
      <c r="H9" s="378">
        <v>0.01</v>
      </c>
    </row>
    <row r="10" spans="2:9" s="378" customFormat="1" ht="13.2">
      <c r="B10" s="353" t="str">
        <f>Processes!C49</f>
        <v>IE,IE-CW,IE-D,IE-KE,IE-KK,IE-LS,IE-LD,IE-LH,IE-MH,IE-OY,IE-WH,IE-WX,IE-WW,IE-CE,IE-CO,IE-KY,IE-LK,IE-TA,IE-WD,IE-G,IE-LM,IE-MO,IE-RN,IE-SO,IE-CN,IE-DL,IE-MN</v>
      </c>
      <c r="C10" s="353" t="str">
        <f>Processes!D49</f>
        <v>FT-TRAETH</v>
      </c>
      <c r="D10" s="354" t="s">
        <v>1047</v>
      </c>
      <c r="E10" s="353" t="str">
        <f>Commodities!C10</f>
        <v>TRAETH</v>
      </c>
      <c r="F10" s="378">
        <v>1</v>
      </c>
      <c r="G10" s="378">
        <v>50</v>
      </c>
      <c r="H10" s="378">
        <v>0.01</v>
      </c>
    </row>
    <row r="11" spans="2:9" s="378" customFormat="1" ht="13.2">
      <c r="B11" s="353" t="str">
        <f>Processes!C50</f>
        <v>IE,IE-CW,IE-D,IE-KE,IE-KK,IE-LS,IE-LD,IE-LH,IE-MH,IE-OY,IE-WH,IE-WX,IE-WW,IE-CE,IE-CO,IE-KY,IE-LK,IE-TA,IE-WD,IE-G,IE-LM,IE-MO,IE-RN,IE-SO,IE-CN,IE-DL,IE-MN</v>
      </c>
      <c r="C11" s="353" t="str">
        <f>Processes!D50</f>
        <v>FT-TRABDL</v>
      </c>
      <c r="D11" s="354" t="s">
        <v>1048</v>
      </c>
      <c r="E11" s="353" t="str">
        <f>Commodities!C11</f>
        <v>TRABDL</v>
      </c>
      <c r="F11" s="378">
        <v>1</v>
      </c>
      <c r="G11" s="378">
        <v>50</v>
      </c>
      <c r="H11" s="378">
        <v>0.01</v>
      </c>
    </row>
    <row r="12" spans="2:9" s="378" customFormat="1" ht="13.2">
      <c r="B12" s="537" t="str">
        <f>Processes!C51</f>
        <v>IE,IE-CW,IE-D,IE-KE,IE-KK,IE-LS,IE-LD,IE-LH,IE-MH,IE-OY,IE-WH,IE-WX,IE-WW,IE-CE,IE-CO,IE-KY,IE-LK,IE-TA,IE-WD,IE-G,IE-LM,IE-MO,IE-RN,IE-SO,IE-CN,IE-DL,IE-MN</v>
      </c>
      <c r="C12" s="353" t="str">
        <f>Processes!D51</f>
        <v>FT-TRABJK</v>
      </c>
      <c r="D12" s="538" t="s">
        <v>1080</v>
      </c>
      <c r="E12" s="537" t="str">
        <f>Commodities!C12</f>
        <v>TRABJK</v>
      </c>
      <c r="F12" s="538">
        <v>1</v>
      </c>
      <c r="G12" s="538">
        <v>50</v>
      </c>
      <c r="H12" s="378">
        <v>0.01</v>
      </c>
      <c r="I12" s="538"/>
    </row>
    <row r="13" spans="2:9" s="378" customFormat="1" ht="13.2">
      <c r="B13" s="353" t="str">
        <f>Processes!C52</f>
        <v>IE,IE-CW,IE-D,IE-KE,IE-KK,IE-LS,IE-LD,IE-LH,IE-MH,IE-OY,IE-WH,IE-WX,IE-WW,IE-CE,IE-CO,IE-KY,IE-LK,IE-TA,IE-WD,IE-G,IE-LM,IE-MO,IE-RN,IE-SO,IE-CN,IE-DL,IE-MN</v>
      </c>
      <c r="C13" s="353" t="str">
        <f>Processes!D52</f>
        <v>FT-TRACNG</v>
      </c>
      <c r="D13" s="354" t="s">
        <v>1045</v>
      </c>
      <c r="E13" s="353" t="str">
        <f>Commodities!C13</f>
        <v>TRACNG</v>
      </c>
      <c r="F13" s="378">
        <v>1</v>
      </c>
      <c r="G13" s="378">
        <v>50</v>
      </c>
      <c r="H13" s="378">
        <v>0.01</v>
      </c>
    </row>
    <row r="14" spans="2:9" s="378" customFormat="1" ht="13.2">
      <c r="B14" s="353" t="str">
        <f>Processes!C53</f>
        <v>IE,IE-CW,IE-D,IE-KE,IE-KK,IE-LS,IE-LD,IE-LH,IE-MH,IE-OY,IE-WH,IE-WX,IE-WW,IE-CE,IE-CO,IE-KY,IE-LK,IE-TA,IE-WD,IE-G,IE-LM,IE-MO,IE-RN,IE-SO,IE-CN,IE-DL,IE-MN</v>
      </c>
      <c r="C14" s="353" t="str">
        <f>Processes!D53</f>
        <v>FT-TRABNG</v>
      </c>
      <c r="D14" s="354" t="s">
        <v>1046</v>
      </c>
      <c r="E14" s="353" t="str">
        <f>Commodities!C14</f>
        <v>TRABNG</v>
      </c>
      <c r="F14" s="378">
        <v>1</v>
      </c>
      <c r="G14" s="378">
        <v>50</v>
      </c>
      <c r="H14" s="378">
        <v>0.01</v>
      </c>
    </row>
    <row r="15" spans="2:9" s="378" customFormat="1" ht="13.2">
      <c r="B15" s="353" t="str">
        <f>Processes!C54</f>
        <v>IE,IE-CW,IE-D,IE-KE,IE-KK,IE-LS,IE-LD,IE-LH,IE-MH,IE-OY,IE-WH,IE-WX,IE-WW,IE-CE,IE-CO,IE-KY,IE-LK,IE-TA,IE-WD,IE-G,IE-LM,IE-MO,IE-RN,IE-SO,IE-CN,IE-DL,IE-MN</v>
      </c>
      <c r="C15" s="353" t="str">
        <f>Processes!D54</f>
        <v>FT-TRAELC</v>
      </c>
      <c r="D15" s="378" t="s">
        <v>1135</v>
      </c>
      <c r="E15" s="378" t="str">
        <f>Commodities!C15</f>
        <v>TRAELC</v>
      </c>
      <c r="F15" s="379">
        <v>1</v>
      </c>
      <c r="G15" s="378">
        <v>50</v>
      </c>
      <c r="H15" s="378">
        <v>0.01</v>
      </c>
    </row>
    <row r="16" spans="2:9" s="378" customFormat="1" ht="13.2">
      <c r="B16" s="353" t="str">
        <f>Processes!C55</f>
        <v>IE,IE-CW,IE-D,IE-KE,IE-KK,IE-LS,IE-LD,IE-LH,IE-MH,IE-OY,IE-WH,IE-WX,IE-WW,IE-CE,IE-CO,IE-KY,IE-LK,IE-TA,IE-WD,IE-G,IE-LM,IE-MO,IE-RN,IE-SO,IE-CN,IE-DL,IE-MN</v>
      </c>
      <c r="C16" s="353" t="str">
        <f>Processes!D55</f>
        <v>FT-TRALNG</v>
      </c>
      <c r="D16" s="354" t="s">
        <v>935</v>
      </c>
      <c r="E16" s="353" t="str">
        <f>Commodities!C16</f>
        <v>TRALNG</v>
      </c>
      <c r="F16" s="378">
        <v>1</v>
      </c>
      <c r="G16" s="378">
        <v>50</v>
      </c>
      <c r="H16" s="378">
        <v>0.01</v>
      </c>
    </row>
    <row r="17" spans="1:8" s="378" customFormat="1" ht="13.2">
      <c r="B17" s="353" t="str">
        <f>Processes!C56</f>
        <v>IE,IE-CW,IE-D,IE-KE,IE-KK,IE-LS,IE-LD,IE-LH,IE-MH,IE-OY,IE-WH,IE-WX,IE-WW,IE-CE,IE-CO,IE-KY,IE-LK,IE-TA,IE-WD,IE-G,IE-LM,IE-MO,IE-RN,IE-SO,IE-CN,IE-DL,IE-MN</v>
      </c>
      <c r="C17" s="353" t="str">
        <f>Processes!D56</f>
        <v>FT-TRAHYD</v>
      </c>
      <c r="D17" s="354" t="s">
        <v>1136</v>
      </c>
      <c r="E17" s="353" t="str">
        <f>Commodities!C17</f>
        <v>TRAHYD</v>
      </c>
      <c r="F17" s="378">
        <v>1</v>
      </c>
      <c r="G17" s="378">
        <v>50</v>
      </c>
      <c r="H17" s="378">
        <v>0.01</v>
      </c>
    </row>
    <row r="18" spans="1:8" s="378" customFormat="1" ht="13.2">
      <c r="A18" s="354"/>
      <c r="B18" s="367" t="str">
        <f>Processes!C57</f>
        <v>IE,IE-CW,IE-D,IE-KE,IE-KK,IE-LS,IE-LD,IE-LH,IE-MH,IE-OY,IE-WH,IE-WX,IE-WW,IE-CE,IE-CO,IE-KY,IE-LK,IE-TA,IE-WD,IE-G,IE-LM,IE-MO,IE-RN,IE-SO,IE-CN,IE-DL,IE-MN</v>
      </c>
      <c r="C18" s="367" t="str">
        <f>Processes!D57</f>
        <v>FT-TRAKER</v>
      </c>
      <c r="D18" s="368" t="s">
        <v>936</v>
      </c>
      <c r="E18" s="367" t="str">
        <f>Commodities!C18</f>
        <v>TRAKER</v>
      </c>
      <c r="F18" s="382">
        <v>1</v>
      </c>
      <c r="G18" s="382">
        <v>50</v>
      </c>
      <c r="H18" s="382">
        <v>0.01</v>
      </c>
    </row>
    <row r="19" spans="1:8" s="378"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sheetPr codeName="Sheet6"/>
  <dimension ref="A2:AP58"/>
  <sheetViews>
    <sheetView zoomScale="90" zoomScaleNormal="90" workbookViewId="0">
      <selection activeCell="I14" sqref="I14"/>
    </sheetView>
  </sheetViews>
  <sheetFormatPr defaultRowHeight="14.4"/>
  <cols>
    <col min="1" max="1" width="14.33203125" style="429" customWidth="1"/>
    <col min="2" max="2" width="21" bestFit="1" customWidth="1"/>
    <col min="3" max="3" width="16.88671875" bestFit="1" customWidth="1"/>
    <col min="5" max="5" width="11.33203125" customWidth="1"/>
    <col min="7" max="7" width="9" bestFit="1" customWidth="1"/>
    <col min="8" max="8" width="9.33203125" bestFit="1" customWidth="1"/>
    <col min="9" max="11" width="12.5546875" bestFit="1" customWidth="1"/>
    <col min="12" max="12" width="12.5546875" style="429" bestFit="1" customWidth="1"/>
    <col min="13" max="13" width="12.5546875" bestFit="1" customWidth="1"/>
    <col min="14" max="15" width="12.88671875" customWidth="1"/>
    <col min="16" max="16" width="33.6640625" customWidth="1"/>
    <col min="17" max="17" width="19.6640625" customWidth="1"/>
  </cols>
  <sheetData>
    <row r="2" spans="2:21">
      <c r="B2" s="548"/>
      <c r="L2"/>
      <c r="M2" s="429"/>
    </row>
    <row r="3" spans="2:21">
      <c r="C3" s="56"/>
      <c r="D3" s="56"/>
      <c r="E3" s="56"/>
      <c r="F3" s="987" t="s">
        <v>1138</v>
      </c>
      <c r="G3" s="56"/>
      <c r="I3" s="56"/>
      <c r="J3" s="56"/>
      <c r="K3" s="56"/>
      <c r="L3" s="56"/>
      <c r="M3" s="56"/>
    </row>
    <row r="4" spans="2:21" ht="15" thickBot="1">
      <c r="B4" s="41" t="s">
        <v>793</v>
      </c>
      <c r="C4" s="41" t="s">
        <v>69</v>
      </c>
      <c r="D4" s="41" t="s">
        <v>76</v>
      </c>
      <c r="E4" s="41" t="s">
        <v>77</v>
      </c>
      <c r="F4" s="442" t="s">
        <v>64</v>
      </c>
      <c r="G4" s="442" t="s">
        <v>815</v>
      </c>
      <c r="H4" s="442" t="s">
        <v>1023</v>
      </c>
      <c r="I4" s="442" t="s">
        <v>951</v>
      </c>
      <c r="J4" s="442" t="s">
        <v>952</v>
      </c>
      <c r="K4" s="442" t="s">
        <v>953</v>
      </c>
      <c r="L4" s="442" t="s">
        <v>954</v>
      </c>
      <c r="M4" s="442" t="s">
        <v>955</v>
      </c>
      <c r="N4" s="56"/>
    </row>
    <row r="5" spans="2:21">
      <c r="B5" t="str">
        <f>_xlfn.TEXTJOIN(",",TRUE,Regions!$C$3:'Regions'!$AD$3)</f>
        <v>IE,IE-CW,IE-D,IE-KE,IE-KK,IE-LS,IE-LD,IE-LH,IE-MH,IE-OY,IE-WH,IE-WX,IE-WW,IE-CE,IE-CO,IE-KY,IE-LK,IE-TA,IE-WD,IE-G,IE-LM,IE-MO,IE-RN,IE-SO,IE-CN,IE-DL,IE-MN</v>
      </c>
      <c r="C5" s="56" t="str">
        <f>Processes!D59</f>
        <v>TRAGSL_BLD</v>
      </c>
      <c r="D5" s="56" t="str">
        <f>Commodities!C8</f>
        <v>TRAGSL</v>
      </c>
      <c r="E5" s="56"/>
      <c r="F5" s="56" t="s">
        <v>956</v>
      </c>
      <c r="G5" s="56">
        <v>1</v>
      </c>
      <c r="H5" s="56">
        <v>5</v>
      </c>
      <c r="I5" s="443">
        <f>1-J55</f>
        <v>0.9548414346182118</v>
      </c>
      <c r="J5" s="443">
        <f>1-L55</f>
        <v>0.95</v>
      </c>
      <c r="K5" s="443">
        <f>1-V55</f>
        <v>0.9</v>
      </c>
      <c r="L5" s="443">
        <f>1-AF55</f>
        <v>0.9</v>
      </c>
      <c r="M5" s="443">
        <f>1-AP55</f>
        <v>0.9</v>
      </c>
      <c r="N5" s="56"/>
    </row>
    <row r="6" spans="2:21">
      <c r="C6" s="56"/>
      <c r="D6" s="56" t="str">
        <f>Commodities!C10</f>
        <v>TRAETH</v>
      </c>
      <c r="E6" s="56"/>
      <c r="F6" s="56" t="s">
        <v>956</v>
      </c>
      <c r="G6" s="56"/>
      <c r="H6" s="56">
        <v>5</v>
      </c>
      <c r="I6" s="476">
        <f>1-I5</f>
        <v>4.5158565381788196E-2</v>
      </c>
      <c r="J6" s="476">
        <f t="shared" ref="J6:M6" si="0">1-J5</f>
        <v>5.0000000000000044E-2</v>
      </c>
      <c r="K6" s="476">
        <f t="shared" si="0"/>
        <v>9.9999999999999978E-2</v>
      </c>
      <c r="L6" s="476">
        <f t="shared" si="0"/>
        <v>9.9999999999999978E-2</v>
      </c>
      <c r="M6" s="476">
        <f t="shared" si="0"/>
        <v>9.9999999999999978E-2</v>
      </c>
      <c r="N6" s="56"/>
    </row>
    <row r="7" spans="2:21">
      <c r="B7" s="200"/>
      <c r="C7" s="56"/>
      <c r="D7" s="56"/>
      <c r="E7" s="56" t="e">
        <f>Commodities!#REF!</f>
        <v>#REF!</v>
      </c>
      <c r="F7" s="170"/>
      <c r="G7" s="56"/>
      <c r="H7" s="56"/>
      <c r="I7" s="56"/>
      <c r="J7" s="56"/>
      <c r="K7" s="56"/>
      <c r="L7" s="56"/>
      <c r="M7" s="56"/>
      <c r="N7" s="56"/>
    </row>
    <row r="8" spans="2:21">
      <c r="B8" s="548" t="str">
        <f>_xlfn.TEXTJOIN(",",TRUE,Regions!$C$3:'Regions'!$AD$3)</f>
        <v>IE,IE-CW,IE-D,IE-KE,IE-KK,IE-LS,IE-LD,IE-LH,IE-MH,IE-OY,IE-WH,IE-WX,IE-WW,IE-CE,IE-CO,IE-KY,IE-LK,IE-TA,IE-WD,IE-G,IE-LM,IE-MO,IE-RN,IE-SO,IE-CN,IE-DL,IE-MN</v>
      </c>
      <c r="C8" s="444" t="str">
        <f>Processes!D60</f>
        <v>TRADST_BLD</v>
      </c>
      <c r="D8" s="444" t="str">
        <f>Commodities!C9</f>
        <v>TRADST</v>
      </c>
      <c r="E8" s="444"/>
      <c r="F8" s="56" t="s">
        <v>956</v>
      </c>
      <c r="G8" s="444">
        <v>1</v>
      </c>
      <c r="H8" s="444">
        <v>5</v>
      </c>
      <c r="I8" s="445">
        <f>1-J56</f>
        <v>0.95912212653292017</v>
      </c>
      <c r="J8" s="445">
        <f>1-L56</f>
        <v>0.94884746867213698</v>
      </c>
      <c r="K8" s="445">
        <f>1-V56</f>
        <v>0.9</v>
      </c>
      <c r="L8" s="445">
        <f>1-AG56</f>
        <v>0.9</v>
      </c>
      <c r="M8" s="445">
        <f>1-AP56</f>
        <v>0.9</v>
      </c>
      <c r="N8" s="56"/>
    </row>
    <row r="9" spans="2:21">
      <c r="C9" s="56"/>
      <c r="D9" s="56" t="str">
        <f>Commodities!C11</f>
        <v>TRABDL</v>
      </c>
      <c r="E9" s="56"/>
      <c r="F9" s="56" t="s">
        <v>956</v>
      </c>
      <c r="G9" s="56"/>
      <c r="H9" s="56">
        <v>5</v>
      </c>
      <c r="I9" s="476">
        <f>1-I8</f>
        <v>4.0877873467079828E-2</v>
      </c>
      <c r="J9" s="476">
        <f t="shared" ref="J9" si="1">1-J8</f>
        <v>5.1152531327863016E-2</v>
      </c>
      <c r="K9" s="476">
        <f t="shared" ref="K9" si="2">1-K8</f>
        <v>9.9999999999999978E-2</v>
      </c>
      <c r="L9" s="476">
        <f t="shared" ref="L9" si="3">1-L8</f>
        <v>9.9999999999999978E-2</v>
      </c>
      <c r="M9" s="476">
        <f t="shared" ref="M9" si="4">1-M8</f>
        <v>9.9999999999999978E-2</v>
      </c>
      <c r="N9" s="56"/>
    </row>
    <row r="10" spans="2:21">
      <c r="B10" s="200"/>
      <c r="C10" s="170"/>
      <c r="D10" s="170"/>
      <c r="E10" s="170" t="e">
        <f>Commodities!#REF!</f>
        <v>#REF!</v>
      </c>
      <c r="F10" s="170"/>
      <c r="G10" s="170"/>
      <c r="H10" s="170"/>
      <c r="I10" s="170"/>
      <c r="J10" s="170"/>
      <c r="K10" s="170"/>
      <c r="L10" s="170"/>
      <c r="M10" s="170"/>
      <c r="N10" s="56"/>
      <c r="O10" s="56"/>
      <c r="P10" s="56"/>
      <c r="Q10" s="56"/>
      <c r="R10" s="56"/>
      <c r="S10" s="56"/>
      <c r="T10" s="56"/>
      <c r="U10" s="56"/>
    </row>
    <row r="11" spans="2:21">
      <c r="B11" s="548" t="str">
        <f>_xlfn.TEXTJOIN(",",TRUE,Regions!$C$3:'Regions'!$AD$3)</f>
        <v>IE,IE-CW,IE-D,IE-KE,IE-KK,IE-LS,IE-LD,IE-LH,IE-MH,IE-OY,IE-WH,IE-WX,IE-WW,IE-CE,IE-CO,IE-KY,IE-LK,IE-TA,IE-WD,IE-G,IE-LM,IE-MO,IE-RN,IE-SO,IE-CN,IE-DL,IE-MN</v>
      </c>
      <c r="C11" s="444" t="str">
        <f>Processes!$D$61</f>
        <v>TRAE85_BLD</v>
      </c>
      <c r="D11" s="444" t="str">
        <f>Commodities!C8</f>
        <v>TRAGSL</v>
      </c>
      <c r="E11" s="444"/>
      <c r="F11" s="56" t="s">
        <v>956</v>
      </c>
      <c r="G11" s="444">
        <v>1</v>
      </c>
      <c r="H11" s="444">
        <v>5</v>
      </c>
      <c r="I11" s="446">
        <v>0.15</v>
      </c>
      <c r="J11" s="446">
        <v>0.15</v>
      </c>
      <c r="K11" s="446">
        <v>0.15</v>
      </c>
      <c r="L11" s="446">
        <v>0.15</v>
      </c>
      <c r="M11" s="446">
        <v>0.15</v>
      </c>
      <c r="N11" s="56"/>
      <c r="O11" s="429"/>
      <c r="P11" s="429"/>
      <c r="Q11" s="429"/>
      <c r="R11" s="429"/>
      <c r="S11" s="429"/>
      <c r="T11" s="56"/>
      <c r="U11" s="56"/>
    </row>
    <row r="12" spans="2:21">
      <c r="C12" s="56"/>
      <c r="D12" s="56" t="str">
        <f>Commodities!C10</f>
        <v>TRAETH</v>
      </c>
      <c r="E12" s="56"/>
      <c r="F12" s="56" t="s">
        <v>956</v>
      </c>
      <c r="G12" s="56"/>
      <c r="H12" s="56">
        <v>5</v>
      </c>
      <c r="I12" s="476">
        <f>1-I11</f>
        <v>0.85</v>
      </c>
      <c r="J12" s="476">
        <f t="shared" ref="J12" si="5">1-J11</f>
        <v>0.85</v>
      </c>
      <c r="K12" s="476">
        <f t="shared" ref="K12" si="6">1-K11</f>
        <v>0.85</v>
      </c>
      <c r="L12" s="476">
        <f t="shared" ref="L12" si="7">1-L11</f>
        <v>0.85</v>
      </c>
      <c r="M12" s="476">
        <f t="shared" ref="M12" si="8">1-M11</f>
        <v>0.85</v>
      </c>
      <c r="N12" s="56"/>
      <c r="O12" s="429"/>
      <c r="P12" s="429"/>
      <c r="Q12" s="429"/>
      <c r="R12" s="429"/>
      <c r="S12" s="429"/>
      <c r="T12" s="56"/>
      <c r="U12" s="56"/>
    </row>
    <row r="13" spans="2:21">
      <c r="B13" s="200"/>
      <c r="C13" s="170"/>
      <c r="D13" s="170"/>
      <c r="E13" s="170" t="e">
        <f>Commodities!#REF!</f>
        <v>#REF!</v>
      </c>
      <c r="F13" s="170"/>
      <c r="G13" s="170"/>
      <c r="H13" s="170"/>
      <c r="I13" s="170"/>
      <c r="J13" s="170"/>
      <c r="K13" s="170"/>
      <c r="L13" s="170"/>
      <c r="M13" s="170"/>
      <c r="N13" s="56"/>
      <c r="O13" s="429"/>
      <c r="P13" s="429"/>
      <c r="Q13" s="429"/>
      <c r="R13" s="429"/>
      <c r="S13" s="429"/>
      <c r="T13" s="56"/>
      <c r="U13" s="56"/>
    </row>
    <row r="14" spans="2:21">
      <c r="B14" s="548" t="str">
        <f>_xlfn.TEXTJOIN(",",TRUE,Regions!$C$3:'Regions'!$AD$3)</f>
        <v>IE,IE-CW,IE-D,IE-KE,IE-KK,IE-LS,IE-LD,IE-LH,IE-MH,IE-OY,IE-WH,IE-WX,IE-WW,IE-CE,IE-CO,IE-KY,IE-LK,IE-TA,IE-WD,IE-G,IE-LM,IE-MO,IE-RN,IE-SO,IE-CN,IE-DL,IE-MN</v>
      </c>
      <c r="C14" s="444" t="str">
        <f>Processes!$D$62</f>
        <v>TRABCNG_BLD</v>
      </c>
      <c r="D14" s="444" t="str">
        <f>Commodities!C13</f>
        <v>TRACNG</v>
      </c>
      <c r="E14" s="444"/>
      <c r="F14" s="56" t="s">
        <v>956</v>
      </c>
      <c r="G14" s="444">
        <v>1</v>
      </c>
      <c r="H14" s="444">
        <v>5</v>
      </c>
      <c r="I14" s="446">
        <v>0.5</v>
      </c>
      <c r="J14" s="446">
        <v>0.5</v>
      </c>
      <c r="K14" s="446">
        <v>0.5</v>
      </c>
      <c r="L14" s="446">
        <v>0.5</v>
      </c>
      <c r="M14" s="446">
        <v>0.5</v>
      </c>
      <c r="N14" s="56"/>
      <c r="O14" s="429"/>
      <c r="P14" s="429"/>
      <c r="Q14" s="429"/>
      <c r="R14" s="429"/>
      <c r="S14" s="429"/>
      <c r="T14" s="56"/>
      <c r="U14" s="56"/>
    </row>
    <row r="15" spans="2:21">
      <c r="C15" s="56"/>
      <c r="D15" s="56" t="str">
        <f>Commodities!C14</f>
        <v>TRABNG</v>
      </c>
      <c r="E15" s="56"/>
      <c r="F15" s="56" t="s">
        <v>956</v>
      </c>
      <c r="G15" s="56"/>
      <c r="H15" s="56">
        <v>5</v>
      </c>
      <c r="I15" s="476">
        <f>1-I14</f>
        <v>0.5</v>
      </c>
      <c r="J15" s="476">
        <f t="shared" ref="J15" si="9">1-J14</f>
        <v>0.5</v>
      </c>
      <c r="K15" s="476">
        <f t="shared" ref="K15" si="10">1-K14</f>
        <v>0.5</v>
      </c>
      <c r="L15" s="476">
        <f t="shared" ref="L15" si="11">1-L14</f>
        <v>0.5</v>
      </c>
      <c r="M15" s="476">
        <f t="shared" ref="M15" si="12">1-M14</f>
        <v>0.5</v>
      </c>
      <c r="N15" s="429"/>
      <c r="O15" s="429"/>
      <c r="P15" s="429"/>
      <c r="Q15" s="429"/>
      <c r="R15" s="429"/>
      <c r="S15" s="429"/>
    </row>
    <row r="16" spans="2:21">
      <c r="B16" s="200"/>
      <c r="C16" s="170"/>
      <c r="D16" s="170"/>
      <c r="E16" s="170" t="e">
        <f>Commodities!#REF!</f>
        <v>#REF!</v>
      </c>
      <c r="F16" s="170"/>
      <c r="G16" s="170"/>
      <c r="H16" s="170"/>
      <c r="I16" s="170"/>
      <c r="J16" s="170"/>
      <c r="K16" s="170"/>
      <c r="L16" s="170"/>
      <c r="M16" s="170"/>
      <c r="N16" s="429"/>
      <c r="O16" s="429"/>
      <c r="P16" s="429"/>
      <c r="Q16" s="429"/>
      <c r="R16" s="429"/>
      <c r="S16" s="429"/>
    </row>
    <row r="17" spans="1:19" s="429" customFormat="1">
      <c r="B17" s="548" t="str">
        <f>_xlfn.TEXTJOIN(",",TRUE,Regions!$C$3:'Regions'!$AD$3)</f>
        <v>IE,IE-CW,IE-D,IE-KE,IE-KK,IE-LS,IE-LD,IE-LH,IE-MH,IE-OY,IE-WH,IE-WX,IE-WW,IE-CE,IE-CO,IE-KY,IE-LK,IE-TA,IE-WD,IE-G,IE-LM,IE-MO,IE-RN,IE-SO,IE-CN,IE-DL,IE-MN</v>
      </c>
      <c r="C17" s="444" t="str">
        <f>Processes!D63</f>
        <v>TRABJK_BLD</v>
      </c>
      <c r="D17" s="444" t="str">
        <f>Commodities!C18</f>
        <v>TRAKER</v>
      </c>
      <c r="E17" s="444"/>
      <c r="F17" s="56" t="s">
        <v>956</v>
      </c>
      <c r="G17" s="444">
        <v>1</v>
      </c>
      <c r="H17" s="444">
        <v>5</v>
      </c>
      <c r="I17" s="446">
        <v>1</v>
      </c>
      <c r="J17" s="446">
        <v>0.99</v>
      </c>
      <c r="K17" s="446">
        <v>0.5</v>
      </c>
      <c r="L17" s="446">
        <v>0.3</v>
      </c>
      <c r="M17" s="446">
        <v>0.1</v>
      </c>
    </row>
    <row r="18" spans="1:19" s="429" customFormat="1">
      <c r="C18" s="56"/>
      <c r="D18" s="56" t="str">
        <f>Commodities!C12</f>
        <v>TRABJK</v>
      </c>
      <c r="E18" s="56"/>
      <c r="F18" s="56" t="s">
        <v>956</v>
      </c>
      <c r="G18" s="56"/>
      <c r="H18" s="56">
        <v>5</v>
      </c>
      <c r="I18" s="476">
        <f>1-I17</f>
        <v>0</v>
      </c>
      <c r="J18" s="476">
        <f t="shared" ref="J18:M18" si="13">1-J17</f>
        <v>1.0000000000000009E-2</v>
      </c>
      <c r="K18" s="476">
        <f t="shared" si="13"/>
        <v>0.5</v>
      </c>
      <c r="L18" s="476">
        <f t="shared" si="13"/>
        <v>0.7</v>
      </c>
      <c r="M18" s="476">
        <f t="shared" si="13"/>
        <v>0.9</v>
      </c>
    </row>
    <row r="19" spans="1:19" s="429" customFormat="1">
      <c r="B19" s="112"/>
      <c r="C19" s="170"/>
      <c r="D19" s="170"/>
      <c r="E19" s="170" t="e">
        <f>Commodities!#REF!</f>
        <v>#REF!</v>
      </c>
      <c r="F19" s="170"/>
      <c r="G19" s="170"/>
      <c r="H19" s="170"/>
      <c r="I19" s="170"/>
      <c r="J19" s="170"/>
      <c r="K19" s="170"/>
      <c r="L19" s="170"/>
      <c r="M19" s="170"/>
    </row>
    <row r="20" spans="1:19" s="429" customFormat="1">
      <c r="C20" s="360"/>
      <c r="D20" s="360"/>
      <c r="E20" s="360"/>
      <c r="F20" s="360"/>
      <c r="G20" s="360"/>
      <c r="H20" s="360"/>
      <c r="I20" s="360"/>
      <c r="J20" s="360"/>
      <c r="K20" s="360"/>
      <c r="L20" s="360"/>
      <c r="M20" s="360"/>
    </row>
    <row r="21" spans="1:19">
      <c r="L21"/>
      <c r="N21" s="429"/>
      <c r="O21" s="429"/>
      <c r="P21" s="429"/>
      <c r="Q21" s="429"/>
      <c r="R21" s="429"/>
      <c r="S21" s="429"/>
    </row>
    <row r="22" spans="1:19">
      <c r="L22"/>
      <c r="M22" s="429"/>
      <c r="O22" s="429"/>
      <c r="P22" s="429"/>
      <c r="Q22" s="429"/>
      <c r="R22" s="429"/>
      <c r="S22" s="429"/>
    </row>
    <row r="23" spans="1:19">
      <c r="A23" s="447" t="s">
        <v>466</v>
      </c>
      <c r="B23" s="448"/>
      <c r="L23"/>
      <c r="M23" s="429"/>
      <c r="O23" s="429"/>
      <c r="P23" s="429"/>
      <c r="Q23" s="429"/>
      <c r="R23" s="429"/>
      <c r="S23" s="429"/>
    </row>
    <row r="24" spans="1:19">
      <c r="A24" s="449" t="s">
        <v>467</v>
      </c>
      <c r="B24" s="450" t="s">
        <v>468</v>
      </c>
      <c r="L24"/>
      <c r="M24" s="429"/>
      <c r="O24" s="429"/>
      <c r="P24" s="429"/>
      <c r="Q24" s="429"/>
      <c r="R24" s="429"/>
      <c r="S24" s="429"/>
    </row>
    <row r="25" spans="1:19">
      <c r="A25" s="451" t="s">
        <v>20</v>
      </c>
      <c r="B25" s="452">
        <v>1041376950</v>
      </c>
      <c r="L25"/>
      <c r="M25" s="429"/>
      <c r="O25" s="429"/>
      <c r="P25" s="429"/>
      <c r="Q25" s="429"/>
      <c r="R25" s="429"/>
      <c r="S25" s="429"/>
    </row>
    <row r="26" spans="1:19">
      <c r="A26" s="453" t="s">
        <v>469</v>
      </c>
      <c r="B26" s="452">
        <v>53868503</v>
      </c>
    </row>
    <row r="27" spans="1:19">
      <c r="A27" s="453" t="s">
        <v>19</v>
      </c>
      <c r="B27" s="454">
        <v>3392228806</v>
      </c>
    </row>
    <row r="28" spans="1:19">
      <c r="A28" s="453" t="s">
        <v>470</v>
      </c>
      <c r="B28" s="454">
        <v>162101602</v>
      </c>
    </row>
    <row r="29" spans="1:19">
      <c r="A29" s="455" t="s">
        <v>471</v>
      </c>
      <c r="B29" s="456"/>
    </row>
    <row r="30" spans="1:19">
      <c r="A30" s="456"/>
      <c r="B30" s="456"/>
    </row>
    <row r="31" spans="1:19">
      <c r="A31" s="456"/>
      <c r="B31" s="456"/>
    </row>
    <row r="32" spans="1:19">
      <c r="A32" s="447" t="s">
        <v>472</v>
      </c>
      <c r="B32" s="448"/>
    </row>
    <row r="33" spans="1:2">
      <c r="A33" s="449" t="s">
        <v>467</v>
      </c>
      <c r="B33" s="450" t="s">
        <v>472</v>
      </c>
    </row>
    <row r="34" spans="1:2">
      <c r="A34" s="451" t="s">
        <v>20</v>
      </c>
      <c r="B34" s="452">
        <v>35</v>
      </c>
    </row>
    <row r="35" spans="1:2">
      <c r="A35" s="453" t="s">
        <v>469</v>
      </c>
      <c r="B35" s="452">
        <v>32</v>
      </c>
    </row>
    <row r="36" spans="1:2">
      <c r="A36" s="453" t="s">
        <v>19</v>
      </c>
      <c r="B36" s="454">
        <v>37</v>
      </c>
    </row>
    <row r="37" spans="1:2">
      <c r="A37" s="453" t="s">
        <v>470</v>
      </c>
      <c r="B37" s="454">
        <v>33</v>
      </c>
    </row>
    <row r="38" spans="1:2">
      <c r="A38" s="456"/>
      <c r="B38" s="456"/>
    </row>
    <row r="39" spans="1:2">
      <c r="A39" s="456"/>
      <c r="B39" s="456"/>
    </row>
    <row r="40" spans="1:2">
      <c r="A40" s="447" t="s">
        <v>473</v>
      </c>
      <c r="B40" s="448"/>
    </row>
    <row r="41" spans="1:2">
      <c r="A41" s="449" t="s">
        <v>467</v>
      </c>
      <c r="B41" s="450" t="s">
        <v>474</v>
      </c>
    </row>
    <row r="42" spans="1:2">
      <c r="A42" s="451" t="s">
        <v>20</v>
      </c>
      <c r="B42" s="457">
        <f>(B25*B34)/((B25*B34)+(B26*B35))</f>
        <v>0.9548414346182118</v>
      </c>
    </row>
    <row r="43" spans="1:2">
      <c r="A43" s="453" t="s">
        <v>469</v>
      </c>
      <c r="B43" s="457">
        <f>(B26*B35)/((B25*B34)+(B26*B35))</f>
        <v>4.5158565381788147E-2</v>
      </c>
    </row>
    <row r="44" spans="1:2">
      <c r="A44" s="453" t="s">
        <v>19</v>
      </c>
      <c r="B44" s="457">
        <f>(B27*B36)/((B27*B36)+(B28*B37))</f>
        <v>0.95912212653292017</v>
      </c>
    </row>
    <row r="45" spans="1:2">
      <c r="A45" s="453" t="s">
        <v>470</v>
      </c>
      <c r="B45" s="457">
        <f>(B28*B37)/((B27*B36)+(B28*B37))</f>
        <v>4.087787346707978E-2</v>
      </c>
    </row>
    <row r="49" spans="1:42" ht="15" thickBot="1">
      <c r="A49" s="429" t="s">
        <v>946</v>
      </c>
    </row>
    <row r="50" spans="1:42">
      <c r="A50" s="463" t="s">
        <v>941</v>
      </c>
      <c r="B50" s="464">
        <v>2010</v>
      </c>
      <c r="C50" s="464">
        <v>2011</v>
      </c>
      <c r="D50" s="464">
        <v>2012</v>
      </c>
      <c r="E50" s="464">
        <v>2013</v>
      </c>
      <c r="F50" s="464">
        <v>2014</v>
      </c>
      <c r="G50" s="464">
        <v>2015</v>
      </c>
      <c r="H50" s="464">
        <v>2016</v>
      </c>
      <c r="I50" s="464">
        <v>2017</v>
      </c>
      <c r="J50" s="464">
        <v>2018</v>
      </c>
      <c r="K50" s="464">
        <v>2019</v>
      </c>
      <c r="L50" s="464">
        <v>2020</v>
      </c>
      <c r="M50" s="464">
        <v>2021</v>
      </c>
      <c r="N50" s="464">
        <v>2022</v>
      </c>
      <c r="O50" s="464">
        <v>2023</v>
      </c>
      <c r="P50" s="464">
        <v>2024</v>
      </c>
      <c r="Q50" s="464">
        <v>2025</v>
      </c>
      <c r="R50" s="464">
        <v>2026</v>
      </c>
      <c r="S50" s="464">
        <v>2027</v>
      </c>
      <c r="T50" s="464">
        <v>2028</v>
      </c>
      <c r="U50" s="464">
        <v>2029</v>
      </c>
      <c r="V50" s="464">
        <v>2030</v>
      </c>
      <c r="W50" s="464">
        <v>2031</v>
      </c>
      <c r="X50" s="464">
        <v>2032</v>
      </c>
      <c r="Y50" s="464">
        <v>2033</v>
      </c>
      <c r="Z50" s="464">
        <v>2034</v>
      </c>
      <c r="AA50" s="464">
        <v>2035</v>
      </c>
      <c r="AB50" s="464">
        <v>2036</v>
      </c>
      <c r="AC50" s="464">
        <v>2037</v>
      </c>
      <c r="AD50" s="464">
        <v>2038</v>
      </c>
      <c r="AE50" s="464">
        <v>2039</v>
      </c>
      <c r="AF50" s="464">
        <v>2040</v>
      </c>
      <c r="AG50" s="464">
        <v>2041</v>
      </c>
      <c r="AH50" s="464">
        <v>2042</v>
      </c>
      <c r="AI50" s="464">
        <v>2043</v>
      </c>
      <c r="AJ50" s="464">
        <v>2044</v>
      </c>
      <c r="AK50" s="464">
        <v>2045</v>
      </c>
      <c r="AL50" s="464">
        <v>2046</v>
      </c>
      <c r="AM50" s="464">
        <v>2047</v>
      </c>
      <c r="AN50" s="464">
        <v>2048</v>
      </c>
      <c r="AO50" s="464">
        <v>2049</v>
      </c>
      <c r="AP50" s="468">
        <v>2050</v>
      </c>
    </row>
    <row r="51" spans="1:42">
      <c r="A51" s="459" t="s">
        <v>18</v>
      </c>
      <c r="B51" s="469">
        <v>1919438353</v>
      </c>
      <c r="C51" s="469">
        <v>1770757195</v>
      </c>
      <c r="D51" s="469">
        <v>1624514247</v>
      </c>
      <c r="E51" s="469">
        <v>1517484617</v>
      </c>
      <c r="F51" s="470">
        <v>1437055035</v>
      </c>
      <c r="G51" s="470">
        <v>1362450472</v>
      </c>
      <c r="H51" s="470">
        <v>1272730975</v>
      </c>
      <c r="I51" s="470">
        <v>1146348261</v>
      </c>
      <c r="J51" s="470">
        <v>1041376950</v>
      </c>
      <c r="K51" s="470">
        <v>989982198</v>
      </c>
      <c r="L51" s="471" t="s">
        <v>17</v>
      </c>
      <c r="M51" s="471" t="s">
        <v>17</v>
      </c>
      <c r="N51" s="471" t="s">
        <v>17</v>
      </c>
      <c r="O51" s="471" t="s">
        <v>17</v>
      </c>
      <c r="P51" s="471" t="s">
        <v>17</v>
      </c>
      <c r="Q51" s="471" t="s">
        <v>17</v>
      </c>
      <c r="R51" s="471" t="s">
        <v>17</v>
      </c>
      <c r="S51" s="471" t="s">
        <v>17</v>
      </c>
      <c r="T51" s="471" t="s">
        <v>17</v>
      </c>
      <c r="U51" s="471" t="s">
        <v>17</v>
      </c>
      <c r="V51" s="471" t="s">
        <v>17</v>
      </c>
      <c r="W51" s="471" t="s">
        <v>17</v>
      </c>
      <c r="X51" s="471" t="s">
        <v>17</v>
      </c>
      <c r="Y51" s="471" t="s">
        <v>17</v>
      </c>
      <c r="Z51" s="471" t="s">
        <v>17</v>
      </c>
      <c r="AA51" s="471" t="s">
        <v>17</v>
      </c>
      <c r="AB51" s="471" t="s">
        <v>17</v>
      </c>
      <c r="AC51" s="471" t="s">
        <v>17</v>
      </c>
      <c r="AD51" s="471" t="s">
        <v>17</v>
      </c>
      <c r="AE51" s="471" t="s">
        <v>17</v>
      </c>
      <c r="AF51" s="471" t="s">
        <v>17</v>
      </c>
      <c r="AG51" s="471" t="s">
        <v>17</v>
      </c>
      <c r="AH51" s="471" t="s">
        <v>17</v>
      </c>
      <c r="AI51" s="471" t="s">
        <v>17</v>
      </c>
      <c r="AJ51" s="471" t="s">
        <v>17</v>
      </c>
      <c r="AK51" s="471" t="s">
        <v>17</v>
      </c>
      <c r="AL51" s="471" t="s">
        <v>17</v>
      </c>
      <c r="AM51" s="471" t="s">
        <v>17</v>
      </c>
      <c r="AN51" s="471" t="s">
        <v>17</v>
      </c>
      <c r="AO51" s="471" t="s">
        <v>17</v>
      </c>
      <c r="AP51" s="460" t="s">
        <v>17</v>
      </c>
    </row>
    <row r="52" spans="1:42">
      <c r="A52" s="459" t="s">
        <v>942</v>
      </c>
      <c r="B52" s="469">
        <v>32285257</v>
      </c>
      <c r="C52" s="469">
        <v>57428620</v>
      </c>
      <c r="D52" s="469">
        <v>55648948</v>
      </c>
      <c r="E52" s="469">
        <v>56388985</v>
      </c>
      <c r="F52" s="470">
        <v>52569970</v>
      </c>
      <c r="G52" s="470">
        <v>58834520</v>
      </c>
      <c r="H52" s="470">
        <v>63084385</v>
      </c>
      <c r="I52" s="470">
        <v>58476031</v>
      </c>
      <c r="J52" s="470">
        <v>53868503</v>
      </c>
      <c r="K52" s="470">
        <v>51730645</v>
      </c>
      <c r="L52" s="471"/>
      <c r="M52" s="471"/>
      <c r="N52" s="471"/>
      <c r="O52" s="471"/>
      <c r="P52" s="471"/>
      <c r="Q52" s="471"/>
      <c r="R52" s="471"/>
      <c r="S52" s="471"/>
      <c r="T52" s="471"/>
      <c r="U52" s="471"/>
      <c r="V52" s="471"/>
      <c r="W52" s="471"/>
      <c r="X52" s="471"/>
      <c r="Y52" s="471"/>
      <c r="Z52" s="471"/>
      <c r="AA52" s="471"/>
      <c r="AB52" s="471"/>
      <c r="AC52" s="471"/>
      <c r="AD52" s="471"/>
      <c r="AE52" s="471"/>
      <c r="AF52" s="471"/>
      <c r="AG52" s="471"/>
      <c r="AH52" s="471"/>
      <c r="AI52" s="471"/>
      <c r="AJ52" s="471"/>
      <c r="AK52" s="471"/>
      <c r="AL52" s="471"/>
      <c r="AM52" s="471"/>
      <c r="AN52" s="471"/>
      <c r="AO52" s="471"/>
      <c r="AP52" s="460"/>
    </row>
    <row r="53" spans="1:42">
      <c r="A53" s="459" t="s">
        <v>19</v>
      </c>
      <c r="B53" s="469">
        <v>2487370477</v>
      </c>
      <c r="C53" s="469">
        <v>2454495889</v>
      </c>
      <c r="D53" s="469">
        <v>2441127259</v>
      </c>
      <c r="E53" s="469">
        <v>2548493422</v>
      </c>
      <c r="F53" s="470">
        <v>2706015956</v>
      </c>
      <c r="G53" s="470">
        <v>2952899074</v>
      </c>
      <c r="H53" s="470">
        <v>3187676279</v>
      </c>
      <c r="I53" s="470">
        <v>3242587996</v>
      </c>
      <c r="J53" s="470">
        <v>3392228806</v>
      </c>
      <c r="K53" s="470">
        <v>3419565001</v>
      </c>
      <c r="L53" s="471" t="s">
        <v>17</v>
      </c>
      <c r="M53" s="471" t="s">
        <v>17</v>
      </c>
      <c r="N53" s="471" t="s">
        <v>17</v>
      </c>
      <c r="O53" s="471" t="s">
        <v>17</v>
      </c>
      <c r="P53" s="471" t="s">
        <v>17</v>
      </c>
      <c r="Q53" s="471" t="s">
        <v>17</v>
      </c>
      <c r="R53" s="471" t="s">
        <v>17</v>
      </c>
      <c r="S53" s="471" t="s">
        <v>17</v>
      </c>
      <c r="T53" s="471" t="s">
        <v>17</v>
      </c>
      <c r="U53" s="471" t="s">
        <v>17</v>
      </c>
      <c r="V53" s="471" t="s">
        <v>17</v>
      </c>
      <c r="W53" s="471" t="s">
        <v>17</v>
      </c>
      <c r="X53" s="471" t="s">
        <v>17</v>
      </c>
      <c r="Y53" s="471" t="s">
        <v>17</v>
      </c>
      <c r="Z53" s="471" t="s">
        <v>17</v>
      </c>
      <c r="AA53" s="471" t="s">
        <v>17</v>
      </c>
      <c r="AB53" s="471" t="s">
        <v>17</v>
      </c>
      <c r="AC53" s="471" t="s">
        <v>17</v>
      </c>
      <c r="AD53" s="471" t="s">
        <v>17</v>
      </c>
      <c r="AE53" s="471" t="s">
        <v>17</v>
      </c>
      <c r="AF53" s="471" t="s">
        <v>17</v>
      </c>
      <c r="AG53" s="471" t="s">
        <v>17</v>
      </c>
      <c r="AH53" s="471" t="s">
        <v>17</v>
      </c>
      <c r="AI53" s="471" t="s">
        <v>17</v>
      </c>
      <c r="AJ53" s="471" t="s">
        <v>17</v>
      </c>
      <c r="AK53" s="471" t="s">
        <v>17</v>
      </c>
      <c r="AL53" s="471" t="s">
        <v>17</v>
      </c>
      <c r="AM53" s="471" t="s">
        <v>17</v>
      </c>
      <c r="AN53" s="471" t="s">
        <v>17</v>
      </c>
      <c r="AO53" s="471" t="s">
        <v>17</v>
      </c>
      <c r="AP53" s="460" t="s">
        <v>17</v>
      </c>
    </row>
    <row r="54" spans="1:42">
      <c r="A54" s="459" t="s">
        <v>943</v>
      </c>
      <c r="B54" s="469">
        <v>64523884</v>
      </c>
      <c r="C54" s="469">
        <v>86912448</v>
      </c>
      <c r="D54" s="469">
        <v>70292126</v>
      </c>
      <c r="E54" s="469">
        <v>93969733</v>
      </c>
      <c r="F54" s="470">
        <v>114350795</v>
      </c>
      <c r="G54" s="470">
        <v>124868316</v>
      </c>
      <c r="H54" s="470">
        <v>109734839</v>
      </c>
      <c r="I54" s="470">
        <v>167296383</v>
      </c>
      <c r="J54" s="470">
        <v>162101602</v>
      </c>
      <c r="K54" s="470">
        <v>206694716</v>
      </c>
      <c r="L54" s="471" t="s">
        <v>17</v>
      </c>
      <c r="M54" s="471" t="s">
        <v>17</v>
      </c>
      <c r="N54" s="471" t="s">
        <v>17</v>
      </c>
      <c r="O54" s="471" t="s">
        <v>17</v>
      </c>
      <c r="P54" s="471" t="s">
        <v>17</v>
      </c>
      <c r="Q54" s="471" t="s">
        <v>17</v>
      </c>
      <c r="R54" s="471" t="s">
        <v>17</v>
      </c>
      <c r="S54" s="471" t="s">
        <v>17</v>
      </c>
      <c r="T54" s="471" t="s">
        <v>17</v>
      </c>
      <c r="U54" s="471" t="s">
        <v>17</v>
      </c>
      <c r="V54" s="471" t="s">
        <v>17</v>
      </c>
      <c r="W54" s="471" t="s">
        <v>17</v>
      </c>
      <c r="X54" s="471" t="s">
        <v>17</v>
      </c>
      <c r="Y54" s="471" t="s">
        <v>17</v>
      </c>
      <c r="Z54" s="471" t="s">
        <v>17</v>
      </c>
      <c r="AA54" s="471" t="s">
        <v>17</v>
      </c>
      <c r="AB54" s="471" t="s">
        <v>17</v>
      </c>
      <c r="AC54" s="471" t="s">
        <v>17</v>
      </c>
      <c r="AD54" s="471" t="s">
        <v>17</v>
      </c>
      <c r="AE54" s="471" t="s">
        <v>17</v>
      </c>
      <c r="AF54" s="471" t="s">
        <v>17</v>
      </c>
      <c r="AG54" s="471" t="s">
        <v>17</v>
      </c>
      <c r="AH54" s="471" t="s">
        <v>17</v>
      </c>
      <c r="AI54" s="471" t="s">
        <v>17</v>
      </c>
      <c r="AJ54" s="471" t="s">
        <v>17</v>
      </c>
      <c r="AK54" s="471" t="s">
        <v>17</v>
      </c>
      <c r="AL54" s="471" t="s">
        <v>17</v>
      </c>
      <c r="AM54" s="471" t="s">
        <v>17</v>
      </c>
      <c r="AN54" s="471" t="s">
        <v>17</v>
      </c>
      <c r="AO54" s="471" t="s">
        <v>17</v>
      </c>
      <c r="AP54" s="460" t="s">
        <v>17</v>
      </c>
    </row>
    <row r="55" spans="1:42">
      <c r="A55" s="459" t="s">
        <v>944</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465">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146">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466">
        <f>AO55</f>
        <v>0.1</v>
      </c>
    </row>
    <row r="56" spans="1:42" ht="15" thickBot="1">
      <c r="A56" s="461" t="s">
        <v>945</v>
      </c>
      <c r="B56" s="462">
        <f>(B54*$B$37)/((B53*$B$36)+(B54*$B$37))</f>
        <v>2.2613031440494664E-2</v>
      </c>
      <c r="C56" s="462">
        <f>(C54*$B$37)/((C53*$B$36)+(C54*$B$37))</f>
        <v>3.0614584580015675E-2</v>
      </c>
      <c r="D56" s="462">
        <f t="shared" ref="D56:K56" si="18">(D54*$B$37)/((D53*$B$36)+(D54*$B$37))</f>
        <v>2.5038929047601442E-2</v>
      </c>
      <c r="E56" s="462">
        <f t="shared" si="18"/>
        <v>3.1839344737629331E-2</v>
      </c>
      <c r="F56" s="462">
        <f t="shared" si="18"/>
        <v>3.6320649339008006E-2</v>
      </c>
      <c r="G56" s="462">
        <f t="shared" si="18"/>
        <v>3.6344417166647852E-2</v>
      </c>
      <c r="H56" s="462">
        <f t="shared" si="18"/>
        <v>2.9788521237398415E-2</v>
      </c>
      <c r="I56" s="462">
        <f t="shared" si="18"/>
        <v>4.3991498039437318E-2</v>
      </c>
      <c r="J56" s="462">
        <f t="shared" si="18"/>
        <v>4.087787346707978E-2</v>
      </c>
      <c r="K56" s="462">
        <f t="shared" si="18"/>
        <v>5.1152531327863002E-2</v>
      </c>
      <c r="L56" s="462">
        <f>K56</f>
        <v>5.1152531327863002E-2</v>
      </c>
      <c r="M56" s="462">
        <f>L56+(($V$56-$L$56)/10)</f>
        <v>5.6037278195076701E-2</v>
      </c>
      <c r="N56" s="462">
        <f t="shared" ref="N56:U56" si="19">M56+(($V$56-$L$56)/10)</f>
        <v>6.09220250622904E-2</v>
      </c>
      <c r="O56" s="462">
        <f t="shared" si="19"/>
        <v>6.5806771929504099E-2</v>
      </c>
      <c r="P56" s="462">
        <f t="shared" si="19"/>
        <v>7.0691518796717798E-2</v>
      </c>
      <c r="Q56" s="462">
        <f t="shared" si="19"/>
        <v>7.5576265663931497E-2</v>
      </c>
      <c r="R56" s="462">
        <f t="shared" si="19"/>
        <v>8.0461012531145196E-2</v>
      </c>
      <c r="S56" s="462">
        <f t="shared" si="19"/>
        <v>8.5345759398358895E-2</v>
      </c>
      <c r="T56" s="462">
        <f t="shared" si="19"/>
        <v>9.0230506265572594E-2</v>
      </c>
      <c r="U56" s="462">
        <f t="shared" si="19"/>
        <v>9.5115253132786293E-2</v>
      </c>
      <c r="V56" s="472">
        <v>0.1</v>
      </c>
      <c r="W56" s="462">
        <f t="shared" ref="W56:AP56" si="20">V56</f>
        <v>0.1</v>
      </c>
      <c r="X56" s="462">
        <f t="shared" si="20"/>
        <v>0.1</v>
      </c>
      <c r="Y56" s="462">
        <f t="shared" si="20"/>
        <v>0.1</v>
      </c>
      <c r="Z56" s="462">
        <f t="shared" si="20"/>
        <v>0.1</v>
      </c>
      <c r="AA56" s="462">
        <f t="shared" si="20"/>
        <v>0.1</v>
      </c>
      <c r="AB56" s="462">
        <f t="shared" si="20"/>
        <v>0.1</v>
      </c>
      <c r="AC56" s="462">
        <f t="shared" si="20"/>
        <v>0.1</v>
      </c>
      <c r="AD56" s="462">
        <f t="shared" si="20"/>
        <v>0.1</v>
      </c>
      <c r="AE56" s="462">
        <f t="shared" si="20"/>
        <v>0.1</v>
      </c>
      <c r="AF56" s="462">
        <f t="shared" si="20"/>
        <v>0.1</v>
      </c>
      <c r="AG56" s="462">
        <f t="shared" si="20"/>
        <v>0.1</v>
      </c>
      <c r="AH56" s="462">
        <f t="shared" si="20"/>
        <v>0.1</v>
      </c>
      <c r="AI56" s="462">
        <f t="shared" si="20"/>
        <v>0.1</v>
      </c>
      <c r="AJ56" s="462">
        <f t="shared" si="20"/>
        <v>0.1</v>
      </c>
      <c r="AK56" s="462">
        <f t="shared" si="20"/>
        <v>0.1</v>
      </c>
      <c r="AL56" s="462">
        <f t="shared" si="20"/>
        <v>0.1</v>
      </c>
      <c r="AM56" s="462">
        <f t="shared" si="20"/>
        <v>0.1</v>
      </c>
      <c r="AN56" s="462">
        <f t="shared" si="20"/>
        <v>0.1</v>
      </c>
      <c r="AO56" s="462">
        <f t="shared" si="20"/>
        <v>0.1</v>
      </c>
      <c r="AP56" s="467">
        <f t="shared" si="20"/>
        <v>0.1</v>
      </c>
    </row>
    <row r="57" spans="1:42">
      <c r="A57" s="455" t="s">
        <v>471</v>
      </c>
    </row>
    <row r="58" spans="1:42">
      <c r="K58" s="121"/>
    </row>
  </sheetData>
  <phoneticPr fontId="3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abSelected="1" topLeftCell="A26" zoomScale="70" zoomScaleNormal="70" workbookViewId="0">
      <selection activeCell="E40" sqref="E40"/>
    </sheetView>
  </sheetViews>
  <sheetFormatPr defaultRowHeight="14.4"/>
  <cols>
    <col min="1" max="1" width="9.109375" style="548"/>
    <col min="2" max="2" width="8.21875" style="548" customWidth="1"/>
    <col min="3" max="3" width="23" customWidth="1"/>
    <col min="4" max="4" width="9" customWidth="1"/>
    <col min="5" max="5" width="16.5546875" customWidth="1"/>
    <col min="6"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1036</v>
      </c>
      <c r="BM2" s="429" t="s">
        <v>312</v>
      </c>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row>
    <row r="3" spans="1:93">
      <c r="C3" s="190"/>
      <c r="E3" s="190"/>
      <c r="F3" s="195" t="s">
        <v>929</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1024</v>
      </c>
      <c r="BM3" s="429" t="s">
        <v>1033</v>
      </c>
      <c r="BN3" s="429"/>
      <c r="BO3" s="429"/>
      <c r="BP3" s="429"/>
      <c r="BQ3" s="429"/>
      <c r="BR3" s="429"/>
      <c r="BS3" s="429"/>
      <c r="BT3" s="429"/>
      <c r="BU3" s="429"/>
      <c r="BV3" s="429"/>
      <c r="BW3" s="429"/>
      <c r="BX3" s="429"/>
      <c r="BY3" s="429"/>
      <c r="BZ3" s="429"/>
      <c r="CA3" s="429"/>
      <c r="CB3" s="429"/>
      <c r="CC3" s="429"/>
      <c r="CD3" s="429"/>
      <c r="CE3" s="429"/>
      <c r="CF3" s="429"/>
      <c r="CG3" s="429"/>
      <c r="CH3" s="429"/>
      <c r="CI3" s="429"/>
      <c r="CJ3" s="429"/>
      <c r="CK3" s="429"/>
      <c r="CL3" s="429"/>
      <c r="CM3" s="429"/>
      <c r="CN3" s="429"/>
      <c r="CO3" s="429"/>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1035</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29"/>
    </row>
    <row r="5" spans="1:93" s="201" customFormat="1" ht="15.6">
      <c r="A5" s="548"/>
      <c r="B5" s="548"/>
      <c r="C5" s="531"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82"/>
      <c r="AK5" s="482"/>
      <c r="AL5" s="482"/>
      <c r="AM5" s="482"/>
      <c r="AN5" s="482"/>
      <c r="AO5" s="482"/>
      <c r="AP5" s="482"/>
      <c r="AQ5" s="482"/>
      <c r="AR5" s="482"/>
      <c r="AS5" s="482"/>
      <c r="AT5" s="482"/>
      <c r="AU5" s="482"/>
      <c r="AV5" s="482"/>
      <c r="AW5" s="482"/>
      <c r="AX5" s="482"/>
      <c r="AY5" s="482"/>
      <c r="AZ5" s="482"/>
      <c r="BA5" s="482"/>
      <c r="BB5" s="482"/>
      <c r="BC5" s="482"/>
      <c r="BD5" s="482"/>
      <c r="BE5" s="482"/>
      <c r="BF5" s="482"/>
      <c r="BG5" s="482"/>
      <c r="BH5" s="482"/>
      <c r="BI5" s="482"/>
      <c r="BJ5" s="482"/>
      <c r="BM5" s="197" t="s">
        <v>1034</v>
      </c>
      <c r="BN5" s="482"/>
      <c r="BO5" s="482"/>
      <c r="BP5" s="482"/>
      <c r="BQ5" s="482"/>
      <c r="BR5" s="482"/>
      <c r="BS5" s="482"/>
      <c r="BT5" s="482"/>
      <c r="BU5" s="482"/>
      <c r="BV5" s="482"/>
      <c r="BW5" s="482"/>
      <c r="BX5" s="482"/>
      <c r="BY5" s="482"/>
      <c r="BZ5" s="482"/>
      <c r="CA5" s="482"/>
      <c r="CB5" s="482"/>
      <c r="CC5" s="482"/>
      <c r="CD5" s="482"/>
      <c r="CE5" s="482"/>
      <c r="CF5" s="482"/>
      <c r="CG5" s="482"/>
      <c r="CH5" s="482"/>
      <c r="CI5" s="482"/>
      <c r="CJ5" s="482"/>
      <c r="CK5" s="482"/>
      <c r="CL5" s="482"/>
      <c r="CM5" s="482"/>
      <c r="CN5" s="482"/>
      <c r="CO5" s="429"/>
    </row>
    <row r="6" spans="1:93" s="201" customFormat="1">
      <c r="A6" s="548"/>
      <c r="B6" s="548"/>
      <c r="C6" s="190" t="str">
        <f>Processes!D9</f>
        <v>T-MOT-ICE_GSL00</v>
      </c>
      <c r="D6" s="28" t="s">
        <v>1130</v>
      </c>
      <c r="E6" s="201" t="str">
        <f>Commodities!C8&amp;","&amp;Commodities!C10</f>
        <v>TRAGSL,TRAETH</v>
      </c>
      <c r="F6" s="190" t="str">
        <f>Commodities!C19&amp;","&amp;Commodities!C20</f>
        <v>TRAPS,TRAPM</v>
      </c>
      <c r="G6" s="140">
        <f>SUM(H6:AG6)</f>
        <v>39.851999999999997</v>
      </c>
      <c r="H6" s="140">
        <f>F185/1000</f>
        <v>0.56299999999999994</v>
      </c>
      <c r="I6" s="140">
        <f>G185/1000</f>
        <v>12.616</v>
      </c>
      <c r="J6" s="140">
        <f>H185/1000</f>
        <v>2.1680000000000001</v>
      </c>
      <c r="K6" s="140">
        <f>I185/1000</f>
        <v>0.872</v>
      </c>
      <c r="L6" s="140">
        <f>J185/1000</f>
        <v>0.51300000000000001</v>
      </c>
      <c r="M6" s="140">
        <f>K185/1000</f>
        <v>0.21299999999999999</v>
      </c>
      <c r="N6" s="140">
        <f>L185/1000</f>
        <v>0.85499999999999998</v>
      </c>
      <c r="O6" s="140">
        <f>M185/1000</f>
        <v>1.6839999999999999</v>
      </c>
      <c r="P6" s="140">
        <f>N185/1000</f>
        <v>0.66900000000000004</v>
      </c>
      <c r="Q6" s="140">
        <f>O185/1000</f>
        <v>0.60399999999999998</v>
      </c>
      <c r="R6" s="140">
        <f>P185/1000</f>
        <v>1.506</v>
      </c>
      <c r="S6" s="140">
        <f>Q185/1000</f>
        <v>1.554</v>
      </c>
      <c r="T6" s="140">
        <f>R185/1000</f>
        <v>0.92400000000000004</v>
      </c>
      <c r="U6" s="140">
        <f>S185/1000</f>
        <v>5.452</v>
      </c>
      <c r="V6" s="140">
        <f>T185/1000</f>
        <v>1.0620000000000001</v>
      </c>
      <c r="W6" s="140">
        <f>U185/1000</f>
        <v>1.4890000000000001</v>
      </c>
      <c r="X6" s="140">
        <f>V185/1000</f>
        <v>1.4119999999999999</v>
      </c>
      <c r="Y6" s="140">
        <f>W185/1000</f>
        <v>1.2929999999999999</v>
      </c>
      <c r="Z6" s="140">
        <f>X185/1000</f>
        <v>1.458</v>
      </c>
      <c r="AA6" s="140">
        <f>Y185/1000</f>
        <v>0.16</v>
      </c>
      <c r="AB6" s="140">
        <f>Z185/1000</f>
        <v>0.60499999999999998</v>
      </c>
      <c r="AC6" s="140">
        <f>AA185/1000</f>
        <v>0.29499999999999998</v>
      </c>
      <c r="AD6" s="140">
        <f>AB185/1000</f>
        <v>0.4</v>
      </c>
      <c r="AE6" s="140">
        <f>AC185/1000</f>
        <v>0.44800000000000001</v>
      </c>
      <c r="AF6" s="140">
        <f>AD185/1000</f>
        <v>0.73599999999999999</v>
      </c>
      <c r="AG6" s="140">
        <f>AE185/1000</f>
        <v>0.30099999999999999</v>
      </c>
      <c r="AI6" s="84" t="str">
        <f t="shared" ref="AI6:AI26" si="2">C6</f>
        <v>T-MOT-ICE_GSL00</v>
      </c>
      <c r="AJ6" s="375">
        <f>G6*AF!D6*ACT2FLO!E52/1000</f>
        <v>0.1197193932</v>
      </c>
      <c r="AK6" s="375">
        <f>H6*AF!E6*ACT2FLO!F52/1000</f>
        <v>1.6330940999999999E-3</v>
      </c>
      <c r="AL6" s="375">
        <f>I6*AF!F6*ACT2FLO!G52/1000</f>
        <v>3.8829524800000001E-2</v>
      </c>
      <c r="AM6" s="375">
        <f>J6*AF!G6*ACT2FLO!H52/1000</f>
        <v>6.505734400000001E-3</v>
      </c>
      <c r="AN6" s="375">
        <f>K6*AF!H6*ACT2FLO!I52/1000</f>
        <v>2.5437984E-3</v>
      </c>
      <c r="AO6" s="375">
        <f>L6*AF!I6*ACT2FLO!J52/1000</f>
        <v>1.5292530000000002E-3</v>
      </c>
      <c r="AP6" s="375">
        <f>M6*AF!J6*ACT2FLO!K52/1000</f>
        <v>6.2534670000000006E-4</v>
      </c>
      <c r="AQ6" s="375">
        <f>N6*AF!K6*ACT2FLO!L52/1000</f>
        <v>2.5938989999999998E-3</v>
      </c>
      <c r="AR6" s="375">
        <f>O6*AF!L6*ACT2FLO!M52/1000</f>
        <v>5.0422328000000001E-3</v>
      </c>
      <c r="AS6" s="375">
        <f>P6*AF!M6*ACT2FLO!N52/1000</f>
        <v>1.9545504000000003E-3</v>
      </c>
      <c r="AT6" s="375">
        <f>Q6*AF!N6*ACT2FLO!O52/1000</f>
        <v>1.7978663999999999E-3</v>
      </c>
      <c r="AU6" s="375">
        <f>R6*AF!O6*ACT2FLO!P52/1000</f>
        <v>4.4015862000000008E-3</v>
      </c>
      <c r="AV6" s="375">
        <f>S6*AF!P6*ACT2FLO!Q52/1000</f>
        <v>4.6495680000000015E-3</v>
      </c>
      <c r="AW6" s="375">
        <f>T6*AF!Q6*ACT2FLO!R52/1000</f>
        <v>2.7707064000000005E-3</v>
      </c>
      <c r="AX6" s="375">
        <f>U6*AF!R6*ACT2FLO!S52/1000</f>
        <v>1.6120473600000004E-2</v>
      </c>
      <c r="AY6" s="375">
        <f>V6*AF!S6*ACT2FLO!T52/1000</f>
        <v>3.1307760000000005E-3</v>
      </c>
      <c r="AZ6" s="375">
        <f>W6*AF!T6*ACT2FLO!U52/1000</f>
        <v>4.4223300000000012E-3</v>
      </c>
      <c r="BA6" s="375">
        <f>X6*AF!U6*ACT2FLO!V52/1000</f>
        <v>4.1843208000000003E-3</v>
      </c>
      <c r="BB6" s="375">
        <f>Y6*AF!V6*ACT2FLO!W52/1000</f>
        <v>3.7662504000000002E-3</v>
      </c>
      <c r="BC6" s="375">
        <f>Z6*AF!W6*ACT2FLO!X52/1000</f>
        <v>4.3318637999999994E-3</v>
      </c>
      <c r="BD6" s="375">
        <f>AA6*AF!X6*ACT2FLO!Y52/1000</f>
        <v>4.796E-4</v>
      </c>
      <c r="BE6" s="375">
        <f>AB6*AF!Y6*ACT2FLO!Z52/1000</f>
        <v>1.8088290000000003E-3</v>
      </c>
      <c r="BF6" s="375">
        <f>AC6*AF!Z6*ACT2FLO!AA52/1000</f>
        <v>8.8556050000000003E-4</v>
      </c>
      <c r="BG6" s="375">
        <f>AD6*AF!AA6*ACT2FLO!AB52/1000</f>
        <v>1.1651200000000002E-3</v>
      </c>
      <c r="BH6" s="375">
        <f>AE6*AF!AB6*ACT2FLO!AC52/1000</f>
        <v>1.3359808000000001E-3</v>
      </c>
      <c r="BI6" s="375">
        <f>AF6*AF!AC6*ACT2FLO!AD52/1000</f>
        <v>2.2612128000000006E-3</v>
      </c>
      <c r="BJ6" s="375">
        <f>AG6*AF!AD6*ACT2FLO!AE52/1000</f>
        <v>9.2045800000000008E-4</v>
      </c>
      <c r="BM6" s="429" t="str">
        <f>C28</f>
        <v>T-LGT-ICE_GSL00</v>
      </c>
      <c r="BN6" s="375">
        <f>G28*AF!D23*ACT2FLO!E70/1000</f>
        <v>7.9580551500000023E-4</v>
      </c>
      <c r="BO6" s="375">
        <f>H28*AF!E23*ACT2FLO!F70/1000</f>
        <v>8.8792850000000005E-6</v>
      </c>
      <c r="BP6" s="375">
        <f>I28*AF!F23*ACT2FLO!G70/1000</f>
        <v>2.6747075000000005E-4</v>
      </c>
      <c r="BQ6" s="375">
        <f>J28*AF!G23*ACT2FLO!H70/1000</f>
        <v>4.5203578000000002E-5</v>
      </c>
      <c r="BR6" s="375">
        <f>K28*AF!H23*ACT2FLO!I70/1000</f>
        <v>1.2900645000000001E-5</v>
      </c>
      <c r="BS6" s="375">
        <f>L28*AF!I23*ACT2FLO!J70/1000</f>
        <v>1.86392745E-5</v>
      </c>
      <c r="BT6" s="375">
        <f>M28*AF!J23*ACT2FLO!K70/1000</f>
        <v>7.00212E-6</v>
      </c>
      <c r="BU6" s="375">
        <f>N28*AF!K23*ACT2FLO!L70/1000</f>
        <v>1.3527584999999996E-5</v>
      </c>
      <c r="BV6" s="375">
        <f>O28*AF!L23*ACT2FLO!M70/1000</f>
        <v>1.9826719499999998E-5</v>
      </c>
      <c r="BW6" s="375">
        <f>P28*AF!M23*ACT2FLO!N70/1000</f>
        <v>8.6595549999999995E-6</v>
      </c>
      <c r="BX6" s="375">
        <f>Q28*AF!N23*ACT2FLO!O70/1000</f>
        <v>1.2437620999999998E-5</v>
      </c>
      <c r="BY6" s="375">
        <f>R28*AF!O23*ACT2FLO!P70/1000</f>
        <v>2.4790961999999996E-5</v>
      </c>
      <c r="BZ6" s="375">
        <f>S28*AF!P23*ACT2FLO!Q70/1000</f>
        <v>3.9364177999999991E-5</v>
      </c>
      <c r="CA6" s="375">
        <f>T28*AF!Q23*ACT2FLO!R70/1000</f>
        <v>1.3978439999999998E-5</v>
      </c>
      <c r="CB6" s="375">
        <f>U28*AF!R23*ACT2FLO!S70/1000</f>
        <v>1.1095038449999999E-4</v>
      </c>
      <c r="CC6" s="375">
        <f>V28*AF!S23*ACT2FLO!T70/1000</f>
        <v>1.8081220499999998E-5</v>
      </c>
      <c r="CD6" s="375">
        <f>W28*AF!T23*ACT2FLO!U70/1000</f>
        <v>1.2736513999999999E-5</v>
      </c>
      <c r="CE6" s="375">
        <f>X28*AF!U23*ACT2FLO!V70/1000</f>
        <v>2.3156725499999994E-5</v>
      </c>
      <c r="CF6" s="375">
        <f>Y28*AF!V23*ACT2FLO!W70/1000</f>
        <v>2.4261674999999997E-5</v>
      </c>
      <c r="CG6" s="375">
        <f>Z28*AF!W23*ACT2FLO!X70/1000</f>
        <v>3.8513551999999999E-5</v>
      </c>
      <c r="CH6" s="375">
        <f>AA28*AF!X23*ACT2FLO!Y70/1000</f>
        <v>1.762183E-6</v>
      </c>
      <c r="CI6" s="375">
        <f>AB28*AF!Y23*ACT2FLO!Z70/1000</f>
        <v>1.6610018499999996E-5</v>
      </c>
      <c r="CJ6" s="375">
        <f>AC28*AF!Z23*ACT2FLO!AA70/1000</f>
        <v>1.2470730999999997E-5</v>
      </c>
      <c r="CK6" s="375">
        <f>AD28*AF!AA23*ACT2FLO!AB70/1000</f>
        <v>7.6587299999999988E-6</v>
      </c>
      <c r="CL6" s="375">
        <f>AE28*AF!AB23*ACT2FLO!AC70/1000</f>
        <v>6.3089600000000007E-6</v>
      </c>
      <c r="CM6" s="375">
        <f>AF28*AF!AC23*ACT2FLO!AD70/1000</f>
        <v>2.4140673E-5</v>
      </c>
      <c r="CN6" s="375">
        <f>AG28*AF!AD23*ACT2FLO!AE70/1000</f>
        <v>1.0767887999999998E-5</v>
      </c>
      <c r="CO6" s="429"/>
    </row>
    <row r="7" spans="1:93" s="201" customFormat="1" ht="15.6">
      <c r="A7" s="548"/>
      <c r="B7" s="548"/>
      <c r="C7" s="531"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83"/>
      <c r="AK7" s="482"/>
      <c r="AL7" s="482"/>
      <c r="AM7" s="482"/>
      <c r="AN7" s="482"/>
      <c r="AO7" s="482"/>
      <c r="AP7" s="482"/>
      <c r="AQ7" s="482"/>
      <c r="AR7" s="482"/>
      <c r="AS7" s="482"/>
      <c r="AT7" s="482"/>
      <c r="AU7" s="482"/>
      <c r="AV7" s="482"/>
      <c r="AW7" s="482"/>
      <c r="AX7" s="482"/>
      <c r="AY7" s="482"/>
      <c r="AZ7" s="482"/>
      <c r="BA7" s="482"/>
      <c r="BB7" s="482"/>
      <c r="BC7" s="482"/>
      <c r="BD7" s="482"/>
      <c r="BE7" s="482"/>
      <c r="BF7" s="482"/>
      <c r="BG7" s="482"/>
      <c r="BH7" s="482"/>
      <c r="BI7" s="482"/>
      <c r="BJ7" s="482"/>
      <c r="BM7" s="429" t="str">
        <f>C31</f>
        <v>T-HGT-ICE_DST00</v>
      </c>
      <c r="BN7" s="375">
        <f>G31*AF!D26*ACT2FLO!E73/1000</f>
        <v>10.105240679424002</v>
      </c>
      <c r="BO7" s="375">
        <f>H31*AF!E26*ACT2FLO!F73/1000</f>
        <v>0.1747803564</v>
      </c>
      <c r="BP7" s="375">
        <f>I31*AF!F26*ACT2FLO!G73/1000</f>
        <v>1.7660122571519998</v>
      </c>
      <c r="BQ7" s="375">
        <f>J31*AF!G26*ACT2FLO!H73/1000</f>
        <v>0.55782974707200006</v>
      </c>
      <c r="BR7" s="375">
        <f>K31*AF!H26*ACT2FLO!I73/1000</f>
        <v>0.38957271604799998</v>
      </c>
      <c r="BS7" s="375">
        <f>L31*AF!I26*ACT2FLO!J73/1000</f>
        <v>0.21890465687999996</v>
      </c>
      <c r="BT7" s="375">
        <f>M31*AF!J26*ACT2FLO!K73/1000</f>
        <v>0.12980281766400001</v>
      </c>
      <c r="BU7" s="375">
        <f>N31*AF!K26*ACT2FLO!L73/1000</f>
        <v>0.29275740295199992</v>
      </c>
      <c r="BV7" s="375">
        <f>O31*AF!L26*ACT2FLO!M73/1000</f>
        <v>0.65733745881599992</v>
      </c>
      <c r="BW7" s="375">
        <f>P31*AF!M26*ACT2FLO!N73/1000</f>
        <v>0.14571047575199997</v>
      </c>
      <c r="BX7" s="375">
        <f>Q31*AF!N26*ACT2FLO!O73/1000</f>
        <v>0.14000757177599998</v>
      </c>
      <c r="BY7" s="375">
        <f>R31*AF!O26*ACT2FLO!P73/1000</f>
        <v>0.72348148919999999</v>
      </c>
      <c r="BZ7" s="375">
        <f>S31*AF!P26*ACT2FLO!Q73/1000</f>
        <v>0.17663607878399998</v>
      </c>
      <c r="CA7" s="375">
        <f>T31*AF!Q26*ACT2FLO!R73/1000</f>
        <v>0.17715128371199998</v>
      </c>
      <c r="CB7" s="375">
        <f>U31*AF!R26*ACT2FLO!S73/1000</f>
        <v>1.2023005596480001</v>
      </c>
      <c r="CC7" s="375">
        <f>V31*AF!S26*ACT2FLO!T73/1000</f>
        <v>0.22700679436799998</v>
      </c>
      <c r="CD7" s="375">
        <f>W31*AF!T26*ACT2FLO!U73/1000</f>
        <v>0.46909359645599991</v>
      </c>
      <c r="CE7" s="375">
        <f>X31*AF!U26*ACT2FLO!V73/1000</f>
        <v>0.43790974919999998</v>
      </c>
      <c r="CF7" s="375">
        <f>Y31*AF!V26*ACT2FLO!W73/1000</f>
        <v>0.164397669744</v>
      </c>
      <c r="CG7" s="375">
        <f>Z31*AF!W26*ACT2FLO!X73/1000</f>
        <v>0.40004812785599997</v>
      </c>
      <c r="CH7" s="375">
        <f>AA31*AF!X26*ACT2FLO!Y73/1000</f>
        <v>6.500295360000001E-2</v>
      </c>
      <c r="CI7" s="375">
        <f>AB31*AF!Y26*ACT2FLO!Z73/1000</f>
        <v>0.19419185447999995</v>
      </c>
      <c r="CJ7" s="375">
        <f>AC31*AF!Z26*ACT2FLO!AA73/1000</f>
        <v>0.14537068675200002</v>
      </c>
      <c r="CK7" s="375">
        <f>AD31*AF!AA26*ACT2FLO!AB73/1000</f>
        <v>9.9499937279999992E-2</v>
      </c>
      <c r="CL7" s="375">
        <f>AE31*AF!AB26*ACT2FLO!AC73/1000</f>
        <v>0.27589940831999998</v>
      </c>
      <c r="CM7" s="375">
        <f>AF31*AF!AC26*ACT2FLO!AD73/1000</f>
        <v>0.312390432</v>
      </c>
      <c r="CN7" s="375">
        <f>AG31*AF!AD26*ACT2FLO!AE73/1000</f>
        <v>0.54207259545599995</v>
      </c>
      <c r="CO7" s="429"/>
    </row>
    <row r="8" spans="1:93">
      <c r="C8" s="190" t="str">
        <f>Processes!D11</f>
        <v>T-CAR-ICE_GSL00</v>
      </c>
      <c r="D8" s="28" t="s">
        <v>1130</v>
      </c>
      <c r="E8" s="429" t="str">
        <f>Commodities!C8&amp;","&amp;Commodities!C10</f>
        <v>TRAGSL,TRAETH</v>
      </c>
      <c r="F8" s="190" t="str">
        <f>Commodities!C19&amp;","&amp;Commodities!C20&amp;","&amp;Commodities!C21</f>
        <v>TRAPS,TRAPM,TRAPL</v>
      </c>
      <c r="G8" s="10">
        <f>SUM(H8:AG8)</f>
        <v>946.86</v>
      </c>
      <c r="H8" s="375">
        <f>F186/1000</f>
        <v>10.795999999999999</v>
      </c>
      <c r="I8" s="375">
        <f>G186/1000</f>
        <v>299.40800000000002</v>
      </c>
      <c r="J8" s="375">
        <f>H186/1000</f>
        <v>44.521000000000001</v>
      </c>
      <c r="K8" s="375">
        <f>I186/1000</f>
        <v>17.346</v>
      </c>
      <c r="L8" s="375">
        <f>J186/1000</f>
        <v>12.391</v>
      </c>
      <c r="M8" s="375">
        <f>K186/1000</f>
        <v>5.8040000000000003</v>
      </c>
      <c r="N8" s="375">
        <f>L186/1000</f>
        <v>20.722000000000001</v>
      </c>
      <c r="O8" s="375">
        <f>M186/1000</f>
        <v>34.216000000000001</v>
      </c>
      <c r="P8" s="375">
        <f>N186/1000</f>
        <v>12.252000000000001</v>
      </c>
      <c r="Q8" s="375">
        <f>O186/1000</f>
        <v>14.417</v>
      </c>
      <c r="R8" s="375">
        <f>P186/1000</f>
        <v>29.236000000000001</v>
      </c>
      <c r="S8" s="375">
        <f>Q186/1000</f>
        <v>32.847000000000001</v>
      </c>
      <c r="T8" s="375">
        <f>R186/1000</f>
        <v>24.056999999999999</v>
      </c>
      <c r="U8" s="375">
        <f>S186/1000</f>
        <v>121.22799999999999</v>
      </c>
      <c r="V8" s="375">
        <f>T186/1000</f>
        <v>31.727</v>
      </c>
      <c r="W8" s="375">
        <f>U186/1000</f>
        <v>40.146000000000001</v>
      </c>
      <c r="X8" s="375">
        <f>V186/1000</f>
        <v>30.853999999999999</v>
      </c>
      <c r="Y8" s="375">
        <f>W186/1000</f>
        <v>27.158999999999999</v>
      </c>
      <c r="Z8" s="375">
        <f>X186/1000</f>
        <v>45.82</v>
      </c>
      <c r="AA8" s="375">
        <f>Y186/1000</f>
        <v>4.9610000000000003</v>
      </c>
      <c r="AB8" s="375">
        <f>Z186/1000</f>
        <v>22.404</v>
      </c>
      <c r="AC8" s="375">
        <f>AA186/1000</f>
        <v>11.971</v>
      </c>
      <c r="AD8" s="375">
        <f>AB186/1000</f>
        <v>11.760999999999999</v>
      </c>
      <c r="AE8" s="375">
        <f>AC186/1000</f>
        <v>10.568</v>
      </c>
      <c r="AF8" s="375">
        <f>AD186/1000</f>
        <v>22.398</v>
      </c>
      <c r="AG8" s="375">
        <f>AE186/1000</f>
        <v>7.85</v>
      </c>
      <c r="AI8" s="84" t="str">
        <f t="shared" si="2"/>
        <v>T-CAR-ICE_GSL00</v>
      </c>
      <c r="AJ8" s="375">
        <f>G8*AF!D7*ACT2FLO!E53/1000</f>
        <v>18.106909533018577</v>
      </c>
      <c r="AK8" s="375">
        <f>H8*AF!E7*ACT2FLO!F53/1000</f>
        <v>0.2180668061497526</v>
      </c>
      <c r="AL8" s="375">
        <f>I8*AF!F7*ACT2FLO!G53/1000</f>
        <v>4.9233031702123737</v>
      </c>
      <c r="AM8" s="375">
        <f>J8*AF!G7*ACT2FLO!H53/1000</f>
        <v>0.89867525711270668</v>
      </c>
      <c r="AN8" s="375">
        <f>K8*AF!H7*ACT2FLO!I53/1000</f>
        <v>0.35621826432787701</v>
      </c>
      <c r="AO8" s="375">
        <f>L8*AF!I7*ACT2FLO!J53/1000</f>
        <v>0.26035967063828369</v>
      </c>
      <c r="AP8" s="375">
        <f>M8*AF!J7*ACT2FLO!K53/1000</f>
        <v>0.12142540026648706</v>
      </c>
      <c r="AQ8" s="375">
        <f>N8*AF!K7*ACT2FLO!L53/1000</f>
        <v>0.40758491177739253</v>
      </c>
      <c r="AR8" s="375">
        <f>O8*AF!L7*ACT2FLO!M53/1000</f>
        <v>0.71169733840297489</v>
      </c>
      <c r="AS8" s="375">
        <f>P8*AF!M7*ACT2FLO!N53/1000</f>
        <v>0.25829816876126876</v>
      </c>
      <c r="AT8" s="375">
        <f>Q8*AF!N7*ACT2FLO!O53/1000</f>
        <v>0.2991226507134559</v>
      </c>
      <c r="AU8" s="375">
        <f>R8*AF!O7*ACT2FLO!P53/1000</f>
        <v>0.60802543695906919</v>
      </c>
      <c r="AV8" s="375">
        <f>S8*AF!P7*ACT2FLO!Q53/1000</f>
        <v>0.65724766249917688</v>
      </c>
      <c r="AW8" s="375">
        <f>T8*AF!Q7*ACT2FLO!R53/1000</f>
        <v>0.50957748114378698</v>
      </c>
      <c r="AX8" s="375">
        <f>U8*AF!R7*ACT2FLO!S53/1000</f>
        <v>2.3638367240963061</v>
      </c>
      <c r="AY8" s="375">
        <f>V8*AF!S7*ACT2FLO!T53/1000</f>
        <v>0.65770096693205482</v>
      </c>
      <c r="AZ8" s="375">
        <f>W8*AF!T7*ACT2FLO!U53/1000</f>
        <v>0.80659043502401739</v>
      </c>
      <c r="BA8" s="375">
        <f>X8*AF!U7*ACT2FLO!V53/1000</f>
        <v>0.65539351143153579</v>
      </c>
      <c r="BB8" s="375">
        <f>Y8*AF!V7*ACT2FLO!W53/1000</f>
        <v>0.5322909619003956</v>
      </c>
      <c r="BC8" s="375">
        <f>Z8*AF!W7*ACT2FLO!X53/1000</f>
        <v>0.92681031385224144</v>
      </c>
      <c r="BD8" s="375">
        <f>AA8*AF!X7*ACT2FLO!Y53/1000</f>
        <v>0.10794145802976565</v>
      </c>
      <c r="BE8" s="375">
        <f>AB8*AF!Y7*ACT2FLO!Z53/1000</f>
        <v>0.46754381486504826</v>
      </c>
      <c r="BF8" s="375">
        <f>AC8*AF!Z7*ACT2FLO!AA53/1000</f>
        <v>0.27464659706446604</v>
      </c>
      <c r="BG8" s="375">
        <f>AD8*AF!AA7*ACT2FLO!AB53/1000</f>
        <v>0.23557582545621453</v>
      </c>
      <c r="BH8" s="375">
        <f>AE8*AF!AB7*ACT2FLO!AC53/1000</f>
        <v>0.22418342078047424</v>
      </c>
      <c r="BI8" s="375">
        <f>AF8*AF!AC7*ACT2FLO!AD53/1000</f>
        <v>0.46374261412430856</v>
      </c>
      <c r="BJ8" s="375">
        <f>AG8*AF!AD7*ACT2FLO!AE53/1000</f>
        <v>0.1614070747496574</v>
      </c>
      <c r="BM8" s="200" t="str">
        <f>C32</f>
        <v>T-GTR-ICE_DST00</v>
      </c>
      <c r="BN8" s="485">
        <f>G32*AF!D27*ACT2FLO!E74/1000</f>
        <v>9.0838999999999989E-2</v>
      </c>
      <c r="BO8" s="485">
        <f>H32*AF!E27*ACT2FLO!F74/1000</f>
        <v>0</v>
      </c>
      <c r="BP8" s="485">
        <f>I32*AF!F27*ACT2FLO!G74/1000</f>
        <v>9.0838999999999989E-2</v>
      </c>
      <c r="BQ8" s="485">
        <f>J32*AF!G27*ACT2FLO!H74/1000</f>
        <v>0</v>
      </c>
      <c r="BR8" s="485">
        <f>K32*AF!H27*ACT2FLO!I74/1000</f>
        <v>0</v>
      </c>
      <c r="BS8" s="485">
        <f>L32*AF!I27*ACT2FLO!J74/1000</f>
        <v>0</v>
      </c>
      <c r="BT8" s="485">
        <f>M32*AF!J27*ACT2FLO!K74/1000</f>
        <v>0</v>
      </c>
      <c r="BU8" s="485">
        <f>N32*AF!K27*ACT2FLO!L74/1000</f>
        <v>0</v>
      </c>
      <c r="BV8" s="485">
        <f>O32*AF!L27*ACT2FLO!M74/1000</f>
        <v>9.0838999999999989E-2</v>
      </c>
      <c r="BW8" s="485">
        <f>P32*AF!M27*ACT2FLO!N74/1000</f>
        <v>0</v>
      </c>
      <c r="BX8" s="485">
        <f>Q32*AF!N27*ACT2FLO!O74/1000</f>
        <v>0</v>
      </c>
      <c r="BY8" s="485">
        <f>R32*AF!O27*ACT2FLO!P74/1000</f>
        <v>0</v>
      </c>
      <c r="BZ8" s="485">
        <f>S32*AF!P27*ACT2FLO!Q74/1000</f>
        <v>0</v>
      </c>
      <c r="CA8" s="485">
        <f>T32*AF!Q27*ACT2FLO!R74/1000</f>
        <v>0</v>
      </c>
      <c r="CB8" s="485">
        <f>U32*AF!R27*ACT2FLO!S74/1000</f>
        <v>0</v>
      </c>
      <c r="CC8" s="485">
        <f>V32*AF!S27*ACT2FLO!T74/1000</f>
        <v>0</v>
      </c>
      <c r="CD8" s="485">
        <f>W32*AF!T27*ACT2FLO!U74/1000</f>
        <v>0</v>
      </c>
      <c r="CE8" s="485">
        <f>X32*AF!U27*ACT2FLO!V74/1000</f>
        <v>0</v>
      </c>
      <c r="CF8" s="485">
        <f>Y32*AF!V27*ACT2FLO!W74/1000</f>
        <v>9.0838999999999989E-2</v>
      </c>
      <c r="CG8" s="485">
        <f>Z32*AF!W27*ACT2FLO!X74/1000</f>
        <v>0</v>
      </c>
      <c r="CH8" s="485">
        <f>AA32*AF!X27*ACT2FLO!Y74/1000</f>
        <v>0</v>
      </c>
      <c r="CI8" s="485">
        <f>AB32*AF!Y27*ACT2FLO!Z74/1000</f>
        <v>9.0838999999999989E-2</v>
      </c>
      <c r="CJ8" s="485">
        <f>AC32*AF!Z27*ACT2FLO!AA74/1000</f>
        <v>0</v>
      </c>
      <c r="CK8" s="485">
        <f>AD32*AF!AA27*ACT2FLO!AB74/1000</f>
        <v>0</v>
      </c>
      <c r="CL8" s="485">
        <f>AE32*AF!AB27*ACT2FLO!AC74/1000</f>
        <v>0</v>
      </c>
      <c r="CM8" s="485">
        <f>AF32*AF!AC27*ACT2FLO!AD74/1000</f>
        <v>0</v>
      </c>
      <c r="CN8" s="485">
        <f>AG32*AF!AD27*ACT2FLO!AE74/1000</f>
        <v>0</v>
      </c>
      <c r="CO8" s="429"/>
    </row>
    <row r="9" spans="1:93">
      <c r="C9" s="190" t="str">
        <f>Processes!D12</f>
        <v>T-CAR-ICE_DST00</v>
      </c>
      <c r="D9" s="28" t="s">
        <v>1130</v>
      </c>
      <c r="E9" s="201" t="str">
        <f>Commodities!C9&amp;","&amp;Commodities!C11</f>
        <v>TRADST,TRABDL</v>
      </c>
      <c r="F9" s="201" t="str">
        <f>Commodities!C19&amp;","&amp;Commodities!C20&amp;","&amp;Commodities!C21</f>
        <v>TRAPS,TRAPM,TRAPL</v>
      </c>
      <c r="G9" s="10">
        <f t="shared" ref="G9:G20" si="3">SUM(H9:AG9)</f>
        <v>1129.4039999999998</v>
      </c>
      <c r="H9" s="375">
        <f>F187/1000</f>
        <v>17.385000000000002</v>
      </c>
      <c r="I9" s="375">
        <f>G187/1000</f>
        <v>225.70599999999999</v>
      </c>
      <c r="J9" s="375">
        <f>H187/1000</f>
        <v>56.834000000000003</v>
      </c>
      <c r="K9" s="375">
        <f>I187/1000</f>
        <v>26.673999999999999</v>
      </c>
      <c r="L9" s="375">
        <f>J187/1000</f>
        <v>22.058</v>
      </c>
      <c r="M9" s="375">
        <f>K187/1000</f>
        <v>11.27</v>
      </c>
      <c r="N9" s="375">
        <f>L187/1000</f>
        <v>29.946999999999999</v>
      </c>
      <c r="O9" s="375">
        <f>M187/1000</f>
        <v>52.423999999999999</v>
      </c>
      <c r="P9" s="375">
        <f>N187/1000</f>
        <v>21.785</v>
      </c>
      <c r="Q9" s="375">
        <f>O187/1000</f>
        <v>26.113</v>
      </c>
      <c r="R9" s="375">
        <f>P187/1000</f>
        <v>44.970999999999997</v>
      </c>
      <c r="S9" s="375">
        <f>Q187/1000</f>
        <v>34.195</v>
      </c>
      <c r="T9" s="375">
        <f>R187/1000</f>
        <v>32.584000000000003</v>
      </c>
      <c r="U9" s="375">
        <f>S187/1000</f>
        <v>132.29499999999999</v>
      </c>
      <c r="V9" s="375">
        <f>T187/1000</f>
        <v>39.247</v>
      </c>
      <c r="W9" s="375">
        <f>U187/1000</f>
        <v>47.853000000000002</v>
      </c>
      <c r="X9" s="375">
        <f>V187/1000</f>
        <v>47.713999999999999</v>
      </c>
      <c r="Y9" s="375">
        <f>W187/1000</f>
        <v>29.673999999999999</v>
      </c>
      <c r="Z9" s="375">
        <f>X187/1000</f>
        <v>66.337000000000003</v>
      </c>
      <c r="AA9" s="375">
        <f>Y187/1000</f>
        <v>9.4540000000000006</v>
      </c>
      <c r="AB9" s="375">
        <f>Z187/1000</f>
        <v>37.994</v>
      </c>
      <c r="AC9" s="375">
        <f>AA187/1000</f>
        <v>20.248000000000001</v>
      </c>
      <c r="AD9" s="375">
        <f>AB187/1000</f>
        <v>16.992999999999999</v>
      </c>
      <c r="AE9" s="375">
        <f>AC187/1000</f>
        <v>20.89</v>
      </c>
      <c r="AF9" s="375">
        <f>AD187/1000</f>
        <v>41.125</v>
      </c>
      <c r="AG9" s="375">
        <f>AE187/1000</f>
        <v>17.634</v>
      </c>
      <c r="AI9" s="84" t="str">
        <f t="shared" si="2"/>
        <v>T-CAR-ICE_DST00</v>
      </c>
      <c r="AJ9" s="375">
        <f>G9*AF!D8*ACT2FLO!E54/1000</f>
        <v>34.741372332081298</v>
      </c>
      <c r="AK9" s="375">
        <f>H9*AF!E8*ACT2FLO!F54/1000</f>
        <v>0.56367215826992334</v>
      </c>
      <c r="AL9" s="375">
        <f>I9*AF!F8*ACT2FLO!G54/1000</f>
        <v>6.0973032808917331</v>
      </c>
      <c r="AM9" s="375">
        <f>J9*AF!G8*ACT2FLO!H54/1000</f>
        <v>1.7730201152173173</v>
      </c>
      <c r="AN9" s="375">
        <f>K9*AF!H8*ACT2FLO!I54/1000</f>
        <v>0.86560465907990058</v>
      </c>
      <c r="AO9" s="375">
        <f>L9*AF!I8*ACT2FLO!J54/1000</f>
        <v>0.73387771001437219</v>
      </c>
      <c r="AP9" s="375">
        <f>M9*AF!J8*ACT2FLO!K54/1000</f>
        <v>0.3820865601811777</v>
      </c>
      <c r="AQ9" s="375">
        <f>N9*AF!K8*ACT2FLO!L54/1000</f>
        <v>0.92101499942692677</v>
      </c>
      <c r="AR9" s="375">
        <f>O9*AF!L8*ACT2FLO!M54/1000</f>
        <v>1.6579702443091546</v>
      </c>
      <c r="AS9" s="375">
        <f>P9*AF!M8*ACT2FLO!N54/1000</f>
        <v>0.71686405345360538</v>
      </c>
      <c r="AT9" s="375">
        <f>Q9*AF!N8*ACT2FLO!O54/1000</f>
        <v>0.85850336309646769</v>
      </c>
      <c r="AU9" s="375">
        <f>R9*AF!O8*ACT2FLO!P54/1000</f>
        <v>1.436417932136778</v>
      </c>
      <c r="AV9" s="375">
        <f>S9*AF!P8*ACT2FLO!Q54/1000</f>
        <v>1.0407944140734382</v>
      </c>
      <c r="AW9" s="375">
        <f>T9*AF!Q8*ACT2FLO!R54/1000</f>
        <v>1.0705664058910511</v>
      </c>
      <c r="AX9" s="375">
        <f>U9*AF!R8*ACT2FLO!S54/1000</f>
        <v>3.9615302847675804</v>
      </c>
      <c r="AY9" s="375">
        <f>V9*AF!S8*ACT2FLO!T54/1000</f>
        <v>1.228876703300243</v>
      </c>
      <c r="AZ9" s="375">
        <f>W9*AF!T8*ACT2FLO!U54/1000</f>
        <v>1.5260443384910798</v>
      </c>
      <c r="BA9" s="375">
        <f>X9*AF!U8*ACT2FLO!V54/1000</f>
        <v>1.5853264979762327</v>
      </c>
      <c r="BB9" s="375">
        <f>Y9*AF!V8*ACT2FLO!W54/1000</f>
        <v>0.9197913097643502</v>
      </c>
      <c r="BC9" s="375">
        <f>Z9*AF!W8*ACT2FLO!X54/1000</f>
        <v>2.116889456726248</v>
      </c>
      <c r="BD9" s="375">
        <f>AA9*AF!X8*ACT2FLO!Y54/1000</f>
        <v>0.31427002615290101</v>
      </c>
      <c r="BE9" s="375">
        <f>AB9*AF!Y8*ACT2FLO!Z54/1000</f>
        <v>1.2155497579760115</v>
      </c>
      <c r="BF9" s="375">
        <f>AC9*AF!Z8*ACT2FLO!AA54/1000</f>
        <v>0.70441238326113909</v>
      </c>
      <c r="BG9" s="375">
        <f>AD9*AF!AA8*ACT2FLO!AB54/1000</f>
        <v>0.54064340354244822</v>
      </c>
      <c r="BH9" s="375">
        <f>AE9*AF!AB8*ACT2FLO!AC54/1000</f>
        <v>0.6821766580222447</v>
      </c>
      <c r="BI9" s="375">
        <f>AF9*AF!AC8*ACT2FLO!AD54/1000</f>
        <v>1.2609269131605734</v>
      </c>
      <c r="BJ9" s="375">
        <f>AG9*AF!AD8*ACT2FLO!AE54/1000</f>
        <v>0.56787787168272141</v>
      </c>
      <c r="BM9" s="429"/>
      <c r="BN9" s="429"/>
      <c r="BO9" s="429"/>
      <c r="BP9" s="429"/>
      <c r="BQ9" s="429"/>
      <c r="BR9" s="429"/>
      <c r="BS9" s="429"/>
      <c r="BT9" s="429"/>
      <c r="BU9" s="429"/>
      <c r="BV9" s="429"/>
      <c r="BW9" s="429"/>
      <c r="BX9" s="429"/>
      <c r="BY9" s="429"/>
      <c r="BZ9" s="429"/>
      <c r="CA9" s="429"/>
      <c r="CB9" s="429"/>
      <c r="CC9" s="429"/>
      <c r="CD9" s="429"/>
      <c r="CE9" s="429"/>
      <c r="CF9" s="429"/>
      <c r="CG9" s="429"/>
      <c r="CH9" s="429"/>
      <c r="CI9" s="429"/>
      <c r="CJ9" s="429"/>
      <c r="CK9" s="429"/>
      <c r="CL9" s="429"/>
      <c r="CM9" s="429"/>
      <c r="CN9" s="429"/>
      <c r="CO9" s="429"/>
    </row>
    <row r="10" spans="1:93">
      <c r="C10" s="190" t="str">
        <f>Processes!D13</f>
        <v>T-CAR-ICE_DF00</v>
      </c>
      <c r="D10" s="28" t="s">
        <v>1130</v>
      </c>
      <c r="E10" s="201" t="str">
        <f>Commodities!C8&amp;","&amp;Commodities!C13</f>
        <v>TRAGSL,TRACNG</v>
      </c>
      <c r="F10" s="201" t="str">
        <f>Commodities!C19&amp;","&amp;Commodities!C20&amp;","&amp;Commodities!C21</f>
        <v>TRAPS,TRAPM,TRAPL</v>
      </c>
      <c r="G10" s="10">
        <f t="shared" si="3"/>
        <v>6.7000000000000018E-2</v>
      </c>
      <c r="H10" s="375">
        <f>F188/1000</f>
        <v>0</v>
      </c>
      <c r="I10" s="375">
        <f>G188/1000</f>
        <v>2.8000000000000001E-2</v>
      </c>
      <c r="J10" s="375">
        <f>H188/1000</f>
        <v>1E-3</v>
      </c>
      <c r="K10" s="375">
        <f>I188/1000</f>
        <v>1E-3</v>
      </c>
      <c r="L10" s="375">
        <f>J188/1000</f>
        <v>0</v>
      </c>
      <c r="M10" s="375">
        <f>K188/1000</f>
        <v>2E-3</v>
      </c>
      <c r="N10" s="375">
        <f>L188/1000</f>
        <v>1E-3</v>
      </c>
      <c r="O10" s="375">
        <f>M188/1000</f>
        <v>2E-3</v>
      </c>
      <c r="P10" s="375">
        <f>N188/1000</f>
        <v>3.0000000000000001E-3</v>
      </c>
      <c r="Q10" s="375">
        <f>O188/1000</f>
        <v>1E-3</v>
      </c>
      <c r="R10" s="375">
        <f>P188/1000</f>
        <v>3.0000000000000001E-3</v>
      </c>
      <c r="S10" s="375">
        <f>Q188/1000</f>
        <v>5.0000000000000001E-3</v>
      </c>
      <c r="T10" s="375">
        <f>R188/1000</f>
        <v>1E-3</v>
      </c>
      <c r="U10" s="375">
        <f>S188/1000</f>
        <v>5.0000000000000001E-3</v>
      </c>
      <c r="V10" s="375">
        <f>T188/1000</f>
        <v>3.0000000000000001E-3</v>
      </c>
      <c r="W10" s="375">
        <f>U188/1000</f>
        <v>2E-3</v>
      </c>
      <c r="X10" s="375">
        <f>V188/1000</f>
        <v>0</v>
      </c>
      <c r="Y10" s="375">
        <f>W188/1000</f>
        <v>0</v>
      </c>
      <c r="Z10" s="375">
        <f>X188/1000</f>
        <v>7.0000000000000001E-3</v>
      </c>
      <c r="AA10" s="375">
        <f>Y188/1000</f>
        <v>0</v>
      </c>
      <c r="AB10" s="375">
        <f>Z188/1000</f>
        <v>0</v>
      </c>
      <c r="AC10" s="375">
        <f>AA188/1000</f>
        <v>0</v>
      </c>
      <c r="AD10" s="375">
        <f>AB188/1000</f>
        <v>0</v>
      </c>
      <c r="AE10" s="375">
        <f>AC188/1000</f>
        <v>0</v>
      </c>
      <c r="AF10" s="375">
        <f>AD188/1000</f>
        <v>2E-3</v>
      </c>
      <c r="AG10" s="375">
        <f>AE188/1000</f>
        <v>0</v>
      </c>
      <c r="AI10" s="84" t="str">
        <f t="shared" si="2"/>
        <v>T-CAR-ICE_DF00</v>
      </c>
      <c r="AJ10" s="375">
        <f>G10*AF!D9*ACT2FLO!E55/1000</f>
        <v>1.3439263951670231E-3</v>
      </c>
      <c r="AK10" s="375">
        <f>H10*AF!E9*ACT2FLO!F55/1000</f>
        <v>0</v>
      </c>
      <c r="AL10" s="375">
        <f>I10*AF!F9*ACT2FLO!G55/1000</f>
        <v>5.3670041694669395E-4</v>
      </c>
      <c r="AM10" s="375">
        <f>J10*AF!G9*ACT2FLO!H55/1000</f>
        <v>2.0758356317148401E-5</v>
      </c>
      <c r="AN10" s="375">
        <f>K10*AF!H9*ACT2FLO!I55/1000</f>
        <v>2.1422301444808215E-5</v>
      </c>
      <c r="AO10" s="375">
        <f>L10*AF!I9*ACT2FLO!J55/1000</f>
        <v>0</v>
      </c>
      <c r="AP10" s="375">
        <f>M10*AF!J9*ACT2FLO!K55/1000</f>
        <v>4.1788258731452048E-5</v>
      </c>
      <c r="AQ10" s="375">
        <f>N10*AF!K9*ACT2FLO!L55/1000</f>
        <v>2.0013842567255704E-5</v>
      </c>
      <c r="AR10" s="375">
        <f>O10*AF!L9*ACT2FLO!M55/1000</f>
        <v>4.2083677012972596E-5</v>
      </c>
      <c r="AS10" s="375">
        <f>P10*AF!M9*ACT2FLO!N55/1000</f>
        <v>6.4915929346856155E-5</v>
      </c>
      <c r="AT10" s="375">
        <f>Q10*AF!N9*ACT2FLO!O55/1000</f>
        <v>2.0901589423340182E-5</v>
      </c>
      <c r="AU10" s="375">
        <f>R10*AF!O9*ACT2FLO!P55/1000</f>
        <v>6.3255320521945197E-5</v>
      </c>
      <c r="AV10" s="375">
        <f>S10*AF!P9*ACT2FLO!Q55/1000</f>
        <v>1.0380670170097029E-4</v>
      </c>
      <c r="AW10" s="375">
        <f>T10*AF!Q9*ACT2FLO!R55/1000</f>
        <v>2.1004538218415522E-5</v>
      </c>
      <c r="AX10" s="375">
        <f>U10*AF!R9*ACT2FLO!S55/1000</f>
        <v>9.9629069437043359E-5</v>
      </c>
      <c r="AY10" s="375">
        <f>V10*AF!S9*ACT2FLO!T55/1000</f>
        <v>6.1679756353835605E-5</v>
      </c>
      <c r="AZ10" s="375">
        <f>W10*AF!T9*ACT2FLO!U55/1000</f>
        <v>4.1543568841707752E-5</v>
      </c>
      <c r="BA10" s="375">
        <f>X10*AF!U9*ACT2FLO!V55/1000</f>
        <v>0</v>
      </c>
      <c r="BB10" s="375">
        <f>Y10*AF!V9*ACT2FLO!W55/1000</f>
        <v>0</v>
      </c>
      <c r="BC10" s="375">
        <f>Z10*AF!W9*ACT2FLO!X55/1000</f>
        <v>1.454964876719155E-4</v>
      </c>
      <c r="BD10" s="375">
        <f>AA10*AF!X9*ACT2FLO!Y55/1000</f>
        <v>0</v>
      </c>
      <c r="BE10" s="375">
        <f>AB10*AF!Y9*ACT2FLO!Z55/1000</f>
        <v>0</v>
      </c>
      <c r="BF10" s="375">
        <f>AC10*AF!Z9*ACT2FLO!AA55/1000</f>
        <v>0</v>
      </c>
      <c r="BG10" s="375">
        <f>AD10*AF!AA9*ACT2FLO!AB55/1000</f>
        <v>0</v>
      </c>
      <c r="BH10" s="375">
        <f>AE10*AF!AB9*ACT2FLO!AC55/1000</f>
        <v>0</v>
      </c>
      <c r="BI10" s="375">
        <f>AF10*AF!AC9*ACT2FLO!AD55/1000</f>
        <v>4.2683465645150677E-5</v>
      </c>
      <c r="BJ10" s="375">
        <f>AG10*AF!AD9*ACT2FLO!AE55/1000</f>
        <v>0</v>
      </c>
      <c r="BM10" s="429"/>
      <c r="BN10" s="429"/>
      <c r="BO10" s="429"/>
      <c r="BP10" s="429"/>
      <c r="BQ10" s="429"/>
      <c r="BR10" s="429"/>
      <c r="BS10" s="429"/>
      <c r="BT10" s="429"/>
      <c r="BU10" s="429"/>
      <c r="BV10" s="429"/>
      <c r="BW10" s="429"/>
      <c r="BX10" s="429"/>
      <c r="BY10" s="429"/>
      <c r="BZ10" s="429"/>
      <c r="CA10" s="429"/>
      <c r="CB10" s="429"/>
      <c r="CC10" s="429"/>
      <c r="CD10" s="429"/>
      <c r="CE10" s="429"/>
      <c r="CF10" s="429"/>
      <c r="CG10" s="429"/>
      <c r="CH10" s="429"/>
      <c r="CI10" s="429"/>
      <c r="CJ10" s="429"/>
      <c r="CK10" s="429"/>
      <c r="CL10" s="429"/>
      <c r="CM10" s="429"/>
      <c r="CN10" s="429"/>
      <c r="CO10" s="429"/>
    </row>
    <row r="11" spans="1:93" ht="15.6">
      <c r="C11" s="190" t="str">
        <f>Processes!D14</f>
        <v>T-CAR-ICE_E8500</v>
      </c>
      <c r="D11" s="28" t="s">
        <v>1130</v>
      </c>
      <c r="E11" s="190" t="str">
        <f>Commodities!C8&amp;","&amp;Commodities!C10</f>
        <v>TRAGSL,TRAETH</v>
      </c>
      <c r="F11" s="201" t="str">
        <f>Commodities!C19&amp;","&amp;Commodities!C20&amp;","&amp;Commodities!C21</f>
        <v>TRAPS,TRAPM,TRAPL</v>
      </c>
      <c r="G11" s="10">
        <f t="shared" si="3"/>
        <v>8.5289999999999999</v>
      </c>
      <c r="H11" s="375">
        <f>F189/1000</f>
        <v>9.8000000000000004E-2</v>
      </c>
      <c r="I11" s="375">
        <f>G189/1000</f>
        <v>0.26500000000000001</v>
      </c>
      <c r="J11" s="375">
        <f>H189/1000</f>
        <v>0.28100000000000003</v>
      </c>
      <c r="K11" s="375">
        <f>I189/1000</f>
        <v>0.57399999999999995</v>
      </c>
      <c r="L11" s="375">
        <f>J189/1000</f>
        <v>0.124</v>
      </c>
      <c r="M11" s="375">
        <f>K189/1000</f>
        <v>0.316</v>
      </c>
      <c r="N11" s="375">
        <f>L189/1000</f>
        <v>4.1000000000000002E-2</v>
      </c>
      <c r="O11" s="375">
        <f>M189/1000</f>
        <v>8.3000000000000004E-2</v>
      </c>
      <c r="P11" s="375">
        <f>N189/1000</f>
        <v>5.2999999999999999E-2</v>
      </c>
      <c r="Q11" s="375">
        <f>O189/1000</f>
        <v>0.26</v>
      </c>
      <c r="R11" s="375">
        <f>P189/1000</f>
        <v>0.17699999999999999</v>
      </c>
      <c r="S11" s="375">
        <f>Q189/1000</f>
        <v>0.315</v>
      </c>
      <c r="T11" s="375">
        <f>R189/1000</f>
        <v>0.20499999999999999</v>
      </c>
      <c r="U11" s="375">
        <f>S189/1000</f>
        <v>1.1619999999999999</v>
      </c>
      <c r="V11" s="375">
        <f>T189/1000</f>
        <v>0.35</v>
      </c>
      <c r="W11" s="375">
        <f>U189/1000</f>
        <v>3.3000000000000002E-2</v>
      </c>
      <c r="X11" s="375">
        <f>V189/1000</f>
        <v>7.4999999999999997E-2</v>
      </c>
      <c r="Y11" s="375">
        <f>W189/1000</f>
        <v>0.22900000000000001</v>
      </c>
      <c r="Z11" s="375">
        <f>X189/1000</f>
        <v>2.6259999999999999</v>
      </c>
      <c r="AA11" s="375">
        <f>Y189/1000</f>
        <v>0.107</v>
      </c>
      <c r="AB11" s="375">
        <f>Z189/1000</f>
        <v>0.247</v>
      </c>
      <c r="AC11" s="375">
        <f>AA189/1000</f>
        <v>8.5000000000000006E-2</v>
      </c>
      <c r="AD11" s="375">
        <f>AB189/1000</f>
        <v>7.4999999999999997E-2</v>
      </c>
      <c r="AE11" s="375">
        <f>AC189/1000</f>
        <v>9.0999999999999998E-2</v>
      </c>
      <c r="AF11" s="375">
        <f>AD189/1000</f>
        <v>0.185</v>
      </c>
      <c r="AG11" s="375">
        <f>AE189/1000</f>
        <v>0.47199999999999998</v>
      </c>
      <c r="AI11" s="84" t="str">
        <f t="shared" si="2"/>
        <v>T-CAR-ICE_E8500</v>
      </c>
      <c r="AJ11" s="375">
        <f>G11*AF!D10*ACT2FLO!E56/1000</f>
        <v>0.17107982424447071</v>
      </c>
      <c r="AK11" s="375">
        <f>H11*AF!E10*ACT2FLO!F56/1000</f>
        <v>2.0603455680848078E-3</v>
      </c>
      <c r="AL11" s="375">
        <f>I11*AF!F10*ACT2FLO!G56/1000</f>
        <v>5.0794860889597816E-3</v>
      </c>
      <c r="AM11" s="375">
        <f>J11*AF!G10*ACT2FLO!H56/1000</f>
        <v>5.8330981251187002E-3</v>
      </c>
      <c r="AN11" s="375">
        <f>K11*AF!H10*ACT2FLO!I56/1000</f>
        <v>1.2296401029319915E-2</v>
      </c>
      <c r="AO11" s="375">
        <f>L11*AF!I10*ACT2FLO!J56/1000</f>
        <v>2.6985475289296981E-3</v>
      </c>
      <c r="AP11" s="375">
        <f>M11*AF!J10*ACT2FLO!K56/1000</f>
        <v>6.6025448795694244E-3</v>
      </c>
      <c r="AQ11" s="375">
        <f>N11*AF!K10*ACT2FLO!L56/1000</f>
        <v>8.2056754525748382E-4</v>
      </c>
      <c r="AR11" s="375">
        <f>O11*AF!L10*ACT2FLO!M56/1000</f>
        <v>1.746472596038363E-3</v>
      </c>
      <c r="AS11" s="375">
        <f>P11*AF!M10*ACT2FLO!N56/1000</f>
        <v>1.146848085127792E-3</v>
      </c>
      <c r="AT11" s="375">
        <f>Q11*AF!N10*ACT2FLO!O56/1000</f>
        <v>5.4344132500684468E-3</v>
      </c>
      <c r="AU11" s="375">
        <f>R11*AF!O10*ACT2FLO!P56/1000</f>
        <v>3.7320639107947659E-3</v>
      </c>
      <c r="AV11" s="375">
        <f>S11*AF!P10*ACT2FLO!Q56/1000</f>
        <v>6.5398222071611284E-3</v>
      </c>
      <c r="AW11" s="375">
        <f>T11*AF!Q10*ACT2FLO!R56/1000</f>
        <v>4.305930334775181E-3</v>
      </c>
      <c r="AX11" s="375">
        <f>U11*AF!R10*ACT2FLO!S56/1000</f>
        <v>2.3153795737168879E-2</v>
      </c>
      <c r="AY11" s="375">
        <f>V11*AF!S10*ACT2FLO!T56/1000</f>
        <v>7.1959715746141538E-3</v>
      </c>
      <c r="AZ11" s="375">
        <f>W11*AF!T10*ACT2FLO!U56/1000</f>
        <v>6.8546888588817798E-4</v>
      </c>
      <c r="BA11" s="375">
        <f>X11*AF!U10*ACT2FLO!V56/1000</f>
        <v>1.5536315987239721E-3</v>
      </c>
      <c r="BB11" s="375">
        <f>Y11*AF!V10*ACT2FLO!W56/1000</f>
        <v>4.7632303745113761E-3</v>
      </c>
      <c r="BC11" s="375">
        <f>Z11*AF!W10*ACT2FLO!X56/1000</f>
        <v>5.4581968089492866E-2</v>
      </c>
      <c r="BD11" s="375">
        <f>AA11*AF!X10*ACT2FLO!Y56/1000</f>
        <v>2.2578625295117507E-3</v>
      </c>
      <c r="BE11" s="375">
        <f>AB11*AF!Y10*ACT2FLO!Z56/1000</f>
        <v>5.2297644735623721E-3</v>
      </c>
      <c r="BF11" s="375">
        <f>AC11*AF!Z10*ACT2FLO!AA56/1000</f>
        <v>1.795024143002808E-3</v>
      </c>
      <c r="BG11" s="375">
        <f>AD11*AF!AA10*ACT2FLO!AB56/1000</f>
        <v>1.5500507710691778E-3</v>
      </c>
      <c r="BH11" s="375">
        <f>AE11*AF!AB10*ACT2FLO!AC56/1000</f>
        <v>1.9092406090985704E-3</v>
      </c>
      <c r="BI11" s="375">
        <f>AF11*AF!AC10*ACT2FLO!AD56/1000</f>
        <v>3.9482205721764379E-3</v>
      </c>
      <c r="BJ11" s="375">
        <f>AG11*AF!AD10*ACT2FLO!AE56/1000</f>
        <v>9.712028190163341E-3</v>
      </c>
      <c r="BM11" s="429" t="s">
        <v>1037</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29"/>
    </row>
    <row r="12" spans="1:93">
      <c r="C12" s="190" t="str">
        <f>Processes!D15</f>
        <v>T-CAR-HEV_GSL00</v>
      </c>
      <c r="D12" s="28" t="s">
        <v>1130</v>
      </c>
      <c r="E12" s="429" t="str">
        <f>Commodities!C8&amp;","&amp;Commodities!C10</f>
        <v>TRAGSL,TRAETH</v>
      </c>
      <c r="F12" s="201" t="str">
        <f>Commodities!C19&amp;","&amp;Commodities!C20&amp;","&amp;Commodities!C21</f>
        <v>TRAPS,TRAPM,TRAPL</v>
      </c>
      <c r="G12" s="10">
        <f t="shared" si="3"/>
        <v>29.799999999999997</v>
      </c>
      <c r="H12" s="375">
        <f>F190/1000</f>
        <v>0.20499999999999999</v>
      </c>
      <c r="I12" s="375">
        <f>G190/1000</f>
        <v>1.109</v>
      </c>
      <c r="J12" s="375">
        <f>H190/1000</f>
        <v>0.57199999999999995</v>
      </c>
      <c r="K12" s="375">
        <f>I190/1000</f>
        <v>1.4279999999999999</v>
      </c>
      <c r="L12" s="375">
        <f>J190/1000</f>
        <v>0.36499999999999999</v>
      </c>
      <c r="M12" s="375">
        <f>K190/1000</f>
        <v>0.80500000000000005</v>
      </c>
      <c r="N12" s="375">
        <f>L190/1000</f>
        <v>0.159</v>
      </c>
      <c r="O12" s="375">
        <f>M190/1000</f>
        <v>0.45700000000000002</v>
      </c>
      <c r="P12" s="375">
        <f>N190/1000</f>
        <v>0.161</v>
      </c>
      <c r="Q12" s="375">
        <f>O190/1000</f>
        <v>0.41799999999999998</v>
      </c>
      <c r="R12" s="375">
        <f>P190/1000</f>
        <v>0.48799999999999999</v>
      </c>
      <c r="S12" s="375">
        <f>Q190/1000</f>
        <v>0.61599999999999999</v>
      </c>
      <c r="T12" s="375">
        <f>R190/1000</f>
        <v>0.49199999999999999</v>
      </c>
      <c r="U12" s="375">
        <f>S190/1000</f>
        <v>2.9289999999999998</v>
      </c>
      <c r="V12" s="375">
        <f>T190/1000</f>
        <v>1.663</v>
      </c>
      <c r="W12" s="375">
        <f>U190/1000</f>
        <v>0.09</v>
      </c>
      <c r="X12" s="375">
        <f>V190/1000</f>
        <v>0.27300000000000002</v>
      </c>
      <c r="Y12" s="375">
        <f>W190/1000</f>
        <v>0.56499999999999995</v>
      </c>
      <c r="Z12" s="375">
        <f>X190/1000</f>
        <v>13.569000000000001</v>
      </c>
      <c r="AA12" s="375">
        <f>Y190/1000</f>
        <v>0.307</v>
      </c>
      <c r="AB12" s="375">
        <f>Z190/1000</f>
        <v>0.58299999999999996</v>
      </c>
      <c r="AC12" s="375">
        <f>AA190/1000</f>
        <v>0.34699999999999998</v>
      </c>
      <c r="AD12" s="375">
        <f>AB190/1000</f>
        <v>0.26500000000000001</v>
      </c>
      <c r="AE12" s="375">
        <f>AC190/1000</f>
        <v>0.25600000000000001</v>
      </c>
      <c r="AF12" s="375">
        <f>AD190/1000</f>
        <v>0.57299999999999995</v>
      </c>
      <c r="AG12" s="375">
        <f>AE190/1000</f>
        <v>1.105</v>
      </c>
      <c r="AI12" s="84" t="str">
        <f t="shared" si="2"/>
        <v>T-CAR-HEV_GSL00</v>
      </c>
      <c r="AJ12" s="375">
        <f>G12*AF!D11*ACT2FLO!E57/1000</f>
        <v>0.56986872830614188</v>
      </c>
      <c r="AK12" s="375">
        <f>H12*AF!E11*ACT2FLO!F57/1000</f>
        <v>4.1407646591977848E-3</v>
      </c>
      <c r="AL12" s="375">
        <f>I12*AF!F11*ACT2FLO!G57/1000</f>
        <v>1.8235796023371189E-2</v>
      </c>
      <c r="AM12" s="375">
        <f>J12*AF!G11*ACT2FLO!H57/1000</f>
        <v>1.1546062466442087E-2</v>
      </c>
      <c r="AN12" s="375">
        <f>K12*AF!H11*ACT2FLO!I57/1000</f>
        <v>2.9325474545152101E-2</v>
      </c>
      <c r="AO12" s="375">
        <f>L12*AF!I11*ACT2FLO!J57/1000</f>
        <v>7.6693793707508316E-3</v>
      </c>
      <c r="AP12" s="375">
        <f>M12*AF!J11*ACT2FLO!K57/1000</f>
        <v>1.6841393386375272E-2</v>
      </c>
      <c r="AQ12" s="375">
        <f>N12*AF!K11*ACT2FLO!L57/1000</f>
        <v>3.127400876971595E-3</v>
      </c>
      <c r="AR12" s="375">
        <f>O12*AF!L11*ACT2FLO!M57/1000</f>
        <v>9.5056606163829646E-3</v>
      </c>
      <c r="AS12" s="375">
        <f>P12*AF!M11*ACT2FLO!N57/1000</f>
        <v>3.3942217736340412E-3</v>
      </c>
      <c r="AT12" s="375">
        <f>Q12*AF!N11*ACT2FLO!O57/1000</f>
        <v>8.6726273148522263E-3</v>
      </c>
      <c r="AU12" s="375">
        <f>R12*AF!O11*ACT2FLO!P57/1000</f>
        <v>1.01490085249701E-2</v>
      </c>
      <c r="AV12" s="375">
        <f>S12*AF!P11*ACT2FLO!Q57/1000</f>
        <v>1.2325769784135321E-2</v>
      </c>
      <c r="AW12" s="375">
        <f>T12*AF!Q11*ACT2FLO!R57/1000</f>
        <v>1.0421587094099148E-2</v>
      </c>
      <c r="AX12" s="375">
        <f>U12*AF!R11*ACT2FLO!S57/1000</f>
        <v>5.7112859775613561E-2</v>
      </c>
      <c r="AY12" s="375">
        <f>V12*AF!S11*ACT2FLO!T57/1000</f>
        <v>3.4474003467330892E-2</v>
      </c>
      <c r="AZ12" s="375">
        <f>W12*AF!T11*ACT2FLO!U57/1000</f>
        <v>1.8082284449798625E-3</v>
      </c>
      <c r="BA12" s="375">
        <f>X12*AF!U11*ACT2FLO!V57/1000</f>
        <v>5.7990026777989655E-3</v>
      </c>
      <c r="BB12" s="375">
        <f>Y12*AF!V11*ACT2FLO!W57/1000</f>
        <v>1.1073470800608397E-2</v>
      </c>
      <c r="BC12" s="375">
        <f>Z12*AF!W11*ACT2FLO!X57/1000</f>
        <v>0.27446287971761374</v>
      </c>
      <c r="BD12" s="375">
        <f>AA12*AF!X11*ACT2FLO!Y57/1000</f>
        <v>6.6797072394956768E-3</v>
      </c>
      <c r="BE12" s="375">
        <f>AB12*AF!Y11*ACT2FLO!Z57/1000</f>
        <v>1.2166490094015492E-2</v>
      </c>
      <c r="BF12" s="375">
        <f>AC12*AF!Z11*ACT2FLO!AA57/1000</f>
        <v>7.9611034317408503E-3</v>
      </c>
      <c r="BG12" s="375">
        <f>AD12*AF!AA11*ACT2FLO!AB57/1000</f>
        <v>5.308017493911815E-3</v>
      </c>
      <c r="BH12" s="375">
        <f>AE12*AF!AB11*ACT2FLO!AC57/1000</f>
        <v>5.4306354768926379E-3</v>
      </c>
      <c r="BI12" s="375">
        <f>AF12*AF!AC11*ACT2FLO!AD57/1000</f>
        <v>1.1863760956033073E-2</v>
      </c>
      <c r="BJ12" s="375">
        <f>AG12*AF!AD11*ACT2FLO!AE57/1000</f>
        <v>2.2720358929728842E-2</v>
      </c>
      <c r="BM12" s="431" t="str">
        <f>BM4</f>
        <v>Technology</v>
      </c>
      <c r="BN12" s="431" t="str">
        <f t="shared" ref="BN12:CN12" si="4">BN4</f>
        <v>IE</v>
      </c>
      <c r="BO12" s="431" t="str">
        <f t="shared" si="4"/>
        <v>IE-CW</v>
      </c>
      <c r="BP12" s="431" t="str">
        <f t="shared" si="4"/>
        <v>IE-D</v>
      </c>
      <c r="BQ12" s="431" t="str">
        <f t="shared" si="4"/>
        <v>IE-KE</v>
      </c>
      <c r="BR12" s="431" t="str">
        <f t="shared" si="4"/>
        <v>IE-KK</v>
      </c>
      <c r="BS12" s="431" t="str">
        <f t="shared" si="4"/>
        <v>IE-LS</v>
      </c>
      <c r="BT12" s="431" t="str">
        <f t="shared" si="4"/>
        <v>IE-LD</v>
      </c>
      <c r="BU12" s="431" t="str">
        <f t="shared" si="4"/>
        <v>IE-LH</v>
      </c>
      <c r="BV12" s="431" t="str">
        <f t="shared" si="4"/>
        <v>IE-MH</v>
      </c>
      <c r="BW12" s="431" t="str">
        <f t="shared" si="4"/>
        <v>IE-OY</v>
      </c>
      <c r="BX12" s="431" t="str">
        <f t="shared" si="4"/>
        <v>IE-WH</v>
      </c>
      <c r="BY12" s="431" t="str">
        <f t="shared" si="4"/>
        <v>IE-WX</v>
      </c>
      <c r="BZ12" s="431" t="str">
        <f t="shared" si="4"/>
        <v>IE-WW</v>
      </c>
      <c r="CA12" s="431" t="str">
        <f t="shared" si="4"/>
        <v>IE-CE</v>
      </c>
      <c r="CB12" s="431" t="str">
        <f t="shared" si="4"/>
        <v>IE-CO</v>
      </c>
      <c r="CC12" s="431" t="str">
        <f t="shared" si="4"/>
        <v>IE-KY</v>
      </c>
      <c r="CD12" s="431" t="str">
        <f t="shared" si="4"/>
        <v>IE-LK</v>
      </c>
      <c r="CE12" s="431" t="str">
        <f t="shared" si="4"/>
        <v>IE-TA</v>
      </c>
      <c r="CF12" s="431" t="str">
        <f t="shared" si="4"/>
        <v>IE-WD</v>
      </c>
      <c r="CG12" s="431" t="str">
        <f t="shared" si="4"/>
        <v>IE-G</v>
      </c>
      <c r="CH12" s="431" t="str">
        <f t="shared" si="4"/>
        <v>IE-LM</v>
      </c>
      <c r="CI12" s="431" t="str">
        <f t="shared" si="4"/>
        <v>IE-MO</v>
      </c>
      <c r="CJ12" s="431" t="str">
        <f t="shared" si="4"/>
        <v>IE-RN</v>
      </c>
      <c r="CK12" s="431" t="str">
        <f t="shared" si="4"/>
        <v>IE-SO</v>
      </c>
      <c r="CL12" s="431" t="str">
        <f t="shared" si="4"/>
        <v>IE-CN</v>
      </c>
      <c r="CM12" s="431" t="str">
        <f t="shared" si="4"/>
        <v>IE-DL</v>
      </c>
      <c r="CN12" s="431" t="str">
        <f t="shared" si="4"/>
        <v>IE-MN</v>
      </c>
      <c r="CO12" s="429"/>
    </row>
    <row r="13" spans="1:93">
      <c r="C13" s="201" t="str">
        <f>Processes!D16</f>
        <v>T-CAR-HEV_DST00</v>
      </c>
      <c r="D13" s="28" t="s">
        <v>1130</v>
      </c>
      <c r="E13" s="429" t="str">
        <f>Commodities!C9&amp;","&amp;Commodities!C11</f>
        <v>TRADST,TRABDL</v>
      </c>
      <c r="F13" s="201" t="str">
        <f>Commodities!C19&amp;","&amp;Commodities!C20&amp;","&amp;Commodities!C21</f>
        <v>TRAPS,TRAPM,TRAPL</v>
      </c>
      <c r="G13" s="10">
        <f t="shared" si="3"/>
        <v>0.77300000000000024</v>
      </c>
      <c r="H13" s="375">
        <f>F191/1000</f>
        <v>1.4E-2</v>
      </c>
      <c r="I13" s="375">
        <f>G191/1000</f>
        <v>3.3000000000000002E-2</v>
      </c>
      <c r="J13" s="375">
        <f>H191/1000</f>
        <v>1.9E-2</v>
      </c>
      <c r="K13" s="375">
        <f>I191/1000</f>
        <v>4.2999999999999997E-2</v>
      </c>
      <c r="L13" s="375">
        <f>J191/1000</f>
        <v>1.6E-2</v>
      </c>
      <c r="M13" s="375">
        <f>K191/1000</f>
        <v>2.4E-2</v>
      </c>
      <c r="N13" s="375">
        <f>L191/1000</f>
        <v>8.0000000000000002E-3</v>
      </c>
      <c r="O13" s="375">
        <f>M191/1000</f>
        <v>1.2999999999999999E-2</v>
      </c>
      <c r="P13" s="375">
        <f>N191/1000</f>
        <v>0.01</v>
      </c>
      <c r="Q13" s="375">
        <f>O191/1000</f>
        <v>2.3E-2</v>
      </c>
      <c r="R13" s="375">
        <f>P191/1000</f>
        <v>1.6E-2</v>
      </c>
      <c r="S13" s="375">
        <f>Q191/1000</f>
        <v>1.7000000000000001E-2</v>
      </c>
      <c r="T13" s="375">
        <f>R191/1000</f>
        <v>1.2999999999999999E-2</v>
      </c>
      <c r="U13" s="375">
        <f>S191/1000</f>
        <v>7.0999999999999994E-2</v>
      </c>
      <c r="V13" s="375">
        <f>T191/1000</f>
        <v>3.2000000000000001E-2</v>
      </c>
      <c r="W13" s="375">
        <f>U191/1000</f>
        <v>2E-3</v>
      </c>
      <c r="X13" s="375">
        <f>V191/1000</f>
        <v>4.0000000000000001E-3</v>
      </c>
      <c r="Y13" s="375">
        <f>W191/1000</f>
        <v>1.2999999999999999E-2</v>
      </c>
      <c r="Z13" s="375">
        <f>X191/1000</f>
        <v>0.28699999999999998</v>
      </c>
      <c r="AA13" s="375">
        <f>Y191/1000</f>
        <v>1.6E-2</v>
      </c>
      <c r="AB13" s="375">
        <f>Z191/1000</f>
        <v>1.7000000000000001E-2</v>
      </c>
      <c r="AC13" s="375">
        <f>AA191/1000</f>
        <v>1.0999999999999999E-2</v>
      </c>
      <c r="AD13" s="375">
        <f>AB191/1000</f>
        <v>5.0000000000000001E-3</v>
      </c>
      <c r="AE13" s="375">
        <f>AC191/1000</f>
        <v>1.6E-2</v>
      </c>
      <c r="AF13" s="375">
        <f>AD191/1000</f>
        <v>1.2E-2</v>
      </c>
      <c r="AG13" s="375">
        <f>AE191/1000</f>
        <v>3.7999999999999999E-2</v>
      </c>
      <c r="AH13" s="193"/>
      <c r="AI13" s="84" t="str">
        <f t="shared" si="2"/>
        <v>T-CAR-HEV_DST00</v>
      </c>
      <c r="AJ13" s="375">
        <f>G13*AF!D12*ACT2FLO!E58/1000</f>
        <v>2.3778099610678605E-2</v>
      </c>
      <c r="AK13" s="375">
        <f>H13*AF!E12*ACT2FLO!F58/1000</f>
        <v>4.5392063363698166E-4</v>
      </c>
      <c r="AL13" s="375">
        <f>I13*AF!F12*ACT2FLO!G58/1000</f>
        <v>8.914739008685069E-4</v>
      </c>
      <c r="AM13" s="375">
        <f>J13*AF!G12*ACT2FLO!H58/1000</f>
        <v>5.9273290968661413E-4</v>
      </c>
      <c r="AN13" s="375">
        <f>K13*AF!H12*ACT2FLO!I58/1000</f>
        <v>1.3954037767277393E-3</v>
      </c>
      <c r="AO13" s="375">
        <f>L13*AF!I12*ACT2FLO!J58/1000</f>
        <v>5.3232583916175337E-4</v>
      </c>
      <c r="AP13" s="375">
        <f>M13*AF!J12*ACT2FLO!K58/1000</f>
        <v>8.1367146799895878E-4</v>
      </c>
      <c r="AQ13" s="375">
        <f>N13*AF!K12*ACT2FLO!L58/1000</f>
        <v>2.4603866816093144E-4</v>
      </c>
      <c r="AR13" s="375">
        <f>O13*AF!L12*ACT2FLO!M58/1000</f>
        <v>4.1114018724284693E-4</v>
      </c>
      <c r="AS13" s="375">
        <f>P13*AF!M12*ACT2FLO!N58/1000</f>
        <v>3.2906314136038807E-4</v>
      </c>
      <c r="AT13" s="375">
        <f>Q13*AF!N12*ACT2FLO!O58/1000</f>
        <v>7.5615889982839023E-4</v>
      </c>
      <c r="AU13" s="375">
        <f>R13*AF!O12*ACT2FLO!P58/1000</f>
        <v>5.1105572289227399E-4</v>
      </c>
      <c r="AV13" s="375">
        <f>S13*AF!P12*ACT2FLO!Q58/1000</f>
        <v>5.1742959611780813E-4</v>
      </c>
      <c r="AW13" s="375">
        <f>T13*AF!Q12*ACT2FLO!R58/1000</f>
        <v>4.2712261467541316E-4</v>
      </c>
      <c r="AX13" s="375">
        <f>U13*AF!R12*ACT2FLO!S58/1000</f>
        <v>2.1260716596885614E-3</v>
      </c>
      <c r="AY13" s="375">
        <f>V13*AF!S12*ACT2FLO!T58/1000</f>
        <v>1.0019633221802374E-3</v>
      </c>
      <c r="AZ13" s="375">
        <f>W13*AF!T12*ACT2FLO!U58/1000</f>
        <v>6.3780508577981733E-5</v>
      </c>
      <c r="BA13" s="375">
        <f>X13*AF!U12*ACT2FLO!V58/1000</f>
        <v>1.3290241840769858E-4</v>
      </c>
      <c r="BB13" s="375">
        <f>Y13*AF!V12*ACT2FLO!W58/1000</f>
        <v>4.0295501202859576E-4</v>
      </c>
      <c r="BC13" s="375">
        <f>Z13*AF!W12*ACT2FLO!X58/1000</f>
        <v>9.1584978832391119E-3</v>
      </c>
      <c r="BD13" s="375">
        <f>AA13*AF!X12*ACT2FLO!Y58/1000</f>
        <v>5.3187226765881272E-4</v>
      </c>
      <c r="BE13" s="375">
        <f>AB13*AF!Y12*ACT2FLO!Z58/1000</f>
        <v>5.4388445242912553E-4</v>
      </c>
      <c r="BF13" s="375">
        <f>AC13*AF!Z12*ACT2FLO!AA58/1000</f>
        <v>3.8268155945636747E-4</v>
      </c>
      <c r="BG13" s="375">
        <f>AD13*AF!AA12*ACT2FLO!AB58/1000</f>
        <v>1.5907826856424655E-4</v>
      </c>
      <c r="BH13" s="375">
        <f>AE13*AF!AB12*ACT2FLO!AC58/1000</f>
        <v>5.2249049920325113E-4</v>
      </c>
      <c r="BI13" s="375">
        <f>AF13*AF!AC12*ACT2FLO!AD58/1000</f>
        <v>3.679300415301369E-4</v>
      </c>
      <c r="BJ13" s="375">
        <f>AG13*AF!AD12*ACT2FLO!AE58/1000</f>
        <v>1.2237359149338445E-3</v>
      </c>
      <c r="BM13" s="429" t="str">
        <f>BM6</f>
        <v>T-LGT-ICE_GSL00</v>
      </c>
      <c r="BN13" s="375"/>
      <c r="BO13" s="375"/>
      <c r="BP13" s="375"/>
      <c r="BQ13" s="375"/>
      <c r="BR13" s="375"/>
      <c r="BS13" s="375"/>
      <c r="BT13" s="375"/>
      <c r="BU13" s="375"/>
      <c r="BV13" s="375"/>
      <c r="BW13" s="375"/>
      <c r="BX13" s="375"/>
      <c r="BY13" s="375"/>
      <c r="BZ13" s="375"/>
      <c r="CA13" s="375"/>
      <c r="CB13" s="375"/>
      <c r="CC13" s="375"/>
      <c r="CD13" s="375"/>
      <c r="CE13" s="375"/>
      <c r="CF13" s="375"/>
      <c r="CG13" s="375"/>
      <c r="CH13" s="375"/>
      <c r="CI13" s="375"/>
      <c r="CJ13" s="375"/>
      <c r="CK13" s="375"/>
      <c r="CL13" s="375"/>
      <c r="CM13" s="375"/>
      <c r="CN13" s="375"/>
      <c r="CO13" s="429"/>
    </row>
    <row r="14" spans="1:93">
      <c r="C14" s="190" t="str">
        <f>Processes!D17</f>
        <v>T-CAR-PHEV_GSL00</v>
      </c>
      <c r="D14" s="28" t="s">
        <v>1130</v>
      </c>
      <c r="E14" s="190" t="str">
        <f>Commodities!C8&amp;","&amp;Commodities!C15</f>
        <v>TRAGSL,TRAELC</v>
      </c>
      <c r="F14" s="201" t="str">
        <f>Commodities!C19&amp;","&amp;Commodities!C20&amp;","&amp;Commodities!C21</f>
        <v>TRAPS,TRAPM,TRAPL</v>
      </c>
      <c r="G14" s="10">
        <f t="shared" si="3"/>
        <v>2.7589999999999999</v>
      </c>
      <c r="H14" s="375">
        <f>F192/1000</f>
        <v>1.4999999999999999E-2</v>
      </c>
      <c r="I14" s="375">
        <f>G192/1000</f>
        <v>0.109</v>
      </c>
      <c r="J14" s="375">
        <f>H192/1000</f>
        <v>3.3000000000000002E-2</v>
      </c>
      <c r="K14" s="375">
        <f>I192/1000</f>
        <v>0.15</v>
      </c>
      <c r="L14" s="375">
        <f>J192/1000</f>
        <v>2.4E-2</v>
      </c>
      <c r="M14" s="375">
        <f>K192/1000</f>
        <v>5.3999999999999999E-2</v>
      </c>
      <c r="N14" s="375">
        <f>L192/1000</f>
        <v>1.7999999999999999E-2</v>
      </c>
      <c r="O14" s="375">
        <f>M192/1000</f>
        <v>2.3E-2</v>
      </c>
      <c r="P14" s="375">
        <f>N192/1000</f>
        <v>0.01</v>
      </c>
      <c r="Q14" s="375">
        <f>O192/1000</f>
        <v>3.2000000000000001E-2</v>
      </c>
      <c r="R14" s="375">
        <f>P192/1000</f>
        <v>3.5000000000000003E-2</v>
      </c>
      <c r="S14" s="375">
        <f>Q192/1000</f>
        <v>4.2000000000000003E-2</v>
      </c>
      <c r="T14" s="375">
        <f>R192/1000</f>
        <v>3.6999999999999998E-2</v>
      </c>
      <c r="U14" s="375">
        <f>S192/1000</f>
        <v>0.26200000000000001</v>
      </c>
      <c r="V14" s="375">
        <f>T192/1000</f>
        <v>0.152</v>
      </c>
      <c r="W14" s="375">
        <f>U192/1000</f>
        <v>3.0000000000000001E-3</v>
      </c>
      <c r="X14" s="375">
        <f>V192/1000</f>
        <v>2.3E-2</v>
      </c>
      <c r="Y14" s="375">
        <f>W192/1000</f>
        <v>0.04</v>
      </c>
      <c r="Z14" s="375">
        <f>X192/1000</f>
        <v>1.43</v>
      </c>
      <c r="AA14" s="375">
        <f>Y192/1000</f>
        <v>1.7000000000000001E-2</v>
      </c>
      <c r="AB14" s="375">
        <f>Z192/1000</f>
        <v>4.7E-2</v>
      </c>
      <c r="AC14" s="375">
        <f>AA192/1000</f>
        <v>1.7999999999999999E-2</v>
      </c>
      <c r="AD14" s="375">
        <f>AB192/1000</f>
        <v>1.6E-2</v>
      </c>
      <c r="AE14" s="375">
        <f>AC192/1000</f>
        <v>2.4E-2</v>
      </c>
      <c r="AF14" s="375">
        <f>AD192/1000</f>
        <v>3.6999999999999998E-2</v>
      </c>
      <c r="AG14" s="375">
        <f>AE192/1000</f>
        <v>0.108</v>
      </c>
      <c r="AH14" s="193"/>
      <c r="AI14" s="84" t="str">
        <f t="shared" si="2"/>
        <v>T-CAR-PHEV_GSL00</v>
      </c>
      <c r="AJ14" s="375">
        <f>G14*AF!D13*ACT2FLO!E59/1000</f>
        <v>5.2760665147538438E-2</v>
      </c>
      <c r="AK14" s="375">
        <f>H14*AF!E13*ACT2FLO!F59/1000</f>
        <v>3.029827799413013E-4</v>
      </c>
      <c r="AL14" s="375">
        <f>I14*AF!F13*ACT2FLO!G59/1000</f>
        <v>1.7923370302501893E-3</v>
      </c>
      <c r="AM14" s="375">
        <f>J14*AF!G13*ACT2FLO!H59/1000</f>
        <v>6.6611898844858204E-4</v>
      </c>
      <c r="AN14" s="375">
        <f>K14*AF!H13*ACT2FLO!I59/1000</f>
        <v>3.0804069900369855E-3</v>
      </c>
      <c r="AO14" s="375">
        <f>L14*AF!I13*ACT2FLO!J59/1000</f>
        <v>5.0428795862471234E-4</v>
      </c>
      <c r="AP14" s="375">
        <f>M14*AF!J13*ACT2FLO!K59/1000</f>
        <v>1.1297332209493972E-3</v>
      </c>
      <c r="AQ14" s="375">
        <f>N14*AF!K13*ACT2FLO!L59/1000</f>
        <v>3.5404538229867117E-4</v>
      </c>
      <c r="AR14" s="375">
        <f>O14*AF!L13*ACT2FLO!M59/1000</f>
        <v>4.7840305071511637E-4</v>
      </c>
      <c r="AS14" s="375">
        <f>P14*AF!M13*ACT2FLO!N59/1000</f>
        <v>2.108212281760274E-4</v>
      </c>
      <c r="AT14" s="375">
        <f>Q14*AF!N13*ACT2FLO!O59/1000</f>
        <v>6.639331915676346E-4</v>
      </c>
      <c r="AU14" s="375">
        <f>R14*AF!O13*ACT2FLO!P59/1000</f>
        <v>7.2790020158597021E-4</v>
      </c>
      <c r="AV14" s="375">
        <f>S14*AF!P13*ACT2FLO!Q59/1000</f>
        <v>8.4039339437286297E-4</v>
      </c>
      <c r="AW14" s="375">
        <f>T14*AF!Q13*ACT2FLO!R59/1000</f>
        <v>7.8373724081639933E-4</v>
      </c>
      <c r="AX14" s="375">
        <f>U14*AF!R13*ACT2FLO!S59/1000</f>
        <v>5.1087638310722957E-3</v>
      </c>
      <c r="AY14" s="375">
        <f>V14*AF!S13*ACT2FLO!T59/1000</f>
        <v>3.1509612309286203E-3</v>
      </c>
      <c r="AZ14" s="375">
        <f>W14*AF!T13*ACT2FLO!U59/1000</f>
        <v>6.0274281499328749E-5</v>
      </c>
      <c r="BA14" s="375">
        <f>X14*AF!U13*ACT2FLO!V59/1000</f>
        <v>4.8856066516255012E-4</v>
      </c>
      <c r="BB14" s="375">
        <f>Y14*AF!V13*ACT2FLO!W59/1000</f>
        <v>7.8396253455634691E-4</v>
      </c>
      <c r="BC14" s="375">
        <f>Z14*AF!W13*ACT2FLO!X59/1000</f>
        <v>2.8924896307479381E-2</v>
      </c>
      <c r="BD14" s="375">
        <f>AA14*AF!X13*ACT2FLO!Y59/1000</f>
        <v>3.6988606863656848E-4</v>
      </c>
      <c r="BE14" s="375">
        <f>AB14*AF!Y13*ACT2FLO!Z59/1000</f>
        <v>9.8083196298238105E-4</v>
      </c>
      <c r="BF14" s="375">
        <f>AC14*AF!Z13*ACT2FLO!AA59/1000</f>
        <v>4.1296790135831495E-4</v>
      </c>
      <c r="BG14" s="375">
        <f>AD14*AF!AA13*ACT2FLO!AB59/1000</f>
        <v>3.2048407510410957E-4</v>
      </c>
      <c r="BH14" s="375">
        <f>AE14*AF!AB13*ACT2FLO!AC59/1000</f>
        <v>5.0912207595868485E-4</v>
      </c>
      <c r="BI14" s="375">
        <f>AF14*AF!AC13*ACT2FLO!AD59/1000</f>
        <v>7.6607182438607991E-4</v>
      </c>
      <c r="BJ14" s="375">
        <f>AG14*AF!AD13*ACT2FLO!AE59/1000</f>
        <v>2.2206323659825474E-3</v>
      </c>
      <c r="BM14" s="429" t="str">
        <f t="shared" ref="BM14:BM15" si="5">BM7</f>
        <v>T-HGT-ICE_DST00</v>
      </c>
      <c r="BN14" s="375"/>
      <c r="BO14" s="375"/>
      <c r="BP14" s="375"/>
      <c r="BQ14" s="375"/>
      <c r="BR14" s="375"/>
      <c r="BS14" s="375"/>
      <c r="BT14" s="375"/>
      <c r="BU14" s="375"/>
      <c r="BV14" s="375"/>
      <c r="BW14" s="375"/>
      <c r="BX14" s="375"/>
      <c r="BY14" s="375"/>
      <c r="BZ14" s="375"/>
      <c r="CA14" s="375"/>
      <c r="CB14" s="375"/>
      <c r="CC14" s="375"/>
      <c r="CD14" s="375"/>
      <c r="CE14" s="375"/>
      <c r="CF14" s="375"/>
      <c r="CG14" s="375"/>
      <c r="CH14" s="375"/>
      <c r="CI14" s="375"/>
      <c r="CJ14" s="375"/>
      <c r="CK14" s="375"/>
      <c r="CL14" s="375"/>
      <c r="CM14" s="375"/>
      <c r="CN14" s="375"/>
      <c r="CO14" s="429"/>
    </row>
    <row r="15" spans="1:93">
      <c r="C15" s="190" t="str">
        <f>Processes!D18</f>
        <v>T-CAR-PHEV_DST00</v>
      </c>
      <c r="D15" s="28" t="s">
        <v>1130</v>
      </c>
      <c r="E15" s="190" t="str">
        <f>Commodities!C9&amp;","&amp;Commodities!C15</f>
        <v>TRADST,TRAELC</v>
      </c>
      <c r="F15" s="201" t="str">
        <f>Commodities!C19&amp;","&amp;Commodities!C20&amp;","&amp;Commodities!C21</f>
        <v>TRAPS,TRAPM,TRAPL</v>
      </c>
      <c r="G15" s="10">
        <f t="shared" si="3"/>
        <v>2.5000000000000008E-2</v>
      </c>
      <c r="H15" s="375">
        <f>F193/1000</f>
        <v>0</v>
      </c>
      <c r="I15" s="375">
        <f>G193/1000</f>
        <v>1.0999999999999999E-2</v>
      </c>
      <c r="J15" s="375">
        <f>H193/1000</f>
        <v>2E-3</v>
      </c>
      <c r="K15" s="375">
        <f>I193/1000</f>
        <v>0</v>
      </c>
      <c r="L15" s="375">
        <f>J193/1000</f>
        <v>0</v>
      </c>
      <c r="M15" s="375">
        <f>K193/1000</f>
        <v>1E-3</v>
      </c>
      <c r="N15" s="375">
        <f>L193/1000</f>
        <v>0</v>
      </c>
      <c r="O15" s="375">
        <f>M193/1000</f>
        <v>1E-3</v>
      </c>
      <c r="P15" s="375">
        <f>N193/1000</f>
        <v>0</v>
      </c>
      <c r="Q15" s="375">
        <f>O193/1000</f>
        <v>0</v>
      </c>
      <c r="R15" s="375">
        <f>P193/1000</f>
        <v>1E-3</v>
      </c>
      <c r="S15" s="375">
        <f>Q193/1000</f>
        <v>1E-3</v>
      </c>
      <c r="T15" s="375">
        <f>R193/1000</f>
        <v>2E-3</v>
      </c>
      <c r="U15" s="375">
        <f>S193/1000</f>
        <v>2E-3</v>
      </c>
      <c r="V15" s="375">
        <f>T193/1000</f>
        <v>0</v>
      </c>
      <c r="W15" s="375">
        <f>U193/1000</f>
        <v>0</v>
      </c>
      <c r="X15" s="375">
        <f>V193/1000</f>
        <v>1E-3</v>
      </c>
      <c r="Y15" s="375">
        <f>W193/1000</f>
        <v>0</v>
      </c>
      <c r="Z15" s="375">
        <f>X193/1000</f>
        <v>0</v>
      </c>
      <c r="AA15" s="375">
        <f>Y193/1000</f>
        <v>0</v>
      </c>
      <c r="AB15" s="375">
        <f>Z193/1000</f>
        <v>0</v>
      </c>
      <c r="AC15" s="375">
        <f>AA193/1000</f>
        <v>0</v>
      </c>
      <c r="AD15" s="375">
        <f>AB193/1000</f>
        <v>1E-3</v>
      </c>
      <c r="AE15" s="375">
        <f>AC193/1000</f>
        <v>0</v>
      </c>
      <c r="AF15" s="375">
        <f>AD193/1000</f>
        <v>1E-3</v>
      </c>
      <c r="AG15" s="375">
        <f>AE193/1000</f>
        <v>1E-3</v>
      </c>
      <c r="AH15" s="193"/>
      <c r="AI15" s="84" t="str">
        <f t="shared" si="2"/>
        <v>T-CAR-PHEV_DST00</v>
      </c>
      <c r="AJ15" s="375">
        <f>G15*AF!D14*ACT2FLO!E60/1000</f>
        <v>7.6902003915519431E-4</v>
      </c>
      <c r="AK15" s="375">
        <f>H15*AF!E14*ACT2FLO!F60/1000</f>
        <v>0</v>
      </c>
      <c r="AL15" s="375">
        <f>I15*AF!F14*ACT2FLO!G60/1000</f>
        <v>2.9715796695616893E-4</v>
      </c>
      <c r="AM15" s="375">
        <f>J15*AF!G14*ACT2FLO!H60/1000</f>
        <v>6.2392937861748842E-5</v>
      </c>
      <c r="AN15" s="375">
        <f>K15*AF!H14*ACT2FLO!I60/1000</f>
        <v>0</v>
      </c>
      <c r="AO15" s="375">
        <f>L15*AF!I14*ACT2FLO!J60/1000</f>
        <v>0</v>
      </c>
      <c r="AP15" s="375">
        <f>M15*AF!J14*ACT2FLO!K60/1000</f>
        <v>3.3902977833289954E-5</v>
      </c>
      <c r="AQ15" s="375">
        <f>N15*AF!K14*ACT2FLO!L60/1000</f>
        <v>0</v>
      </c>
      <c r="AR15" s="375">
        <f>O15*AF!L14*ACT2FLO!M60/1000</f>
        <v>3.1626168249449771E-5</v>
      </c>
      <c r="AS15" s="375">
        <f>P15*AF!M14*ACT2FLO!N60/1000</f>
        <v>0</v>
      </c>
      <c r="AT15" s="375">
        <f>Q15*AF!N14*ACT2FLO!O60/1000</f>
        <v>0</v>
      </c>
      <c r="AU15" s="375">
        <f>R15*AF!O14*ACT2FLO!P60/1000</f>
        <v>3.1940982680767124E-5</v>
      </c>
      <c r="AV15" s="375">
        <f>S15*AF!P14*ACT2FLO!Q60/1000</f>
        <v>3.0437035065753419E-5</v>
      </c>
      <c r="AW15" s="375">
        <f>T15*AF!Q14*ACT2FLO!R60/1000</f>
        <v>6.5711171488525103E-5</v>
      </c>
      <c r="AX15" s="375">
        <f>U15*AF!R14*ACT2FLO!S60/1000</f>
        <v>5.9889342526438347E-5</v>
      </c>
      <c r="AY15" s="375">
        <f>V15*AF!S14*ACT2FLO!T60/1000</f>
        <v>0</v>
      </c>
      <c r="AZ15" s="375">
        <f>W15*AF!T14*ACT2FLO!U60/1000</f>
        <v>0</v>
      </c>
      <c r="BA15" s="375">
        <f>X15*AF!U14*ACT2FLO!V60/1000</f>
        <v>3.3225604601924645E-5</v>
      </c>
      <c r="BB15" s="375">
        <f>Y15*AF!V14*ACT2FLO!W60/1000</f>
        <v>0</v>
      </c>
      <c r="BC15" s="375">
        <f>Z15*AF!W14*ACT2FLO!X60/1000</f>
        <v>0</v>
      </c>
      <c r="BD15" s="375">
        <f>AA15*AF!X14*ACT2FLO!Y60/1000</f>
        <v>0</v>
      </c>
      <c r="BE15" s="375">
        <f>AB15*AF!Y14*ACT2FLO!Z60/1000</f>
        <v>0</v>
      </c>
      <c r="BF15" s="375">
        <f>AC15*AF!Z14*ACT2FLO!AA60/1000</f>
        <v>0</v>
      </c>
      <c r="BG15" s="375">
        <f>AD15*AF!AA14*ACT2FLO!AB60/1000</f>
        <v>3.1815653712849314E-5</v>
      </c>
      <c r="BH15" s="375">
        <f>AE15*AF!AB14*ACT2FLO!AC60/1000</f>
        <v>0</v>
      </c>
      <c r="BI15" s="375">
        <f>AF15*AF!AC14*ACT2FLO!AD60/1000</f>
        <v>3.0660836794178079E-5</v>
      </c>
      <c r="BJ15" s="375">
        <f>AG15*AF!AD14*ACT2FLO!AE60/1000</f>
        <v>3.2203576708785385E-5</v>
      </c>
      <c r="BM15" s="429" t="str">
        <f t="shared" si="5"/>
        <v>T-GTR-ICE_DST00</v>
      </c>
      <c r="BN15" s="375"/>
      <c r="BO15" s="375"/>
      <c r="BP15" s="375"/>
      <c r="BQ15" s="375"/>
      <c r="BR15" s="375"/>
      <c r="BS15" s="375"/>
      <c r="BT15" s="375"/>
      <c r="BU15" s="375"/>
      <c r="BV15" s="375"/>
      <c r="BW15" s="375"/>
      <c r="BX15" s="375"/>
      <c r="BY15" s="375"/>
      <c r="BZ15" s="375"/>
      <c r="CA15" s="375"/>
      <c r="CB15" s="375"/>
      <c r="CC15" s="375"/>
      <c r="CD15" s="375"/>
      <c r="CE15" s="375"/>
      <c r="CF15" s="375"/>
      <c r="CG15" s="375"/>
      <c r="CH15" s="375"/>
      <c r="CI15" s="375"/>
      <c r="CJ15" s="375"/>
      <c r="CK15" s="375"/>
      <c r="CL15" s="375"/>
      <c r="CM15" s="375"/>
      <c r="CN15" s="375"/>
      <c r="CO15" s="429"/>
    </row>
    <row r="16" spans="1:93" s="201" customFormat="1">
      <c r="A16" s="548"/>
      <c r="B16" s="548"/>
      <c r="C16" s="190" t="str">
        <f>Processes!D19</f>
        <v>T-CAR-BEV_ELC00</v>
      </c>
      <c r="D16" s="28" t="s">
        <v>1130</v>
      </c>
      <c r="E16" s="190" t="str">
        <f>Commodities!C15</f>
        <v>TRAELC</v>
      </c>
      <c r="F16" s="201" t="str">
        <f>Commodities!C19&amp;","&amp;Commodities!C20&amp;","&amp;Commodities!C21</f>
        <v>TRAPS,TRAPM,TRAPL</v>
      </c>
      <c r="G16" s="10">
        <f t="shared" si="3"/>
        <v>4.53</v>
      </c>
      <c r="H16" s="375">
        <f>F194/1000</f>
        <v>4.5999999999999999E-2</v>
      </c>
      <c r="I16" s="375">
        <f>G194/1000</f>
        <v>1.6759999999999999</v>
      </c>
      <c r="J16" s="375">
        <f>H194/1000</f>
        <v>0.29199999999999998</v>
      </c>
      <c r="K16" s="375">
        <f>I194/1000</f>
        <v>5.3999999999999999E-2</v>
      </c>
      <c r="L16" s="375">
        <f>J194/1000</f>
        <v>5.6000000000000001E-2</v>
      </c>
      <c r="M16" s="375">
        <f>K194/1000</f>
        <v>2.4E-2</v>
      </c>
      <c r="N16" s="375">
        <f>L194/1000</f>
        <v>0.10299999999999999</v>
      </c>
      <c r="O16" s="375">
        <f>M194/1000</f>
        <v>0.23899999999999999</v>
      </c>
      <c r="P16" s="375">
        <f>N194/1000</f>
        <v>2.9000000000000001E-2</v>
      </c>
      <c r="Q16" s="375">
        <f>O194/1000</f>
        <v>9.8000000000000004E-2</v>
      </c>
      <c r="R16" s="375">
        <f>P194/1000</f>
        <v>0.14099999999999999</v>
      </c>
      <c r="S16" s="375">
        <f>Q194/1000</f>
        <v>0.25700000000000001</v>
      </c>
      <c r="T16" s="375">
        <f>R194/1000</f>
        <v>0.107</v>
      </c>
      <c r="U16" s="375">
        <f>S194/1000</f>
        <v>0.51400000000000001</v>
      </c>
      <c r="V16" s="375">
        <f>T194/1000</f>
        <v>9.8000000000000004E-2</v>
      </c>
      <c r="W16" s="375">
        <f>U194/1000</f>
        <v>0.123</v>
      </c>
      <c r="X16" s="375">
        <f>V194/1000</f>
        <v>9.4E-2</v>
      </c>
      <c r="Y16" s="375">
        <f>W194/1000</f>
        <v>0.1</v>
      </c>
      <c r="Z16" s="375">
        <f>X194/1000</f>
        <v>0.22800000000000001</v>
      </c>
      <c r="AA16" s="375">
        <f>Y194/1000</f>
        <v>1.7000000000000001E-2</v>
      </c>
      <c r="AB16" s="375">
        <f>Z194/1000</f>
        <v>5.8000000000000003E-2</v>
      </c>
      <c r="AC16" s="375">
        <f>AA194/1000</f>
        <v>0.03</v>
      </c>
      <c r="AD16" s="375">
        <f>AB194/1000</f>
        <v>2.9000000000000001E-2</v>
      </c>
      <c r="AE16" s="375">
        <f>AC194/1000</f>
        <v>3.5000000000000003E-2</v>
      </c>
      <c r="AF16" s="375">
        <f>AD194/1000</f>
        <v>5.0999999999999997E-2</v>
      </c>
      <c r="AG16" s="375">
        <f>AE194/1000</f>
        <v>3.1E-2</v>
      </c>
      <c r="AH16" s="193"/>
      <c r="AI16" s="84" t="str">
        <f t="shared" si="2"/>
        <v>T-CAR-BEV_ELC00</v>
      </c>
      <c r="AJ16" s="375">
        <f>G16*AF!D15*ACT2FLO!E61/1000</f>
        <v>9.0865471195621078E-2</v>
      </c>
      <c r="AK16" s="375">
        <f>H16*AF!E15*ACT2FLO!F61/1000</f>
        <v>9.6710098093776681E-4</v>
      </c>
      <c r="AL16" s="375">
        <f>I16*AF!F15*ACT2FLO!G61/1000</f>
        <v>3.2125353528666398E-2</v>
      </c>
      <c r="AM16" s="375">
        <f>J16*AF!G15*ACT2FLO!H61/1000</f>
        <v>6.0614400446073321E-3</v>
      </c>
      <c r="AN16" s="375">
        <f>K16*AF!H15*ACT2FLO!I61/1000</f>
        <v>1.1568042780196438E-3</v>
      </c>
      <c r="AO16" s="375">
        <f>L16*AF!I15*ACT2FLO!J61/1000</f>
        <v>1.2186988840327667E-3</v>
      </c>
      <c r="AP16" s="375">
        <f>M16*AF!J15*ACT2FLO!K61/1000</f>
        <v>5.0145910477742458E-4</v>
      </c>
      <c r="AQ16" s="375">
        <f>N16*AF!K15*ACT2FLO!L61/1000</f>
        <v>2.0614257844273373E-3</v>
      </c>
      <c r="AR16" s="375">
        <f>O16*AF!L15*ACT2FLO!M61/1000</f>
        <v>5.0289994030502253E-3</v>
      </c>
      <c r="AS16" s="375">
        <f>P16*AF!M15*ACT2FLO!N61/1000</f>
        <v>6.2752065035294295E-4</v>
      </c>
      <c r="AT16" s="375">
        <f>Q16*AF!N15*ACT2FLO!O61/1000</f>
        <v>2.0483557634873376E-3</v>
      </c>
      <c r="AU16" s="375">
        <f>R16*AF!O15*ACT2FLO!P61/1000</f>
        <v>2.973000064531424E-3</v>
      </c>
      <c r="AV16" s="375">
        <f>S16*AF!P15*ACT2FLO!Q61/1000</f>
        <v>5.3356644674298738E-3</v>
      </c>
      <c r="AW16" s="375">
        <f>T16*AF!Q15*ACT2FLO!R61/1000</f>
        <v>2.2474855893704604E-3</v>
      </c>
      <c r="AX16" s="375">
        <f>U16*AF!R15*ACT2FLO!S61/1000</f>
        <v>1.024186833812806E-2</v>
      </c>
      <c r="AY16" s="375">
        <f>V16*AF!S15*ACT2FLO!T61/1000</f>
        <v>2.014872040891963E-3</v>
      </c>
      <c r="AZ16" s="375">
        <f>W16*AF!T15*ACT2FLO!U61/1000</f>
        <v>2.5549294837650272E-3</v>
      </c>
      <c r="BA16" s="375">
        <f>X16*AF!U15*ACT2FLO!V61/1000</f>
        <v>1.9472182704007121E-3</v>
      </c>
      <c r="BB16" s="375">
        <f>Y16*AF!V15*ACT2FLO!W61/1000</f>
        <v>2.0800132639787671E-3</v>
      </c>
      <c r="BC16" s="375">
        <f>Z16*AF!W15*ACT2FLO!X61/1000</f>
        <v>4.7390284555995331E-3</v>
      </c>
      <c r="BD16" s="375">
        <f>AA16*AF!X15*ACT2FLO!Y61/1000</f>
        <v>3.5872582244579219E-4</v>
      </c>
      <c r="BE16" s="375">
        <f>AB16*AF!Y15*ACT2FLO!Z61/1000</f>
        <v>1.2280418601887352E-3</v>
      </c>
      <c r="BF16" s="375">
        <f>AC16*AF!Z15*ACT2FLO!AA61/1000</f>
        <v>6.3353793282452042E-4</v>
      </c>
      <c r="BG16" s="375">
        <f>AD16*AF!AA15*ACT2FLO!AB61/1000</f>
        <v>5.9935296481341551E-4</v>
      </c>
      <c r="BH16" s="375">
        <f>AE16*AF!AB15*ACT2FLO!AC61/1000</f>
        <v>7.3432331119175796E-4</v>
      </c>
      <c r="BI16" s="375">
        <f>AF16*AF!AC15*ACT2FLO!AD61/1000</f>
        <v>1.0884283739513423E-3</v>
      </c>
      <c r="BJ16" s="375">
        <f>AG16*AF!AD15*ACT2FLO!AE61/1000</f>
        <v>6.378662582522533E-4</v>
      </c>
      <c r="BM16" s="119" t="s">
        <v>1</v>
      </c>
      <c r="BN16" s="485"/>
      <c r="BO16" s="485"/>
      <c r="BP16" s="485"/>
      <c r="BQ16" s="485"/>
      <c r="BR16" s="485"/>
      <c r="BS16" s="485"/>
      <c r="BT16" s="485"/>
      <c r="BU16" s="485"/>
      <c r="BV16" s="485"/>
      <c r="BW16" s="485"/>
      <c r="BX16" s="485"/>
      <c r="BY16" s="485"/>
      <c r="BZ16" s="485"/>
      <c r="CA16" s="485"/>
      <c r="CB16" s="485"/>
      <c r="CC16" s="485"/>
      <c r="CD16" s="485"/>
      <c r="CE16" s="485"/>
      <c r="CF16" s="485"/>
      <c r="CG16" s="485"/>
      <c r="CH16" s="485"/>
      <c r="CI16" s="485"/>
      <c r="CJ16" s="485"/>
      <c r="CK16" s="485"/>
      <c r="CL16" s="485"/>
      <c r="CM16" s="485"/>
      <c r="CN16" s="485"/>
      <c r="CO16" s="429"/>
    </row>
    <row r="17" spans="1:94" ht="15.6">
      <c r="C17" s="531"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82"/>
      <c r="AK17" s="482"/>
      <c r="AL17" s="482"/>
      <c r="AM17" s="482"/>
      <c r="AN17" s="482"/>
      <c r="AO17" s="482"/>
      <c r="AP17" s="482"/>
      <c r="AQ17" s="482"/>
      <c r="AR17" s="482"/>
      <c r="AS17" s="482"/>
      <c r="AT17" s="482"/>
      <c r="AU17" s="482"/>
      <c r="AV17" s="482"/>
      <c r="AW17" s="482"/>
      <c r="AX17" s="482"/>
      <c r="AY17" s="482"/>
      <c r="AZ17" s="482"/>
      <c r="BA17" s="482"/>
      <c r="BB17" s="482"/>
      <c r="BC17" s="482"/>
      <c r="BD17" s="482"/>
      <c r="BE17" s="482"/>
      <c r="BF17" s="482"/>
      <c r="BG17" s="482"/>
      <c r="BH17" s="482"/>
      <c r="BI17" s="482"/>
      <c r="BJ17" s="482"/>
      <c r="BM17" s="429"/>
      <c r="BN17" s="429"/>
      <c r="BO17" s="429"/>
      <c r="BP17" s="429"/>
      <c r="BQ17" s="429"/>
      <c r="BR17" s="429"/>
      <c r="BS17" s="429"/>
      <c r="BT17" s="429"/>
      <c r="BU17" s="429"/>
      <c r="BV17" s="429"/>
      <c r="BW17" s="429"/>
      <c r="BX17" s="429"/>
      <c r="BY17" s="429"/>
      <c r="BZ17" s="429"/>
      <c r="CA17" s="429"/>
      <c r="CB17" s="429"/>
      <c r="CC17" s="429"/>
      <c r="CD17" s="429"/>
      <c r="CE17" s="429"/>
      <c r="CF17" s="429"/>
      <c r="CG17" s="429"/>
      <c r="CH17" s="429"/>
      <c r="CI17" s="429"/>
      <c r="CJ17" s="429"/>
      <c r="CK17" s="429"/>
      <c r="CL17" s="429"/>
      <c r="CM17" s="429"/>
      <c r="CN17" s="429"/>
      <c r="CO17" s="429"/>
    </row>
    <row r="18" spans="1:94">
      <c r="C18" s="190" t="str">
        <f>Processes!D21</f>
        <v>T-TAX-ICE_GSL00</v>
      </c>
      <c r="D18" s="28" t="s">
        <v>1130</v>
      </c>
      <c r="E18" s="429" t="str">
        <f>Commodities!C8&amp;","&amp;Commodities!C10</f>
        <v>TRAGSL,TRAETH</v>
      </c>
      <c r="F18" s="201" t="str">
        <f>Commodities!C19&amp;","&amp;Commodities!C20&amp;","&amp;Commodities!C21</f>
        <v>TRAPS,TRAPM,TRAPL</v>
      </c>
      <c r="G18" s="10">
        <f t="shared" si="3"/>
        <v>2.5000000000000004</v>
      </c>
      <c r="H18" s="375">
        <f>F195/1000</f>
        <v>0.01</v>
      </c>
      <c r="I18" s="375">
        <f>G195/1000</f>
        <v>1.579</v>
      </c>
      <c r="J18" s="375">
        <f>H195/1000</f>
        <v>7.0999999999999994E-2</v>
      </c>
      <c r="K18" s="375">
        <f>I195/1000</f>
        <v>0.01</v>
      </c>
      <c r="L18" s="375">
        <f>J195/1000</f>
        <v>1.2E-2</v>
      </c>
      <c r="M18" s="375">
        <f>K195/1000</f>
        <v>4.0000000000000001E-3</v>
      </c>
      <c r="N18" s="375">
        <f>L195/1000</f>
        <v>4.8000000000000001E-2</v>
      </c>
      <c r="O18" s="375">
        <f>M195/1000</f>
        <v>9.5000000000000001E-2</v>
      </c>
      <c r="P18" s="375">
        <f>N195/1000</f>
        <v>1.4E-2</v>
      </c>
      <c r="Q18" s="375">
        <f>O195/1000</f>
        <v>1.4E-2</v>
      </c>
      <c r="R18" s="375">
        <f>P195/1000</f>
        <v>1.7000000000000001E-2</v>
      </c>
      <c r="S18" s="375">
        <f>Q195/1000</f>
        <v>3.1E-2</v>
      </c>
      <c r="T18" s="375">
        <f>R195/1000</f>
        <v>4.3999999999999997E-2</v>
      </c>
      <c r="U18" s="375">
        <f>S195/1000</f>
        <v>0.16400000000000001</v>
      </c>
      <c r="V18" s="375">
        <f>T195/1000</f>
        <v>2.8000000000000001E-2</v>
      </c>
      <c r="W18" s="375">
        <f>U195/1000</f>
        <v>0.125</v>
      </c>
      <c r="X18" s="375">
        <f>V195/1000</f>
        <v>1.2E-2</v>
      </c>
      <c r="Y18" s="375">
        <f>W195/1000</f>
        <v>4.3999999999999997E-2</v>
      </c>
      <c r="Z18" s="375">
        <f>X195/1000</f>
        <v>0.115</v>
      </c>
      <c r="AA18" s="375">
        <f>Y195/1000</f>
        <v>0</v>
      </c>
      <c r="AB18" s="375">
        <f>Z195/1000</f>
        <v>0.02</v>
      </c>
      <c r="AC18" s="375">
        <f>AA195/1000</f>
        <v>3.0000000000000001E-3</v>
      </c>
      <c r="AD18" s="375">
        <f>AB195/1000</f>
        <v>1.2E-2</v>
      </c>
      <c r="AE18" s="375">
        <f>AC195/1000</f>
        <v>7.0000000000000001E-3</v>
      </c>
      <c r="AF18" s="375">
        <f>AD195/1000</f>
        <v>1.7000000000000001E-2</v>
      </c>
      <c r="AG18" s="375">
        <f>AE195/1000</f>
        <v>4.0000000000000001E-3</v>
      </c>
      <c r="AH18" s="193"/>
      <c r="AI18" s="84" t="str">
        <f t="shared" si="2"/>
        <v>T-TAX-ICE_GSL00</v>
      </c>
      <c r="AJ18" s="375">
        <f>G18*AF!D16*ACT2FLO!E62/1000</f>
        <v>0.132815135733613</v>
      </c>
      <c r="AK18" s="375">
        <f>H18*AF!E16*ACT2FLO!F62/1000</f>
        <v>3.3237540694107306E-4</v>
      </c>
      <c r="AL18" s="375">
        <f>I18*AF!F16*ACT2FLO!G62/1000</f>
        <v>8.3617468703171244E-2</v>
      </c>
      <c r="AM18" s="375">
        <f>J18*AF!G16*ACT2FLO!H62/1000</f>
        <v>4.3649617706759914E-3</v>
      </c>
      <c r="AN18" s="375">
        <f>K18*AF!H16*ACT2FLO!I62/1000</f>
        <v>6.1736452791703194E-4</v>
      </c>
      <c r="AO18" s="375">
        <f>L18*AF!I16*ACT2FLO!J62/1000</f>
        <v>5.7978970972605477E-4</v>
      </c>
      <c r="AP18" s="375">
        <f>M18*AF!J16*ACT2FLO!K62/1000</f>
        <v>2.4642659115686755E-4</v>
      </c>
      <c r="AQ18" s="375">
        <f>N18*AF!K16*ACT2FLO!L62/1000</f>
        <v>2.5945961021110134E-3</v>
      </c>
      <c r="AR18" s="375">
        <f>O18*AF!L16*ACT2FLO!M62/1000</f>
        <v>5.9026661463937435E-3</v>
      </c>
      <c r="AS18" s="375">
        <f>P18*AF!M16*ACT2FLO!N62/1000</f>
        <v>5.6496209921215966E-4</v>
      </c>
      <c r="AT18" s="375">
        <f>Q18*AF!N16*ACT2FLO!O62/1000</f>
        <v>9.3213419888869852E-4</v>
      </c>
      <c r="AU18" s="375">
        <f>R18*AF!O16*ACT2FLO!P62/1000</f>
        <v>8.2986576106776713E-4</v>
      </c>
      <c r="AV18" s="375">
        <f>S18*AF!P16*ACT2FLO!Q62/1000</f>
        <v>1.4344243540843401E-3</v>
      </c>
      <c r="AW18" s="375">
        <f>T18*AF!Q16*ACT2FLO!R62/1000</f>
        <v>2.4722571252849585E-3</v>
      </c>
      <c r="AX18" s="375">
        <f>U18*AF!R16*ACT2FLO!S62/1000</f>
        <v>8.3549362853188591E-3</v>
      </c>
      <c r="AY18" s="375">
        <f>V18*AF!S16*ACT2FLO!T62/1000</f>
        <v>1.2959850809154151E-3</v>
      </c>
      <c r="AZ18" s="375">
        <f>W18*AF!T16*ACT2FLO!U62/1000</f>
        <v>6.9264769933027968E-3</v>
      </c>
      <c r="BA18" s="375">
        <f>X18*AF!U16*ACT2FLO!V62/1000</f>
        <v>6.0336945983287672E-4</v>
      </c>
      <c r="BB18" s="375">
        <f>Y18*AF!V16*ACT2FLO!W62/1000</f>
        <v>1.9632842504785568E-3</v>
      </c>
      <c r="BC18" s="375">
        <f>Z18*AF!W16*ACT2FLO!X62/1000</f>
        <v>6.2833081260984004E-3</v>
      </c>
      <c r="BD18" s="375">
        <f>AA18*AF!X16*ACT2FLO!Y62/1000</f>
        <v>0</v>
      </c>
      <c r="BE18" s="375">
        <f>AB18*AF!Y16*ACT2FLO!Z62/1000</f>
        <v>9.6956876799652951E-4</v>
      </c>
      <c r="BF18" s="375">
        <f>AC18*AF!Z16*ACT2FLO!AA62/1000</f>
        <v>1.0939428485397259E-4</v>
      </c>
      <c r="BG18" s="375">
        <f>AD18*AF!AA16*ACT2FLO!AB62/1000</f>
        <v>4.9048386801547937E-4</v>
      </c>
      <c r="BH18" s="375">
        <f>AE18*AF!AB16*ACT2FLO!AC62/1000</f>
        <v>3.7466050550962778E-4</v>
      </c>
      <c r="BI18" s="375">
        <f>AF18*AF!AC16*ACT2FLO!AD62/1000</f>
        <v>8.8252183173152029E-4</v>
      </c>
      <c r="BJ18" s="375">
        <f>AG18*AF!AD16*ACT2FLO!AE62/1000</f>
        <v>8.3105041821689501E-5</v>
      </c>
      <c r="BM18" s="429"/>
      <c r="BN18" s="429"/>
      <c r="BO18" s="429"/>
      <c r="BP18" s="429"/>
      <c r="BQ18" s="429"/>
      <c r="BR18" s="429"/>
      <c r="BS18" s="429"/>
      <c r="BT18" s="429"/>
      <c r="BU18" s="429"/>
      <c r="BV18" s="429"/>
      <c r="BW18" s="429"/>
      <c r="BX18" s="429"/>
      <c r="BY18" s="429"/>
      <c r="BZ18" s="429"/>
      <c r="CA18" s="429"/>
      <c r="CB18" s="429"/>
      <c r="CC18" s="429"/>
      <c r="CD18" s="429"/>
      <c r="CE18" s="429"/>
      <c r="CF18" s="429"/>
      <c r="CG18" s="429"/>
      <c r="CH18" s="429"/>
      <c r="CI18" s="429"/>
      <c r="CJ18" s="429"/>
      <c r="CK18" s="429"/>
      <c r="CL18" s="429"/>
      <c r="CM18" s="429"/>
      <c r="CN18" s="429"/>
      <c r="CO18" s="429"/>
    </row>
    <row r="19" spans="1:94" ht="15.6">
      <c r="C19" s="190" t="str">
        <f>Processes!D22</f>
        <v>T-TAX-ICE_DST00</v>
      </c>
      <c r="D19" s="28" t="s">
        <v>1130</v>
      </c>
      <c r="E19" s="429" t="str">
        <f>Commodities!C9&amp;","&amp;Commodities!C11</f>
        <v>TRADST,TRABDL</v>
      </c>
      <c r="F19" s="201" t="str">
        <f>Commodities!C19&amp;","&amp;Commodities!C20&amp;","&amp;Commodities!C21</f>
        <v>TRAPS,TRAPM,TRAPL</v>
      </c>
      <c r="G19" s="10">
        <f t="shared" si="3"/>
        <v>17.463000000000001</v>
      </c>
      <c r="H19" s="375">
        <f>F196/1000</f>
        <v>0.14699999999999999</v>
      </c>
      <c r="I19" s="375">
        <f>G196/1000</f>
        <v>8.5139999999999993</v>
      </c>
      <c r="J19" s="375">
        <f>H196/1000</f>
        <v>0.71499999999999997</v>
      </c>
      <c r="K19" s="375">
        <f>I196/1000</f>
        <v>0.20399999999999999</v>
      </c>
      <c r="L19" s="375">
        <f>J196/1000</f>
        <v>0.2</v>
      </c>
      <c r="M19" s="375">
        <f>K196/1000</f>
        <v>8.3000000000000004E-2</v>
      </c>
      <c r="N19" s="375">
        <f>L196/1000</f>
        <v>0.50800000000000001</v>
      </c>
      <c r="O19" s="375">
        <f>M196/1000</f>
        <v>0.83199999999999996</v>
      </c>
      <c r="P19" s="375">
        <f>N196/1000</f>
        <v>0.15</v>
      </c>
      <c r="Q19" s="375">
        <f>O196/1000</f>
        <v>0.25900000000000001</v>
      </c>
      <c r="R19" s="375">
        <f>P196/1000</f>
        <v>0.25</v>
      </c>
      <c r="S19" s="375">
        <f>Q196/1000</f>
        <v>0.315</v>
      </c>
      <c r="T19" s="375">
        <f>R196/1000</f>
        <v>0.30099999999999999</v>
      </c>
      <c r="U19" s="375">
        <f>S196/1000</f>
        <v>1.538</v>
      </c>
      <c r="V19" s="375">
        <f>T196/1000</f>
        <v>0.436</v>
      </c>
      <c r="W19" s="375">
        <f>U196/1000</f>
        <v>0.48699999999999999</v>
      </c>
      <c r="X19" s="375">
        <f>V196/1000</f>
        <v>0.24099999999999999</v>
      </c>
      <c r="Y19" s="375">
        <f>W196/1000</f>
        <v>0.26200000000000001</v>
      </c>
      <c r="Z19" s="375">
        <f>X196/1000</f>
        <v>0.82199999999999995</v>
      </c>
      <c r="AA19" s="375">
        <f>Y196/1000</f>
        <v>6.5000000000000002E-2</v>
      </c>
      <c r="AB19" s="375">
        <f>Z196/1000</f>
        <v>0.27</v>
      </c>
      <c r="AC19" s="375">
        <f>AA196/1000</f>
        <v>0.129</v>
      </c>
      <c r="AD19" s="375">
        <f>AB196/1000</f>
        <v>0.155</v>
      </c>
      <c r="AE19" s="375">
        <f>AC196/1000</f>
        <v>0.157</v>
      </c>
      <c r="AF19" s="375">
        <f>AD196/1000</f>
        <v>0.34799999999999998</v>
      </c>
      <c r="AG19" s="375">
        <f>AE196/1000</f>
        <v>7.4999999999999997E-2</v>
      </c>
      <c r="AH19" s="193"/>
      <c r="AI19" s="84" t="str">
        <f t="shared" si="2"/>
        <v>T-TAX-ICE_DST00</v>
      </c>
      <c r="AJ19" s="375">
        <f>G19*AF!D17*ACT2FLO!E63/1000</f>
        <v>1.0402457641362053</v>
      </c>
      <c r="AK19" s="375">
        <f>H19*AF!E17*ACT2FLO!F63/1000</f>
        <v>8.0437698221748274E-3</v>
      </c>
      <c r="AL19" s="375">
        <f>I19*AF!F17*ACT2FLO!G63/1000</f>
        <v>0.49445103116594963</v>
      </c>
      <c r="AM19" s="375">
        <f>J19*AF!G17*ACT2FLO!H63/1000</f>
        <v>4.5102739949248384E-2</v>
      </c>
      <c r="AN19" s="375">
        <f>K19*AF!H17*ACT2FLO!I63/1000</f>
        <v>1.2695591696276407E-2</v>
      </c>
      <c r="AO19" s="375">
        <f>L19*AF!I17*ACT2FLO!J63/1000</f>
        <v>1.2450836158025114E-2</v>
      </c>
      <c r="AP19" s="375">
        <f>M19*AF!J17*ACT2FLO!K63/1000</f>
        <v>5.6404018529220244E-3</v>
      </c>
      <c r="AQ19" s="375">
        <f>N19*AF!K17*ACT2FLO!L63/1000</f>
        <v>3.2373970392738781E-2</v>
      </c>
      <c r="AR19" s="375">
        <f>O19*AF!L17*ACT2FLO!M63/1000</f>
        <v>5.3831298300056986E-2</v>
      </c>
      <c r="AS19" s="375">
        <f>P19*AF!M17*ACT2FLO!N63/1000</f>
        <v>8.661798295219519E-3</v>
      </c>
      <c r="AT19" s="375">
        <f>Q19*AF!N17*ACT2FLO!O63/1000</f>
        <v>1.6194549694790145E-2</v>
      </c>
      <c r="AU19" s="375">
        <f>R19*AF!O17*ACT2FLO!P63/1000</f>
        <v>1.449638395582648E-2</v>
      </c>
      <c r="AV19" s="375">
        <f>S19*AF!P17*ACT2FLO!Q63/1000</f>
        <v>1.8335001361535753E-2</v>
      </c>
      <c r="AW19" s="375">
        <f>T19*AF!Q17*ACT2FLO!R63/1000</f>
        <v>1.7965615116759329E-2</v>
      </c>
      <c r="AX19" s="375">
        <f>U19*AF!R17*ACT2FLO!S63/1000</f>
        <v>9.2628414106859971E-2</v>
      </c>
      <c r="AY19" s="375">
        <f>V19*AF!S17*ACT2FLO!T63/1000</f>
        <v>2.5511326128417264E-2</v>
      </c>
      <c r="AZ19" s="375">
        <f>W19*AF!T17*ACT2FLO!U63/1000</f>
        <v>2.9254756182992957E-2</v>
      </c>
      <c r="BA19" s="375">
        <f>X19*AF!U17*ACT2FLO!V63/1000</f>
        <v>1.4494459260962029E-2</v>
      </c>
      <c r="BB19" s="375">
        <f>Y19*AF!V17*ACT2FLO!W63/1000</f>
        <v>1.5522526816745721E-2</v>
      </c>
      <c r="BC19" s="375">
        <f>Z19*AF!W17*ACT2FLO!X63/1000</f>
        <v>4.9907257266619529E-2</v>
      </c>
      <c r="BD19" s="375">
        <f>AA19*AF!X17*ACT2FLO!Y63/1000</f>
        <v>4.1674567453412322E-3</v>
      </c>
      <c r="BE19" s="375">
        <f>AB19*AF!Y17*ACT2FLO!Z63/1000</f>
        <v>1.545668733226623E-2</v>
      </c>
      <c r="BF19" s="375">
        <f>AC19*AF!Z17*ACT2FLO!AA63/1000</f>
        <v>7.5392222535451432E-3</v>
      </c>
      <c r="BG19" s="375">
        <f>AD19*AF!AA17*ACT2FLO!AB63/1000</f>
        <v>9.3334944227404428E-3</v>
      </c>
      <c r="BH19" s="375">
        <f>AE19*AF!AB17*ACT2FLO!AC63/1000</f>
        <v>1.0315014203034848E-2</v>
      </c>
      <c r="BI19" s="375">
        <f>AF19*AF!AC17*ACT2FLO!AD63/1000</f>
        <v>2.1112004824381993E-2</v>
      </c>
      <c r="BJ19" s="375">
        <f>AG19*AF!AD17*ACT2FLO!AE63/1000</f>
        <v>4.7557867290239711E-3</v>
      </c>
      <c r="BM19" s="429" t="s">
        <v>1028</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29"/>
    </row>
    <row r="20" spans="1:94">
      <c r="C20" s="190" t="str">
        <f>Processes!D23</f>
        <v>T-TAX-HEV_GSL00</v>
      </c>
      <c r="D20" s="28" t="s">
        <v>1130</v>
      </c>
      <c r="E20" s="429" t="str">
        <f>Commodities!C8&amp;","&amp;Commodities!C10</f>
        <v>TRAGSL,TRAETH</v>
      </c>
      <c r="F20" s="201" t="str">
        <f>Commodities!C19&amp;","&amp;Commodities!C20&amp;","&amp;Commodities!C21</f>
        <v>TRAPS,TRAPM,TRAPL</v>
      </c>
      <c r="G20" s="10">
        <f t="shared" si="3"/>
        <v>1.3499999999999988</v>
      </c>
      <c r="H20" s="375">
        <f>F197/1000</f>
        <v>4.0000000000000001E-3</v>
      </c>
      <c r="I20" s="375">
        <f>G197/1000</f>
        <v>1.0549999999999999</v>
      </c>
      <c r="J20" s="375">
        <f>H197/1000</f>
        <v>3.6999999999999998E-2</v>
      </c>
      <c r="K20" s="375">
        <f>I197/1000</f>
        <v>1E-3</v>
      </c>
      <c r="L20" s="375">
        <f>J197/1000</f>
        <v>1.6E-2</v>
      </c>
      <c r="M20" s="375">
        <f>K197/1000</f>
        <v>0</v>
      </c>
      <c r="N20" s="375">
        <f>L197/1000</f>
        <v>2.5000000000000001E-2</v>
      </c>
      <c r="O20" s="375">
        <f>M197/1000</f>
        <v>5.0999999999999997E-2</v>
      </c>
      <c r="P20" s="375">
        <f>N197/1000</f>
        <v>3.0000000000000001E-3</v>
      </c>
      <c r="Q20" s="375">
        <f>O197/1000</f>
        <v>6.0000000000000001E-3</v>
      </c>
      <c r="R20" s="375">
        <f>P197/1000</f>
        <v>3.0000000000000001E-3</v>
      </c>
      <c r="S20" s="375">
        <f>Q197/1000</f>
        <v>1.2999999999999999E-2</v>
      </c>
      <c r="T20" s="375">
        <f>R197/1000</f>
        <v>7.0000000000000001E-3</v>
      </c>
      <c r="U20" s="375">
        <f>S197/1000</f>
        <v>4.9000000000000002E-2</v>
      </c>
      <c r="V20" s="375">
        <f>T197/1000</f>
        <v>4.0000000000000001E-3</v>
      </c>
      <c r="W20" s="375">
        <f>U197/1000</f>
        <v>4.2000000000000003E-2</v>
      </c>
      <c r="X20" s="375">
        <f>V197/1000</f>
        <v>3.0000000000000001E-3</v>
      </c>
      <c r="Y20" s="375">
        <f>W197/1000</f>
        <v>1E-3</v>
      </c>
      <c r="Z20" s="375">
        <f>X197/1000</f>
        <v>2.4E-2</v>
      </c>
      <c r="AA20" s="375">
        <f>Y197/1000</f>
        <v>0</v>
      </c>
      <c r="AB20" s="375">
        <f>Z197/1000</f>
        <v>2E-3</v>
      </c>
      <c r="AC20" s="375">
        <f>AA197/1000</f>
        <v>0</v>
      </c>
      <c r="AD20" s="375">
        <f>AB197/1000</f>
        <v>2E-3</v>
      </c>
      <c r="AE20" s="375">
        <f>AC197/1000</f>
        <v>1E-3</v>
      </c>
      <c r="AF20" s="375">
        <f>AD197/1000</f>
        <v>1E-3</v>
      </c>
      <c r="AG20" s="375">
        <f>AE197/1000</f>
        <v>0</v>
      </c>
      <c r="AH20" s="193"/>
      <c r="AI20" s="84" t="str">
        <f t="shared" si="2"/>
        <v>T-TAX-HEV_GSL00</v>
      </c>
      <c r="AJ20" s="375">
        <f>G20*AF!D18*ACT2FLO!E64/1000</f>
        <v>8.300783727097695E-2</v>
      </c>
      <c r="AK20" s="375">
        <f>H20*AF!E18*ACT2FLO!F64/1000</f>
        <v>2.757714737879086E-4</v>
      </c>
      <c r="AL20" s="375">
        <f>I20*AF!F18*ACT2FLO!G64/1000</f>
        <v>6.3488626363770298E-2</v>
      </c>
      <c r="AM20" s="375">
        <f>J20*AF!G18*ACT2FLO!H64/1000</f>
        <v>2.5930071098391977E-3</v>
      </c>
      <c r="AN20" s="375">
        <f>K20*AF!H18*ACT2FLO!I64/1000</f>
        <v>6.3337381155700908E-5</v>
      </c>
      <c r="AO20" s="375">
        <f>L20*AF!I18*ACT2FLO!J64/1000</f>
        <v>9.6935391833724192E-4</v>
      </c>
      <c r="AP20" s="375">
        <f>M20*AF!J18*ACT2FLO!K64/1000</f>
        <v>0</v>
      </c>
      <c r="AQ20" s="375">
        <f>N20*AF!K18*ACT2FLO!L64/1000</f>
        <v>1.5758252701260844E-3</v>
      </c>
      <c r="AR20" s="375">
        <f>O20*AF!L18*ACT2FLO!M64/1000</f>
        <v>3.5990272113500129E-3</v>
      </c>
      <c r="AS20" s="375">
        <f>P20*AF!M18*ACT2FLO!N64/1000</f>
        <v>1.7797161047785614E-4</v>
      </c>
      <c r="AT20" s="375">
        <f>Q20*AF!N18*ACT2FLO!O64/1000</f>
        <v>4.403522808483561E-4</v>
      </c>
      <c r="AU20" s="375">
        <f>R20*AF!O18*ACT2FLO!P64/1000</f>
        <v>1.8358455782674653E-4</v>
      </c>
      <c r="AV20" s="375">
        <f>S20*AF!P18*ACT2FLO!Q64/1000</f>
        <v>7.7574901112316191E-4</v>
      </c>
      <c r="AW20" s="375">
        <f>T20*AF!Q18*ACT2FLO!R64/1000</f>
        <v>3.905772844351894E-4</v>
      </c>
      <c r="AX20" s="375">
        <f>U20*AF!R18*ACT2FLO!S64/1000</f>
        <v>3.3137919084727874E-3</v>
      </c>
      <c r="AY20" s="375">
        <f>V20*AF!S18*ACT2FLO!T64/1000</f>
        <v>2.1424091858635616E-4</v>
      </c>
      <c r="AZ20" s="375">
        <f>W20*AF!T18*ACT2FLO!U64/1000</f>
        <v>2.8440902689588219E-3</v>
      </c>
      <c r="BA20" s="375">
        <f>X20*AF!U18*ACT2FLO!V64/1000</f>
        <v>1.7015645412126712E-4</v>
      </c>
      <c r="BB20" s="375">
        <f>Y20*AF!V18*ACT2FLO!W64/1000</f>
        <v>8.979522149006391E-5</v>
      </c>
      <c r="BC20" s="375">
        <f>Z20*AF!W18*ACT2FLO!X64/1000</f>
        <v>1.454532193377534E-3</v>
      </c>
      <c r="BD20" s="375">
        <f>AA20*AF!X18*ACT2FLO!Y64/1000</f>
        <v>0</v>
      </c>
      <c r="BE20" s="375">
        <f>AB20*AF!Y18*ACT2FLO!Z64/1000</f>
        <v>1.6365277589324657E-4</v>
      </c>
      <c r="BF20" s="375">
        <f>AC20*AF!Z18*ACT2FLO!AA64/1000</f>
        <v>0</v>
      </c>
      <c r="BG20" s="375">
        <f>AD20*AF!AA18*ACT2FLO!AB64/1000</f>
        <v>7.6865449633210022E-5</v>
      </c>
      <c r="BH20" s="375">
        <f>AE20*AF!AB18*ACT2FLO!AC64/1000</f>
        <v>6.39670100183356E-5</v>
      </c>
      <c r="BI20" s="375">
        <f>AF20*AF!AC18*ACT2FLO!AD64/1000</f>
        <v>8.8034647893123284E-5</v>
      </c>
      <c r="BJ20" s="375">
        <f>AG20*AF!AD18*ACT2FLO!AE64/1000</f>
        <v>0</v>
      </c>
      <c r="BM20" s="431" t="str">
        <f>BM12</f>
        <v>Technology</v>
      </c>
      <c r="BN20" s="497" t="str">
        <f t="shared" ref="BN20:CN20" si="6">BN12</f>
        <v>IE</v>
      </c>
      <c r="BO20" s="497" t="str">
        <f t="shared" si="6"/>
        <v>IE-CW</v>
      </c>
      <c r="BP20" s="497" t="str">
        <f t="shared" si="6"/>
        <v>IE-D</v>
      </c>
      <c r="BQ20" s="497" t="str">
        <f t="shared" si="6"/>
        <v>IE-KE</v>
      </c>
      <c r="BR20" s="497" t="str">
        <f t="shared" si="6"/>
        <v>IE-KK</v>
      </c>
      <c r="BS20" s="497" t="str">
        <f t="shared" si="6"/>
        <v>IE-LS</v>
      </c>
      <c r="BT20" s="497" t="str">
        <f t="shared" si="6"/>
        <v>IE-LD</v>
      </c>
      <c r="BU20" s="497" t="str">
        <f t="shared" si="6"/>
        <v>IE-LH</v>
      </c>
      <c r="BV20" s="497" t="str">
        <f t="shared" si="6"/>
        <v>IE-MH</v>
      </c>
      <c r="BW20" s="497" t="str">
        <f t="shared" si="6"/>
        <v>IE-OY</v>
      </c>
      <c r="BX20" s="497" t="str">
        <f t="shared" si="6"/>
        <v>IE-WH</v>
      </c>
      <c r="BY20" s="497" t="str">
        <f t="shared" si="6"/>
        <v>IE-WX</v>
      </c>
      <c r="BZ20" s="497" t="str">
        <f t="shared" si="6"/>
        <v>IE-WW</v>
      </c>
      <c r="CA20" s="497" t="str">
        <f t="shared" si="6"/>
        <v>IE-CE</v>
      </c>
      <c r="CB20" s="497" t="str">
        <f t="shared" si="6"/>
        <v>IE-CO</v>
      </c>
      <c r="CC20" s="497" t="str">
        <f t="shared" si="6"/>
        <v>IE-KY</v>
      </c>
      <c r="CD20" s="497" t="str">
        <f t="shared" si="6"/>
        <v>IE-LK</v>
      </c>
      <c r="CE20" s="497" t="str">
        <f t="shared" si="6"/>
        <v>IE-TA</v>
      </c>
      <c r="CF20" s="497" t="str">
        <f t="shared" si="6"/>
        <v>IE-WD</v>
      </c>
      <c r="CG20" s="497" t="str">
        <f t="shared" si="6"/>
        <v>IE-G</v>
      </c>
      <c r="CH20" s="497" t="str">
        <f t="shared" si="6"/>
        <v>IE-LM</v>
      </c>
      <c r="CI20" s="497" t="str">
        <f t="shared" si="6"/>
        <v>IE-MO</v>
      </c>
      <c r="CJ20" s="497" t="str">
        <f t="shared" si="6"/>
        <v>IE-RN</v>
      </c>
      <c r="CK20" s="497" t="str">
        <f t="shared" si="6"/>
        <v>IE-SO</v>
      </c>
      <c r="CL20" s="497" t="str">
        <f t="shared" si="6"/>
        <v>IE-CN</v>
      </c>
      <c r="CM20" s="497" t="str">
        <f t="shared" si="6"/>
        <v>IE-DL</v>
      </c>
      <c r="CN20" s="497" t="str">
        <f t="shared" si="6"/>
        <v>IE-MN</v>
      </c>
      <c r="CO20" s="429"/>
    </row>
    <row r="21" spans="1:94" ht="15.6">
      <c r="C21" s="531"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82"/>
      <c r="AK21" s="482"/>
      <c r="AL21" s="482"/>
      <c r="AM21" s="482"/>
      <c r="AN21" s="482"/>
      <c r="AO21" s="482"/>
      <c r="AP21" s="482"/>
      <c r="AQ21" s="482"/>
      <c r="AR21" s="482"/>
      <c r="AS21" s="482"/>
      <c r="AT21" s="482"/>
      <c r="AU21" s="482"/>
      <c r="AV21" s="482"/>
      <c r="AW21" s="482"/>
      <c r="AX21" s="482"/>
      <c r="AY21" s="482"/>
      <c r="AZ21" s="482"/>
      <c r="BA21" s="482"/>
      <c r="BB21" s="482"/>
      <c r="BC21" s="482"/>
      <c r="BD21" s="482"/>
      <c r="BE21" s="482"/>
      <c r="BF21" s="482"/>
      <c r="BG21" s="482"/>
      <c r="BH21" s="482"/>
      <c r="BI21" s="482"/>
      <c r="BJ21" s="482"/>
      <c r="BM21" s="493" t="s">
        <v>1039</v>
      </c>
      <c r="BN21" s="498">
        <f>BN6+BN7-BN29</f>
        <v>-1.5195145150609974</v>
      </c>
      <c r="BO21" s="498">
        <f t="shared" ref="BO21:CN21" si="7">BO6+BO7-BO29</f>
        <v>-3.1517603070495281E-3</v>
      </c>
      <c r="BP21" s="498">
        <f t="shared" si="7"/>
        <v>-0.89141106513013479</v>
      </c>
      <c r="BQ21" s="498">
        <f t="shared" si="7"/>
        <v>7.5590908462153772E-2</v>
      </c>
      <c r="BR21" s="498">
        <f t="shared" si="7"/>
        <v>7.9435948417108326E-2</v>
      </c>
      <c r="BS21" s="498">
        <f t="shared" si="7"/>
        <v>-1.9813840353940793E-3</v>
      </c>
      <c r="BT21" s="498">
        <f t="shared" si="7"/>
        <v>2.3205843333812412E-2</v>
      </c>
      <c r="BU21" s="498">
        <f t="shared" si="7"/>
        <v>1.3411024677606964E-2</v>
      </c>
      <c r="BV21" s="498">
        <f t="shared" si="7"/>
        <v>0.22510600347225351</v>
      </c>
      <c r="BW21" s="498">
        <f t="shared" si="7"/>
        <v>-5.7616871544297288E-2</v>
      </c>
      <c r="BX21" s="498">
        <f t="shared" si="7"/>
        <v>-9.1507771521531861E-2</v>
      </c>
      <c r="BY21" s="498">
        <f t="shared" si="7"/>
        <v>0.25555009028773518</v>
      </c>
      <c r="BZ21" s="498">
        <f t="shared" si="7"/>
        <v>-0.13203498340608325</v>
      </c>
      <c r="CA21" s="498">
        <f t="shared" si="7"/>
        <v>-0.12662200471541449</v>
      </c>
      <c r="CB21" s="498">
        <f t="shared" si="7"/>
        <v>-0.42301619523358491</v>
      </c>
      <c r="CC21" s="498">
        <f t="shared" si="7"/>
        <v>-0.21523189781081187</v>
      </c>
      <c r="CD21" s="498">
        <f t="shared" si="7"/>
        <v>-2.9204805378824084E-2</v>
      </c>
      <c r="CE21" s="498">
        <f t="shared" si="7"/>
        <v>2.9993218923668685E-2</v>
      </c>
      <c r="CF21" s="498">
        <f t="shared" si="7"/>
        <v>-0.2144988963545004</v>
      </c>
      <c r="CG21" s="498">
        <f t="shared" si="7"/>
        <v>-0.20497432659651604</v>
      </c>
      <c r="CH21" s="498">
        <f t="shared" si="7"/>
        <v>-1.5688754406707694E-2</v>
      </c>
      <c r="CI21" s="498">
        <f t="shared" si="7"/>
        <v>-0.14657533529183372</v>
      </c>
      <c r="CJ21" s="498">
        <f t="shared" si="7"/>
        <v>-5.9512522965203818E-3</v>
      </c>
      <c r="CK21" s="498">
        <f t="shared" si="7"/>
        <v>-6.552319193415472E-2</v>
      </c>
      <c r="CL21" s="498">
        <f t="shared" si="7"/>
        <v>8.4078673678353033E-2</v>
      </c>
      <c r="CM21" s="498">
        <f t="shared" si="7"/>
        <v>-8.8464060033277281E-2</v>
      </c>
      <c r="CN21" s="498">
        <f t="shared" si="7"/>
        <v>0.3875006220799444</v>
      </c>
      <c r="CO21" s="429"/>
      <c r="CP21" s="429"/>
    </row>
    <row r="22" spans="1:94">
      <c r="C22" s="190" t="str">
        <f>Processes!D25</f>
        <v>T-BUS-ICE_DST00</v>
      </c>
      <c r="D22" s="28" t="s">
        <v>1130</v>
      </c>
      <c r="E22" s="429" t="str">
        <f>Commodities!C9&amp;","&amp;Commodities!C11</f>
        <v>TRADST,TRABDL</v>
      </c>
      <c r="F22" s="201" t="str">
        <f>Commodities!C19&amp;","&amp;Commodities!C20&amp;","&amp;Commodities!C21</f>
        <v>TRAPS,TRAPM,TRAPL</v>
      </c>
      <c r="G22" s="10">
        <f>SUM(H22:AG22)</f>
        <v>10.695000000000004</v>
      </c>
      <c r="H22" s="375">
        <f>F198/1000</f>
        <v>0.14899999999999999</v>
      </c>
      <c r="I22" s="375">
        <f>G198/1000</f>
        <v>3.0659999999999998</v>
      </c>
      <c r="J22" s="375">
        <f>H198/1000</f>
        <v>0.501</v>
      </c>
      <c r="K22" s="375">
        <f>I198/1000</f>
        <v>0.29499999999999998</v>
      </c>
      <c r="L22" s="375">
        <f>J198/1000</f>
        <v>0.19800000000000001</v>
      </c>
      <c r="M22" s="375">
        <f>K198/1000</f>
        <v>0.105</v>
      </c>
      <c r="N22" s="375">
        <f>L198/1000</f>
        <v>0.23</v>
      </c>
      <c r="O22" s="375">
        <f>M198/1000</f>
        <v>0.376</v>
      </c>
      <c r="P22" s="375">
        <f>N198/1000</f>
        <v>0.21099999999999999</v>
      </c>
      <c r="Q22" s="375">
        <f>O198/1000</f>
        <v>0.16</v>
      </c>
      <c r="R22" s="375">
        <f>P198/1000</f>
        <v>0.28899999999999998</v>
      </c>
      <c r="S22" s="375">
        <f>Q198/1000</f>
        <v>0.251</v>
      </c>
      <c r="T22" s="375">
        <f>R198/1000</f>
        <v>0.23799999999999999</v>
      </c>
      <c r="U22" s="375">
        <f>S198/1000</f>
        <v>0.89700000000000002</v>
      </c>
      <c r="V22" s="375">
        <f>T198/1000</f>
        <v>0.52400000000000002</v>
      </c>
      <c r="W22" s="375">
        <f>U198/1000</f>
        <v>0.314</v>
      </c>
      <c r="X22" s="375">
        <f>V198/1000</f>
        <v>0.39100000000000001</v>
      </c>
      <c r="Y22" s="375">
        <f>W198/1000</f>
        <v>0.17899999999999999</v>
      </c>
      <c r="Z22" s="375">
        <f>X198/1000</f>
        <v>0.59599999999999997</v>
      </c>
      <c r="AA22" s="375">
        <f>Y198/1000</f>
        <v>9.9000000000000005E-2</v>
      </c>
      <c r="AB22" s="375">
        <f>Z198/1000</f>
        <v>0.34100000000000003</v>
      </c>
      <c r="AC22" s="375">
        <f>AA198/1000</f>
        <v>0.126</v>
      </c>
      <c r="AD22" s="375">
        <f>AB198/1000</f>
        <v>0.11899999999999999</v>
      </c>
      <c r="AE22" s="375">
        <f>AC198/1000</f>
        <v>0.19400000000000001</v>
      </c>
      <c r="AF22" s="375">
        <f>AD198/1000</f>
        <v>0.625</v>
      </c>
      <c r="AG22" s="375">
        <f>AE198/1000</f>
        <v>0.221</v>
      </c>
      <c r="AH22" s="193"/>
      <c r="AI22" s="84" t="str">
        <f t="shared" si="2"/>
        <v>T-BUS-ICE_DST00</v>
      </c>
      <c r="AJ22" s="375">
        <f>G22*AF!D19*ACT2FLO!E65/1000</f>
        <v>10.519481681250003</v>
      </c>
      <c r="AK22" s="375">
        <f>H22*AF!E19*ACT2FLO!F65/1000</f>
        <v>0.11808831099999999</v>
      </c>
      <c r="AL22" s="375">
        <f>I22*AF!F19*ACT2FLO!G65/1000</f>
        <v>3.5358560684999998</v>
      </c>
      <c r="AM22" s="375">
        <f>J22*AF!G19*ACT2FLO!H65/1000</f>
        <v>0.45269495775000002</v>
      </c>
      <c r="AN22" s="375">
        <f>K22*AF!H19*ACT2FLO!I65/1000</f>
        <v>0.29241756999999996</v>
      </c>
      <c r="AO22" s="375">
        <f>L22*AF!I19*ACT2FLO!J65/1000</f>
        <v>0.1493744175</v>
      </c>
      <c r="AP22" s="375">
        <f>M22*AF!J19*ACT2FLO!K65/1000</f>
        <v>8.4421181249999991E-2</v>
      </c>
      <c r="AQ22" s="375">
        <f>N22*AF!K19*ACT2FLO!L65/1000</f>
        <v>0.22892670500000004</v>
      </c>
      <c r="AR22" s="375">
        <f>O22*AF!L19*ACT2FLO!M65/1000</f>
        <v>0.30109920200000001</v>
      </c>
      <c r="AS22" s="375">
        <f>P22*AF!M19*ACT2FLO!N65/1000</f>
        <v>0.18289379775</v>
      </c>
      <c r="AT22" s="375">
        <f>Q22*AF!N19*ACT2FLO!O65/1000</f>
        <v>0.14101548000000003</v>
      </c>
      <c r="AU22" s="375">
        <f>R22*AF!O19*ACT2FLO!P65/1000</f>
        <v>0.26711272949999998</v>
      </c>
      <c r="AV22" s="375">
        <f>S22*AF!P19*ACT2FLO!Q65/1000</f>
        <v>0.24114906574999997</v>
      </c>
      <c r="AW22" s="375">
        <f>T22*AF!Q19*ACT2FLO!R65/1000</f>
        <v>0.20048626149999998</v>
      </c>
      <c r="AX22" s="375">
        <f>U22*AF!R19*ACT2FLO!S65/1000</f>
        <v>0.79161909450000012</v>
      </c>
      <c r="AY22" s="375">
        <f>V22*AF!S19*ACT2FLO!T65/1000</f>
        <v>0.49987923200000006</v>
      </c>
      <c r="AZ22" s="375">
        <f>W22*AF!T19*ACT2FLO!U65/1000</f>
        <v>0.29683354150000002</v>
      </c>
      <c r="BA22" s="375">
        <f>X22*AF!U19*ACT2FLO!V65/1000</f>
        <v>0.34555485200000002</v>
      </c>
      <c r="BB22" s="375">
        <f>Y22*AF!V19*ACT2FLO!W65/1000</f>
        <v>0.1514736485</v>
      </c>
      <c r="BC22" s="375">
        <f>Z22*AF!W19*ACT2FLO!X65/1000</f>
        <v>0.57002661799999998</v>
      </c>
      <c r="BD22" s="375">
        <f>AA22*AF!X19*ACT2FLO!Y65/1000</f>
        <v>5.9836094999999999E-2</v>
      </c>
      <c r="BE22" s="375">
        <f>AB22*AF!Y19*ACT2FLO!Z65/1000</f>
        <v>0.34838503700000001</v>
      </c>
      <c r="BF22" s="375">
        <f>AC22*AF!Z19*ACT2FLO!AA65/1000</f>
        <v>0.10867027499999998</v>
      </c>
      <c r="BG22" s="375">
        <f>AD22*AF!AA19*ACT2FLO!AB65/1000</f>
        <v>0.11319791700000001</v>
      </c>
      <c r="BH22" s="375">
        <f>AE22*AF!AB19*ACT2FLO!AC65/1000</f>
        <v>0.20658056049999998</v>
      </c>
      <c r="BI22" s="375">
        <f>AF22*AF!AC19*ACT2FLO!AD65/1000</f>
        <v>0.55923812499999992</v>
      </c>
      <c r="BJ22" s="375">
        <f>AG22*AF!AD19*ACT2FLO!AE65/1000</f>
        <v>0.27255499050000004</v>
      </c>
      <c r="BM22" s="2" t="s">
        <v>353</v>
      </c>
      <c r="BN22" s="499" t="e">
        <f>BN8-BN30</f>
        <v>#REF!</v>
      </c>
      <c r="BO22" s="499" t="e">
        <f t="shared" ref="BO22:CN22" si="8">BO8-BO30</f>
        <v>#REF!</v>
      </c>
      <c r="BP22" s="499" t="e">
        <f t="shared" si="8"/>
        <v>#REF!</v>
      </c>
      <c r="BQ22" s="499" t="e">
        <f t="shared" si="8"/>
        <v>#REF!</v>
      </c>
      <c r="BR22" s="499" t="e">
        <f t="shared" si="8"/>
        <v>#REF!</v>
      </c>
      <c r="BS22" s="499" t="e">
        <f t="shared" si="8"/>
        <v>#REF!</v>
      </c>
      <c r="BT22" s="499" t="e">
        <f t="shared" si="8"/>
        <v>#REF!</v>
      </c>
      <c r="BU22" s="499" t="e">
        <f t="shared" si="8"/>
        <v>#REF!</v>
      </c>
      <c r="BV22" s="499" t="e">
        <f t="shared" si="8"/>
        <v>#REF!</v>
      </c>
      <c r="BW22" s="499" t="e">
        <f t="shared" si="8"/>
        <v>#REF!</v>
      </c>
      <c r="BX22" s="499" t="e">
        <f t="shared" si="8"/>
        <v>#REF!</v>
      </c>
      <c r="BY22" s="499" t="e">
        <f t="shared" si="8"/>
        <v>#REF!</v>
      </c>
      <c r="BZ22" s="499" t="e">
        <f t="shared" si="8"/>
        <v>#REF!</v>
      </c>
      <c r="CA22" s="499" t="e">
        <f t="shared" si="8"/>
        <v>#REF!</v>
      </c>
      <c r="CB22" s="499" t="e">
        <f t="shared" si="8"/>
        <v>#REF!</v>
      </c>
      <c r="CC22" s="499" t="e">
        <f t="shared" si="8"/>
        <v>#REF!</v>
      </c>
      <c r="CD22" s="499" t="e">
        <f t="shared" si="8"/>
        <v>#REF!</v>
      </c>
      <c r="CE22" s="499" t="e">
        <f t="shared" si="8"/>
        <v>#REF!</v>
      </c>
      <c r="CF22" s="499" t="e">
        <f t="shared" si="8"/>
        <v>#REF!</v>
      </c>
      <c r="CG22" s="499" t="e">
        <f t="shared" si="8"/>
        <v>#REF!</v>
      </c>
      <c r="CH22" s="499" t="e">
        <f t="shared" si="8"/>
        <v>#REF!</v>
      </c>
      <c r="CI22" s="499" t="e">
        <f t="shared" si="8"/>
        <v>#REF!</v>
      </c>
      <c r="CJ22" s="499" t="e">
        <f t="shared" si="8"/>
        <v>#REF!</v>
      </c>
      <c r="CK22" s="499" t="e">
        <f t="shared" si="8"/>
        <v>#REF!</v>
      </c>
      <c r="CL22" s="499" t="e">
        <f t="shared" si="8"/>
        <v>#REF!</v>
      </c>
      <c r="CM22" s="499" t="e">
        <f t="shared" si="8"/>
        <v>#REF!</v>
      </c>
      <c r="CN22" s="499" t="e">
        <f t="shared" si="8"/>
        <v>#REF!</v>
      </c>
      <c r="CO22" s="429"/>
      <c r="CP22" s="429"/>
    </row>
    <row r="23" spans="1:94" ht="15.6">
      <c r="C23" s="531"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82"/>
      <c r="AK23" s="482"/>
      <c r="AL23" s="482"/>
      <c r="AM23" s="482"/>
      <c r="AN23" s="482"/>
      <c r="AO23" s="482"/>
      <c r="AP23" s="482"/>
      <c r="AQ23" s="482"/>
      <c r="AR23" s="482"/>
      <c r="AS23" s="482"/>
      <c r="AT23" s="482"/>
      <c r="AU23" s="482"/>
      <c r="AV23" s="482"/>
      <c r="AW23" s="482"/>
      <c r="AX23" s="482"/>
      <c r="AY23" s="482"/>
      <c r="AZ23" s="482"/>
      <c r="BA23" s="482"/>
      <c r="BB23" s="482"/>
      <c r="BC23" s="482"/>
      <c r="BD23" s="482"/>
      <c r="BE23" s="482"/>
      <c r="BF23" s="482"/>
      <c r="BG23" s="482"/>
      <c r="BH23" s="482"/>
      <c r="BI23" s="482"/>
      <c r="BJ23" s="482"/>
      <c r="BM23" s="119" t="s">
        <v>1</v>
      </c>
      <c r="BN23" s="500" t="e">
        <f>SUM(BN21:BN22)</f>
        <v>#REF!</v>
      </c>
      <c r="BO23" s="500" t="e">
        <f t="shared" ref="BO23" si="9">SUM(BO21:BO22)</f>
        <v>#REF!</v>
      </c>
      <c r="BP23" s="500" t="e">
        <f t="shared" ref="BP23" si="10">SUM(BP21:BP22)</f>
        <v>#REF!</v>
      </c>
      <c r="BQ23" s="500" t="e">
        <f t="shared" ref="BQ23" si="11">SUM(BQ21:BQ22)</f>
        <v>#REF!</v>
      </c>
      <c r="BR23" s="500" t="e">
        <f t="shared" ref="BR23" si="12">SUM(BR21:BR22)</f>
        <v>#REF!</v>
      </c>
      <c r="BS23" s="500" t="e">
        <f t="shared" ref="BS23" si="13">SUM(BS21:BS22)</f>
        <v>#REF!</v>
      </c>
      <c r="BT23" s="500" t="e">
        <f t="shared" ref="BT23" si="14">SUM(BT21:BT22)</f>
        <v>#REF!</v>
      </c>
      <c r="BU23" s="500" t="e">
        <f t="shared" ref="BU23" si="15">SUM(BU21:BU22)</f>
        <v>#REF!</v>
      </c>
      <c r="BV23" s="500" t="e">
        <f t="shared" ref="BV23" si="16">SUM(BV21:BV22)</f>
        <v>#REF!</v>
      </c>
      <c r="BW23" s="500" t="e">
        <f t="shared" ref="BW23" si="17">SUM(BW21:BW22)</f>
        <v>#REF!</v>
      </c>
      <c r="BX23" s="500" t="e">
        <f t="shared" ref="BX23" si="18">SUM(BX21:BX22)</f>
        <v>#REF!</v>
      </c>
      <c r="BY23" s="500" t="e">
        <f t="shared" ref="BY23" si="19">SUM(BY21:BY22)</f>
        <v>#REF!</v>
      </c>
      <c r="BZ23" s="500" t="e">
        <f t="shared" ref="BZ23" si="20">SUM(BZ21:BZ22)</f>
        <v>#REF!</v>
      </c>
      <c r="CA23" s="500" t="e">
        <f t="shared" ref="CA23" si="21">SUM(CA21:CA22)</f>
        <v>#REF!</v>
      </c>
      <c r="CB23" s="500" t="e">
        <f t="shared" ref="CB23" si="22">SUM(CB21:CB22)</f>
        <v>#REF!</v>
      </c>
      <c r="CC23" s="500" t="e">
        <f t="shared" ref="CC23" si="23">SUM(CC21:CC22)</f>
        <v>#REF!</v>
      </c>
      <c r="CD23" s="500" t="e">
        <f t="shared" ref="CD23" si="24">SUM(CD21:CD22)</f>
        <v>#REF!</v>
      </c>
      <c r="CE23" s="500" t="e">
        <f t="shared" ref="CE23" si="25">SUM(CE21:CE22)</f>
        <v>#REF!</v>
      </c>
      <c r="CF23" s="500" t="e">
        <f t="shared" ref="CF23" si="26">SUM(CF21:CF22)</f>
        <v>#REF!</v>
      </c>
      <c r="CG23" s="500" t="e">
        <f t="shared" ref="CG23" si="27">SUM(CG21:CG22)</f>
        <v>#REF!</v>
      </c>
      <c r="CH23" s="500" t="e">
        <f t="shared" ref="CH23" si="28">SUM(CH21:CH22)</f>
        <v>#REF!</v>
      </c>
      <c r="CI23" s="500" t="e">
        <f t="shared" ref="CI23" si="29">SUM(CI21:CI22)</f>
        <v>#REF!</v>
      </c>
      <c r="CJ23" s="500" t="e">
        <f t="shared" ref="CJ23" si="30">SUM(CJ21:CJ22)</f>
        <v>#REF!</v>
      </c>
      <c r="CK23" s="500" t="e">
        <f t="shared" ref="CK23" si="31">SUM(CK21:CK22)</f>
        <v>#REF!</v>
      </c>
      <c r="CL23" s="500" t="e">
        <f t="shared" ref="CL23" si="32">SUM(CL21:CL22)</f>
        <v>#REF!</v>
      </c>
      <c r="CM23" s="500" t="e">
        <f t="shared" ref="CM23" si="33">SUM(CM21:CM22)</f>
        <v>#REF!</v>
      </c>
      <c r="CN23" s="500" t="e">
        <f t="shared" ref="CN23" si="34">SUM(CN21:CN22)</f>
        <v>#REF!</v>
      </c>
      <c r="CO23" s="429"/>
      <c r="CP23" s="429"/>
    </row>
    <row r="24" spans="1:94">
      <c r="C24" s="201" t="str">
        <f>Processes!D27</f>
        <v>T-LPT-BEV_ELC00</v>
      </c>
      <c r="D24" s="28" t="s">
        <v>1130</v>
      </c>
      <c r="E24" s="201" t="str">
        <f>Commodities!C15</f>
        <v>TRAELC</v>
      </c>
      <c r="F24" s="201" t="str">
        <f>Commodities!C19&amp;","&amp;Commodities!C20</f>
        <v>TRAPS,TRAPM</v>
      </c>
      <c r="G24" s="259">
        <f t="shared" ref="G24:G26" si="35">SUM(H24:AG24)</f>
        <v>7.2999999999999995E-2</v>
      </c>
      <c r="H24" s="365">
        <f>F199/1000</f>
        <v>0</v>
      </c>
      <c r="I24" s="365">
        <f>G199/1000</f>
        <v>7.2999999999999995E-2</v>
      </c>
      <c r="J24" s="365">
        <f>H199/1000</f>
        <v>0</v>
      </c>
      <c r="K24" s="365">
        <f>I199/1000</f>
        <v>0</v>
      </c>
      <c r="L24" s="365">
        <f>J199/1000</f>
        <v>0</v>
      </c>
      <c r="M24" s="365">
        <f>K199/1000</f>
        <v>0</v>
      </c>
      <c r="N24" s="365">
        <f>L199/1000</f>
        <v>0</v>
      </c>
      <c r="O24" s="365">
        <f>M199/1000</f>
        <v>0</v>
      </c>
      <c r="P24" s="365">
        <f>N199/1000</f>
        <v>0</v>
      </c>
      <c r="Q24" s="365">
        <f>O199/1000</f>
        <v>0</v>
      </c>
      <c r="R24" s="365">
        <f>P199/1000</f>
        <v>0</v>
      </c>
      <c r="S24" s="365">
        <f>Q199/1000</f>
        <v>0</v>
      </c>
      <c r="T24" s="365">
        <f>R199/1000</f>
        <v>0</v>
      </c>
      <c r="U24" s="365">
        <f>S199/1000</f>
        <v>0</v>
      </c>
      <c r="V24" s="365">
        <f>T199/1000</f>
        <v>0</v>
      </c>
      <c r="W24" s="365">
        <f>U199/1000</f>
        <v>0</v>
      </c>
      <c r="X24" s="365">
        <f>V199/1000</f>
        <v>0</v>
      </c>
      <c r="Y24" s="365">
        <f>W199/1000</f>
        <v>0</v>
      </c>
      <c r="Z24" s="365">
        <f>X199/1000</f>
        <v>0</v>
      </c>
      <c r="AA24" s="365">
        <f>Y199/1000</f>
        <v>0</v>
      </c>
      <c r="AB24" s="365">
        <f>Z199/1000</f>
        <v>0</v>
      </c>
      <c r="AC24" s="365">
        <f>AA199/1000</f>
        <v>0</v>
      </c>
      <c r="AD24" s="365">
        <f>AB199/1000</f>
        <v>0</v>
      </c>
      <c r="AE24" s="365">
        <f>AC199/1000</f>
        <v>0</v>
      </c>
      <c r="AF24" s="365">
        <f>AD199/1000</f>
        <v>0</v>
      </c>
      <c r="AG24" s="365">
        <f>AE199/1000</f>
        <v>0</v>
      </c>
      <c r="AH24" s="193"/>
      <c r="AI24" s="84" t="str">
        <f t="shared" si="2"/>
        <v>T-LPT-BEV_ELC00</v>
      </c>
      <c r="AJ24" s="375">
        <f>G24*AF!D20*ACT2FLO!E66/1000</f>
        <v>0.31718342830155838</v>
      </c>
      <c r="AK24" s="375">
        <f>H24*AF!E20*ACT2FLO!F66/1000</f>
        <v>0</v>
      </c>
      <c r="AL24" s="375">
        <f>I24*AF!F20*ACT2FLO!G66/1000</f>
        <v>0.31718342830155838</v>
      </c>
      <c r="AM24" s="375">
        <f>J24*AF!G20*ACT2FLO!H66/1000</f>
        <v>0</v>
      </c>
      <c r="AN24" s="375">
        <f>K24*AF!H20*ACT2FLO!I66/1000</f>
        <v>0</v>
      </c>
      <c r="AO24" s="375">
        <f>L24*AF!I20*ACT2FLO!J66/1000</f>
        <v>0</v>
      </c>
      <c r="AP24" s="375">
        <f>M24*AF!J20*ACT2FLO!K66/1000</f>
        <v>0</v>
      </c>
      <c r="AQ24" s="375">
        <f>N24*AF!K20*ACT2FLO!L66/1000</f>
        <v>0</v>
      </c>
      <c r="AR24" s="375">
        <f>O24*AF!L20*ACT2FLO!M66/1000</f>
        <v>0</v>
      </c>
      <c r="AS24" s="375">
        <f>P24*AF!M20*ACT2FLO!N66/1000</f>
        <v>0</v>
      </c>
      <c r="AT24" s="375">
        <f>Q24*AF!N20*ACT2FLO!O66/1000</f>
        <v>0</v>
      </c>
      <c r="AU24" s="375">
        <f>R24*AF!O20*ACT2FLO!P66/1000</f>
        <v>0</v>
      </c>
      <c r="AV24" s="375">
        <f>S24*AF!P20*ACT2FLO!Q66/1000</f>
        <v>0</v>
      </c>
      <c r="AW24" s="375">
        <f>T24*AF!Q20*ACT2FLO!R66/1000</f>
        <v>0</v>
      </c>
      <c r="AX24" s="375">
        <f>U24*AF!R20*ACT2FLO!S66/1000</f>
        <v>0</v>
      </c>
      <c r="AY24" s="375">
        <f>V24*AF!S20*ACT2FLO!T66/1000</f>
        <v>0</v>
      </c>
      <c r="AZ24" s="375">
        <f>W24*AF!T20*ACT2FLO!U66/1000</f>
        <v>0</v>
      </c>
      <c r="BA24" s="375">
        <f>X24*AF!U20*ACT2FLO!V66/1000</f>
        <v>0</v>
      </c>
      <c r="BB24" s="375">
        <f>Y24*AF!V20*ACT2FLO!W66/1000</f>
        <v>0</v>
      </c>
      <c r="BC24" s="375">
        <f>Z24*AF!W20*ACT2FLO!X66/1000</f>
        <v>0</v>
      </c>
      <c r="BD24" s="375">
        <f>AA24*AF!X20*ACT2FLO!Y66/1000</f>
        <v>0</v>
      </c>
      <c r="BE24" s="375">
        <f>AB24*AF!Y20*ACT2FLO!Z66/1000</f>
        <v>0</v>
      </c>
      <c r="BF24" s="375">
        <f>AC24*AF!Z20*ACT2FLO!AA66/1000</f>
        <v>0</v>
      </c>
      <c r="BG24" s="375">
        <f>AD24*AF!AA20*ACT2FLO!AB66/1000</f>
        <v>0</v>
      </c>
      <c r="BH24" s="375">
        <f>AE24*AF!AB20*ACT2FLO!AC66/1000</f>
        <v>0</v>
      </c>
      <c r="BI24" s="375">
        <f>AF24*AF!AC20*ACT2FLO!AD66/1000</f>
        <v>0</v>
      </c>
      <c r="BJ24" s="375">
        <f>AG24*AF!AD20*ACT2FLO!AE66/1000</f>
        <v>0</v>
      </c>
      <c r="BM24" s="429"/>
      <c r="BN24" s="429"/>
      <c r="BO24" s="429"/>
      <c r="BP24" s="429"/>
      <c r="BQ24" s="429"/>
      <c r="BR24" s="429"/>
      <c r="BS24" s="429"/>
      <c r="BT24" s="429"/>
      <c r="BU24" s="429"/>
      <c r="BV24" s="429"/>
      <c r="BW24" s="429"/>
      <c r="BX24" s="429"/>
      <c r="BY24" s="429"/>
      <c r="BZ24" s="429"/>
      <c r="CA24" s="429"/>
      <c r="CB24" s="429"/>
      <c r="CC24" s="429"/>
      <c r="CD24" s="429"/>
      <c r="CE24" s="429"/>
      <c r="CF24" s="429"/>
      <c r="CG24" s="429"/>
      <c r="CH24" s="429"/>
      <c r="CI24" s="429"/>
      <c r="CJ24" s="429"/>
      <c r="CK24" s="429"/>
      <c r="CL24" s="429"/>
      <c r="CM24" s="429"/>
      <c r="CN24" s="429"/>
      <c r="CO24" s="429"/>
      <c r="CP24" s="429"/>
    </row>
    <row r="25" spans="1:94">
      <c r="C25" s="201" t="str">
        <f>Processes!D28</f>
        <v>T-HPT-BEV_ELC00</v>
      </c>
      <c r="D25" s="28" t="s">
        <v>1130</v>
      </c>
      <c r="E25" s="201" t="str">
        <f>Commodities!C15</f>
        <v>TRAELC</v>
      </c>
      <c r="F25" s="201" t="str">
        <f>Commodities!C21</f>
        <v>TRAPL</v>
      </c>
      <c r="G25" s="259">
        <f t="shared" si="35"/>
        <v>5.1999999999999998E-2</v>
      </c>
      <c r="H25" s="6">
        <f>F200/1000</f>
        <v>0</v>
      </c>
      <c r="I25" s="6">
        <f>G200/1000</f>
        <v>5.1999999999999998E-2</v>
      </c>
      <c r="J25" s="6">
        <f>H200/1000</f>
        <v>0</v>
      </c>
      <c r="K25" s="6">
        <f>I200/1000</f>
        <v>0</v>
      </c>
      <c r="L25" s="6">
        <f>J200/1000</f>
        <v>0</v>
      </c>
      <c r="M25" s="6">
        <f>K200/1000</f>
        <v>0</v>
      </c>
      <c r="N25" s="6">
        <f>L200/1000</f>
        <v>0</v>
      </c>
      <c r="O25" s="6">
        <f>M200/1000</f>
        <v>0</v>
      </c>
      <c r="P25" s="6">
        <f>N200/1000</f>
        <v>0</v>
      </c>
      <c r="Q25" s="6">
        <f>O200/1000</f>
        <v>0</v>
      </c>
      <c r="R25" s="6">
        <f>P200/1000</f>
        <v>0</v>
      </c>
      <c r="S25" s="6">
        <f>Q200/1000</f>
        <v>0</v>
      </c>
      <c r="T25" s="6">
        <f>R200/1000</f>
        <v>0</v>
      </c>
      <c r="U25" s="6">
        <f>S200/1000</f>
        <v>0</v>
      </c>
      <c r="V25" s="6">
        <f>T200/1000</f>
        <v>0</v>
      </c>
      <c r="W25" s="6">
        <f>U200/1000</f>
        <v>0</v>
      </c>
      <c r="X25" s="6">
        <f>V200/1000</f>
        <v>0</v>
      </c>
      <c r="Y25" s="6">
        <f>W200/1000</f>
        <v>0</v>
      </c>
      <c r="Z25" s="6">
        <f>X200/1000</f>
        <v>0</v>
      </c>
      <c r="AA25" s="6">
        <f>Y200/1000</f>
        <v>0</v>
      </c>
      <c r="AB25" s="6">
        <f>Z200/1000</f>
        <v>0</v>
      </c>
      <c r="AC25" s="6">
        <f>AA200/1000</f>
        <v>0</v>
      </c>
      <c r="AD25" s="6">
        <f>AB200/1000</f>
        <v>0</v>
      </c>
      <c r="AE25" s="6">
        <f>AC200/1000</f>
        <v>0</v>
      </c>
      <c r="AF25" s="6">
        <f>AD200/1000</f>
        <v>0</v>
      </c>
      <c r="AG25" s="6">
        <f>AE200/1000</f>
        <v>0</v>
      </c>
      <c r="AH25" s="193"/>
      <c r="AI25" s="84" t="str">
        <f t="shared" si="2"/>
        <v>T-HPT-BEV_ELC00</v>
      </c>
      <c r="AJ25" s="375">
        <f>G25*AF!D21*ACT2FLO!E67/1000</f>
        <v>0.64293853613072993</v>
      </c>
      <c r="AK25" s="375">
        <f>H25*AF!E21*ACT2FLO!F67/1000</f>
        <v>0</v>
      </c>
      <c r="AL25" s="375">
        <f>I25*AF!F21*ACT2FLO!G67/1000</f>
        <v>0.64293853613072993</v>
      </c>
      <c r="AM25" s="375">
        <f>J25*AF!G21*ACT2FLO!H67/1000</f>
        <v>0</v>
      </c>
      <c r="AN25" s="375">
        <f>K25*AF!H21*ACT2FLO!I67/1000</f>
        <v>0</v>
      </c>
      <c r="AO25" s="375">
        <f>L25*AF!I21*ACT2FLO!J67/1000</f>
        <v>0</v>
      </c>
      <c r="AP25" s="375">
        <f>M25*AF!J21*ACT2FLO!K67/1000</f>
        <v>0</v>
      </c>
      <c r="AQ25" s="375">
        <f>N25*AF!K21*ACT2FLO!L67/1000</f>
        <v>0</v>
      </c>
      <c r="AR25" s="375">
        <f>O25*AF!L21*ACT2FLO!M67/1000</f>
        <v>0</v>
      </c>
      <c r="AS25" s="375">
        <f>P25*AF!M21*ACT2FLO!N67/1000</f>
        <v>0</v>
      </c>
      <c r="AT25" s="375">
        <f>Q25*AF!N21*ACT2FLO!O67/1000</f>
        <v>0</v>
      </c>
      <c r="AU25" s="375">
        <f>R25*AF!O21*ACT2FLO!P67/1000</f>
        <v>0</v>
      </c>
      <c r="AV25" s="375">
        <f>S25*AF!P21*ACT2FLO!Q67/1000</f>
        <v>0</v>
      </c>
      <c r="AW25" s="375">
        <f>T25*AF!Q21*ACT2FLO!R67/1000</f>
        <v>0</v>
      </c>
      <c r="AX25" s="375">
        <f>U25*AF!R21*ACT2FLO!S67/1000</f>
        <v>0</v>
      </c>
      <c r="AY25" s="375">
        <f>V25*AF!S21*ACT2FLO!T67/1000</f>
        <v>0</v>
      </c>
      <c r="AZ25" s="375">
        <f>W25*AF!T21*ACT2FLO!U67/1000</f>
        <v>0</v>
      </c>
      <c r="BA25" s="375">
        <f>X25*AF!U21*ACT2FLO!V67/1000</f>
        <v>0</v>
      </c>
      <c r="BB25" s="375">
        <f>Y25*AF!V21*ACT2FLO!W67/1000</f>
        <v>0</v>
      </c>
      <c r="BC25" s="375">
        <f>Z25*AF!W21*ACT2FLO!X67/1000</f>
        <v>0</v>
      </c>
      <c r="BD25" s="375">
        <f>AA25*AF!X21*ACT2FLO!Y67/1000</f>
        <v>0</v>
      </c>
      <c r="BE25" s="375">
        <f>AB25*AF!Y21*ACT2FLO!Z67/1000</f>
        <v>0</v>
      </c>
      <c r="BF25" s="375">
        <f>AC25*AF!Z21*ACT2FLO!AA67/1000</f>
        <v>0</v>
      </c>
      <c r="BG25" s="375">
        <f>AD25*AF!AA21*ACT2FLO!AB67/1000</f>
        <v>0</v>
      </c>
      <c r="BH25" s="375">
        <f>AE25*AF!AB21*ACT2FLO!AC67/1000</f>
        <v>0</v>
      </c>
      <c r="BI25" s="375">
        <f>AF25*AF!AC21*ACT2FLO!AD67/1000</f>
        <v>0</v>
      </c>
      <c r="BJ25" s="375">
        <f>AG25*AF!AD21*ACT2FLO!AE67/1000</f>
        <v>0</v>
      </c>
      <c r="BM25" s="429"/>
      <c r="BN25" s="429"/>
      <c r="BO25" s="429"/>
      <c r="BP25" s="429"/>
      <c r="BQ25" s="429"/>
      <c r="BR25" s="429"/>
      <c r="BS25" s="429"/>
      <c r="BT25" s="429"/>
      <c r="BU25" s="429"/>
      <c r="BV25" s="429"/>
      <c r="BW25" s="429"/>
      <c r="BX25" s="429"/>
      <c r="BY25" s="429"/>
      <c r="BZ25" s="429"/>
      <c r="CA25" s="429"/>
      <c r="CB25" s="429"/>
      <c r="CC25" s="429"/>
      <c r="CD25" s="429"/>
      <c r="CE25" s="429"/>
      <c r="CF25" s="429"/>
      <c r="CG25" s="429"/>
      <c r="CH25" s="429"/>
      <c r="CI25" s="429"/>
      <c r="CJ25" s="429"/>
      <c r="CK25" s="429"/>
      <c r="CL25" s="429"/>
      <c r="CM25" s="429"/>
      <c r="CN25" s="429"/>
      <c r="CO25" s="429"/>
      <c r="CP25" s="429"/>
    </row>
    <row r="26" spans="1:94">
      <c r="C26" s="28" t="str">
        <f>Processes!D29</f>
        <v>T-HPT-ICE_DST00</v>
      </c>
      <c r="D26" s="28" t="s">
        <v>1130</v>
      </c>
      <c r="E26" s="28" t="str">
        <f>Commodities!C9&amp;","&amp;Commodities!C11</f>
        <v>TRADST,TRABDL</v>
      </c>
      <c r="F26" s="201" t="str">
        <f>Commodities!C21</f>
        <v>TRAPL</v>
      </c>
      <c r="G26" s="384">
        <f t="shared" si="35"/>
        <v>0.14399999999999996</v>
      </c>
      <c r="H26" s="375">
        <f>F201/1000</f>
        <v>1.7216380556777638E-3</v>
      </c>
      <c r="I26" s="375">
        <f>G201/1000</f>
        <v>4.0744476376377785E-2</v>
      </c>
      <c r="J26" s="375">
        <f>H201/1000</f>
        <v>6.7285771436191438E-3</v>
      </c>
      <c r="K26" s="375">
        <f>I201/1000</f>
        <v>3.0008007366861492E-3</v>
      </c>
      <c r="L26" s="375">
        <f>J201/1000</f>
        <v>2.5612586665098632E-3</v>
      </c>
      <c r="M26" s="375">
        <f>K201/1000</f>
        <v>1.236009840682169E-3</v>
      </c>
      <c r="N26" s="375">
        <f>L201/1000</f>
        <v>3.8974847039972759E-3</v>
      </c>
      <c r="O26" s="375">
        <f>M201/1000</f>
        <v>5.8981798098014073E-3</v>
      </c>
      <c r="P26" s="375">
        <f>N201/1000</f>
        <v>2.357560325628717E-3</v>
      </c>
      <c r="Q26" s="375">
        <f>O201/1000</f>
        <v>2.6844272149672429E-3</v>
      </c>
      <c r="R26" s="375">
        <f>P201/1000</f>
        <v>4.5276310857195624E-3</v>
      </c>
      <c r="S26" s="375">
        <f>Q201/1000</f>
        <v>4.3069679631824896E-3</v>
      </c>
      <c r="T26" s="375">
        <f>R201/1000</f>
        <v>3.5930560820182822E-3</v>
      </c>
      <c r="U26" s="375">
        <f>S201/1000</f>
        <v>1.6416465397486056E-2</v>
      </c>
      <c r="V26" s="375">
        <f>T201/1000</f>
        <v>4.4666969769197543E-3</v>
      </c>
      <c r="W26" s="375">
        <f>U201/1000</f>
        <v>5.8937949731880214E-3</v>
      </c>
      <c r="X26" s="375">
        <f>V201/1000</f>
        <v>4.8249230081071149E-3</v>
      </c>
      <c r="Y26" s="375">
        <f>W201/1000</f>
        <v>3.5131915751496498E-3</v>
      </c>
      <c r="Z26" s="375">
        <f>X201/1000</f>
        <v>7.8037390812213227E-3</v>
      </c>
      <c r="AA26" s="375">
        <f>Y201/1000</f>
        <v>9.6901865130573773E-4</v>
      </c>
      <c r="AB26" s="375">
        <f>Z201/1000</f>
        <v>3.9465646338146896E-3</v>
      </c>
      <c r="AC26" s="375">
        <f>AA201/1000</f>
        <v>1.9518268577542609E-3</v>
      </c>
      <c r="AD26" s="375">
        <f>AB201/1000</f>
        <v>1.9817949479878144E-3</v>
      </c>
      <c r="AE26" s="375">
        <f>AC201/1000</f>
        <v>2.3035814749053137E-3</v>
      </c>
      <c r="AF26" s="375">
        <f>AD201/1000</f>
        <v>4.8140062769524089E-3</v>
      </c>
      <c r="AG26" s="375">
        <f>AE201/1000</f>
        <v>1.8563281403399705E-3</v>
      </c>
      <c r="AH26" s="193"/>
      <c r="AI26" s="84" t="str">
        <f t="shared" si="2"/>
        <v>T-HPT-ICE_DST00</v>
      </c>
      <c r="AJ26" s="375">
        <f>G26*AF!D22*ACT2FLO!E68/1000</f>
        <v>1.2767155199999995</v>
      </c>
      <c r="AK26" s="375">
        <f>H26*AF!E22*ACT2FLO!F68/1000</f>
        <v>1.5264180732683506E-2</v>
      </c>
      <c r="AL26" s="375">
        <f>I26*AF!F22*ACT2FLO!G68/1000</f>
        <v>0.36124378711107558</v>
      </c>
      <c r="AM26" s="375">
        <f>J26*AF!G22*ACT2FLO!H68/1000</f>
        <v>5.9656103241498816E-2</v>
      </c>
      <c r="AN26" s="375">
        <f>K26*AF!H22*ACT2FLO!I68/1000</f>
        <v>2.6605339395518336E-2</v>
      </c>
      <c r="AO26" s="375">
        <f>L26*AF!I22*ACT2FLO!J68/1000</f>
        <v>2.2708324237969767E-2</v>
      </c>
      <c r="AP26" s="375">
        <f>M26*AF!J22*ACT2FLO!K68/1000</f>
        <v>1.0958562128275364E-2</v>
      </c>
      <c r="AQ26" s="375">
        <f>N26*AF!K22*ACT2FLO!L68/1000</f>
        <v>3.4555411184416164E-2</v>
      </c>
      <c r="AR26" s="375">
        <f>O26*AF!L22*ACT2FLO!M68/1000</f>
        <v>5.2293734048084059E-2</v>
      </c>
      <c r="AS26" s="375">
        <f>P26*AF!M22*ACT2FLO!N68/1000</f>
        <v>2.0902318451850255E-2</v>
      </c>
      <c r="AT26" s="375">
        <f>Q26*AF!N22*ACT2FLO!O68/1000</f>
        <v>2.3800346442076771E-2</v>
      </c>
      <c r="AU26" s="375">
        <f>R26*AF!O22*ACT2FLO!P68/1000</f>
        <v>4.0142339416476505E-2</v>
      </c>
      <c r="AV26" s="375">
        <f>S26*AF!P22*ACT2FLO!Q68/1000</f>
        <v>3.8185922519013003E-2</v>
      </c>
      <c r="AW26" s="375">
        <f>T26*AF!Q22*ACT2FLO!R68/1000</f>
        <v>3.1856322667660655E-2</v>
      </c>
      <c r="AX26" s="375">
        <f>U26*AF!R22*ACT2FLO!S68/1000</f>
        <v>0.1455496955313432</v>
      </c>
      <c r="AY26" s="375">
        <f>V26*AF!S22*ACT2FLO!T68/1000</f>
        <v>3.9602092733128702E-2</v>
      </c>
      <c r="AZ26" s="375">
        <f>W26*AF!T22*ACT2FLO!U68/1000</f>
        <v>5.2254857735882849E-2</v>
      </c>
      <c r="BA26" s="375">
        <f>X26*AF!U22*ACT2FLO!V68/1000</f>
        <v>4.2778153383718334E-2</v>
      </c>
      <c r="BB26" s="375">
        <f>Y26*AF!V22*ACT2FLO!W68/1000</f>
        <v>3.1148237560602809E-2</v>
      </c>
      <c r="BC26" s="375">
        <f>Z26*AF!W22*ACT2FLO!X68/1000</f>
        <v>6.9188574993234747E-2</v>
      </c>
      <c r="BD26" s="375">
        <f>AA26*AF!X22*ACT2FLO!Y68/1000</f>
        <v>8.5913968839687761E-3</v>
      </c>
      <c r="BE26" s="375">
        <f>AB26*AF!Y22*ACT2FLO!Z68/1000</f>
        <v>3.4990557768571746E-2</v>
      </c>
      <c r="BF26" s="375">
        <f>AC26*AF!Z22*ACT2FLO!AA68/1000</f>
        <v>1.7305053066997901E-2</v>
      </c>
      <c r="BG26" s="375">
        <f>AD26*AF!AA22*ACT2FLO!AB68/1000</f>
        <v>1.7570752552455802E-2</v>
      </c>
      <c r="BH26" s="375">
        <f>AE26*AF!AB22*ACT2FLO!AC68/1000</f>
        <v>2.0423737643028506E-2</v>
      </c>
      <c r="BI26" s="375">
        <f>AF26*AF!AC22*ACT2FLO!AD68/1000</f>
        <v>4.2681364771962209E-2</v>
      </c>
      <c r="BJ26" s="375">
        <f>AG26*AF!AD22*ACT2FLO!AE68/1000</f>
        <v>1.6458353798505406E-2</v>
      </c>
      <c r="BM26" s="429"/>
      <c r="BN26" s="429"/>
      <c r="BO26" s="429"/>
      <c r="BP26" s="429"/>
      <c r="BQ26" s="429"/>
      <c r="BR26" s="429"/>
      <c r="BS26" s="429"/>
      <c r="BT26" s="429"/>
      <c r="BU26" s="429"/>
      <c r="BV26" s="429"/>
      <c r="BW26" s="429"/>
      <c r="BX26" s="429"/>
      <c r="BY26" s="429"/>
      <c r="BZ26" s="429"/>
      <c r="CA26" s="429"/>
      <c r="CB26" s="429"/>
      <c r="CC26" s="429"/>
      <c r="CD26" s="429"/>
      <c r="CE26" s="429"/>
      <c r="CF26" s="429"/>
      <c r="CG26" s="429"/>
      <c r="CH26" s="429"/>
      <c r="CI26" s="429"/>
      <c r="CJ26" s="429"/>
      <c r="CK26" s="429"/>
      <c r="CL26" s="429"/>
      <c r="CM26" s="429"/>
      <c r="CN26" s="429"/>
      <c r="CO26" s="429"/>
    </row>
    <row r="27" spans="1:94" ht="15.6">
      <c r="C27" s="531"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82"/>
      <c r="AK27" s="482"/>
      <c r="AL27" s="482"/>
      <c r="AM27" s="482"/>
      <c r="AN27" s="482"/>
      <c r="AO27" s="482"/>
      <c r="AP27" s="482"/>
      <c r="AQ27" s="482"/>
      <c r="AR27" s="482"/>
      <c r="AS27" s="482"/>
      <c r="AT27" s="482"/>
      <c r="AU27" s="482"/>
      <c r="AV27" s="482"/>
      <c r="AW27" s="482"/>
      <c r="AX27" s="482"/>
      <c r="AY27" s="482"/>
      <c r="AZ27" s="482"/>
      <c r="BA27" s="482"/>
      <c r="BB27" s="482"/>
      <c r="BC27" s="482"/>
      <c r="BD27" s="482"/>
      <c r="BE27" s="482"/>
      <c r="BF27" s="482"/>
      <c r="BG27" s="482"/>
      <c r="BH27" s="482"/>
      <c r="BI27" s="482"/>
      <c r="BJ27" s="482"/>
      <c r="BM27" s="429" t="s">
        <v>1038</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29"/>
    </row>
    <row r="28" spans="1:94">
      <c r="C28" s="201" t="str">
        <f>Processes!D32</f>
        <v>T-LGT-ICE_GSL00</v>
      </c>
      <c r="D28" s="28" t="s">
        <v>1130</v>
      </c>
      <c r="E28" s="429" t="str">
        <f>Commodities!C8&amp;","&amp;Commodities!C10</f>
        <v>TRAGSL,TRAETH</v>
      </c>
      <c r="F28" s="201" t="str">
        <f>Commodities!C22</f>
        <v>TRAF</v>
      </c>
      <c r="G28" s="10">
        <f t="shared" ref="G28:G30" si="36">SUM(H28:AG28)</f>
        <v>0.89000000000000035</v>
      </c>
      <c r="H28" s="512">
        <f>F202/1000</f>
        <v>0.01</v>
      </c>
      <c r="I28" s="512">
        <f>G202/1000</f>
        <v>0.27800000000000002</v>
      </c>
      <c r="J28" s="512">
        <f>H202/1000</f>
        <v>4.9000000000000002E-2</v>
      </c>
      <c r="K28" s="512">
        <f>I202/1000</f>
        <v>1.4999999999999999E-2</v>
      </c>
      <c r="L28" s="512">
        <f>J202/1000</f>
        <v>2.1000000000000001E-2</v>
      </c>
      <c r="M28" s="512">
        <f>K202/1000</f>
        <v>8.0000000000000002E-3</v>
      </c>
      <c r="N28" s="512">
        <f>L202/1000</f>
        <v>1.4999999999999999E-2</v>
      </c>
      <c r="O28" s="512">
        <f>M202/1000</f>
        <v>2.1000000000000001E-2</v>
      </c>
      <c r="P28" s="512">
        <f>N202/1000</f>
        <v>0.01</v>
      </c>
      <c r="Q28" s="512">
        <f>O202/1000</f>
        <v>1.4E-2</v>
      </c>
      <c r="R28" s="512">
        <f>P202/1000</f>
        <v>2.8000000000000001E-2</v>
      </c>
      <c r="S28" s="512">
        <f>Q202/1000</f>
        <v>4.5999999999999999E-2</v>
      </c>
      <c r="T28" s="512">
        <f>R202/1000</f>
        <v>1.6E-2</v>
      </c>
      <c r="U28" s="512">
        <f>S202/1000</f>
        <v>0.13100000000000001</v>
      </c>
      <c r="V28" s="512">
        <f>T202/1000</f>
        <v>2.1000000000000001E-2</v>
      </c>
      <c r="W28" s="512">
        <f>U202/1000</f>
        <v>1.4E-2</v>
      </c>
      <c r="X28" s="512">
        <f>V202/1000</f>
        <v>2.7E-2</v>
      </c>
      <c r="Y28" s="512">
        <f>W202/1000</f>
        <v>0.03</v>
      </c>
      <c r="Z28" s="512">
        <f>X202/1000</f>
        <v>4.3999999999999997E-2</v>
      </c>
      <c r="AA28" s="512">
        <f>Y202/1000</f>
        <v>2E-3</v>
      </c>
      <c r="AB28" s="512">
        <f>Z202/1000</f>
        <v>1.9E-2</v>
      </c>
      <c r="AC28" s="512">
        <f>AA202/1000</f>
        <v>1.4E-2</v>
      </c>
      <c r="AD28" s="512">
        <f>AB202/1000</f>
        <v>8.9999999999999993E-3</v>
      </c>
      <c r="AE28" s="512">
        <f>AC202/1000</f>
        <v>7.0000000000000001E-3</v>
      </c>
      <c r="AF28" s="512">
        <f>AD202/1000</f>
        <v>2.9000000000000001E-2</v>
      </c>
      <c r="AG28" s="512">
        <f>AE202/1000</f>
        <v>1.2E-2</v>
      </c>
      <c r="AH28" s="193"/>
      <c r="AI28" s="84" t="str">
        <f>C49</f>
        <v>T-WLK_WLK</v>
      </c>
      <c r="AJ28" s="375">
        <f>G49*AF!D4*ACT2FLO!E50/1000</f>
        <v>37.6</v>
      </c>
      <c r="AK28" s="375">
        <f>H49*AF!E4*ACT2FLO!F50/1000</f>
        <v>0.44953882564919384</v>
      </c>
      <c r="AL28" s="375">
        <f>I49*AF!F4*ACT2FLO!G50/1000</f>
        <v>10.638835498276421</v>
      </c>
      <c r="AM28" s="375">
        <f>J49*AF!G4*ACT2FLO!H50/1000</f>
        <v>1.7569062541672209</v>
      </c>
      <c r="AN28" s="375">
        <f>K49*AF!H4*ACT2FLO!I50/1000</f>
        <v>0.78354241457916107</v>
      </c>
      <c r="AO28" s="375">
        <f>L49*AF!I4*ACT2FLO!J50/1000</f>
        <v>0.66877309625535331</v>
      </c>
      <c r="AP28" s="375">
        <f>M49*AF!J4*ACT2FLO!K50/1000</f>
        <v>0.32273590284478854</v>
      </c>
      <c r="AQ28" s="375">
        <f>N49*AF!K4*ACT2FLO!L50/1000</f>
        <v>1.0176765615992887</v>
      </c>
      <c r="AR28" s="375">
        <f>O49*AF!L4*ACT2FLO!M50/1000</f>
        <v>1.5400802836703673</v>
      </c>
      <c r="AS28" s="375">
        <f>P49*AF!M4*ACT2FLO!N50/1000</f>
        <v>0.61558519613638729</v>
      </c>
      <c r="AT28" s="375">
        <f>Q49*AF!N4*ACT2FLO!O50/1000</f>
        <v>0.70093377279700231</v>
      </c>
      <c r="AU28" s="375">
        <f>R49*AF!O4*ACT2FLO!P50/1000</f>
        <v>1.1822147834934413</v>
      </c>
      <c r="AV28" s="375">
        <f>S49*AF!P4*ACT2FLO!Q50/1000</f>
        <v>1.1245971903865388</v>
      </c>
      <c r="AW28" s="375">
        <f>T49*AF!Q4*ACT2FLO!R50/1000</f>
        <v>0.93818686586032929</v>
      </c>
      <c r="AX28" s="375">
        <f>U49*AF!R4*ACT2FLO!S50/1000</f>
        <v>4.2865215204546931</v>
      </c>
      <c r="AY28" s="375">
        <f>V49*AF!S4*ACT2FLO!T50/1000</f>
        <v>1.166304210640158</v>
      </c>
      <c r="AZ28" s="375">
        <f>W49*AF!T4*ACT2FLO!U50/1000</f>
        <v>1.5389353541102058</v>
      </c>
      <c r="BA28" s="375">
        <f>X49*AF!U4*ACT2FLO!V50/1000</f>
        <v>1.2598410076724134</v>
      </c>
      <c r="BB28" s="375">
        <f>Y49*AF!V4*ACT2FLO!W50/1000</f>
        <v>0.9173333557335196</v>
      </c>
      <c r="BC28" s="375">
        <f>Z49*AF!W4*ACT2FLO!X50/1000</f>
        <v>2.0376429823189008</v>
      </c>
      <c r="BD28" s="375">
        <f>AA49*AF!X4*ACT2FLO!Y50/1000</f>
        <v>0.25302153672983152</v>
      </c>
      <c r="BE28" s="375">
        <f>AB49*AF!Y4*ACT2FLO!Z50/1000</f>
        <v>1.0304918766071689</v>
      </c>
      <c r="BF28" s="375">
        <f>AC49*AF!Z4*ACT2FLO!AA50/1000</f>
        <v>0.50964367952472356</v>
      </c>
      <c r="BG28" s="375">
        <f>AD49*AF!AA4*ACT2FLO!AB50/1000</f>
        <v>0.51746868086348474</v>
      </c>
      <c r="BH28" s="375">
        <f>AE49*AF!AB4*ACT2FLO!AC50/1000</f>
        <v>0.60149071844749857</v>
      </c>
      <c r="BI28" s="375">
        <f>AF49*AF!AC4*ACT2FLO!AD50/1000</f>
        <v>1.2569905278709066</v>
      </c>
      <c r="BJ28" s="375">
        <f>AG49*AF!AD4*ACT2FLO!AE50/1000</f>
        <v>0.48470790331099228</v>
      </c>
      <c r="BM28" s="431" t="str">
        <f>BM20</f>
        <v>Technology</v>
      </c>
      <c r="BN28" s="431" t="str">
        <f t="shared" ref="BN28:CN28" si="37">BN20</f>
        <v>IE</v>
      </c>
      <c r="BO28" s="431" t="str">
        <f t="shared" si="37"/>
        <v>IE-CW</v>
      </c>
      <c r="BP28" s="431" t="str">
        <f t="shared" si="37"/>
        <v>IE-D</v>
      </c>
      <c r="BQ28" s="431" t="str">
        <f t="shared" si="37"/>
        <v>IE-KE</v>
      </c>
      <c r="BR28" s="431" t="str">
        <f t="shared" si="37"/>
        <v>IE-KK</v>
      </c>
      <c r="BS28" s="431" t="str">
        <f t="shared" si="37"/>
        <v>IE-LS</v>
      </c>
      <c r="BT28" s="431" t="str">
        <f t="shared" si="37"/>
        <v>IE-LD</v>
      </c>
      <c r="BU28" s="431" t="str">
        <f t="shared" si="37"/>
        <v>IE-LH</v>
      </c>
      <c r="BV28" s="431" t="str">
        <f t="shared" si="37"/>
        <v>IE-MH</v>
      </c>
      <c r="BW28" s="431" t="str">
        <f t="shared" si="37"/>
        <v>IE-OY</v>
      </c>
      <c r="BX28" s="431" t="str">
        <f t="shared" si="37"/>
        <v>IE-WH</v>
      </c>
      <c r="BY28" s="431" t="str">
        <f t="shared" si="37"/>
        <v>IE-WX</v>
      </c>
      <c r="BZ28" s="431" t="str">
        <f t="shared" si="37"/>
        <v>IE-WW</v>
      </c>
      <c r="CA28" s="431" t="str">
        <f t="shared" si="37"/>
        <v>IE-CE</v>
      </c>
      <c r="CB28" s="431" t="str">
        <f t="shared" si="37"/>
        <v>IE-CO</v>
      </c>
      <c r="CC28" s="431" t="str">
        <f t="shared" si="37"/>
        <v>IE-KY</v>
      </c>
      <c r="CD28" s="431" t="str">
        <f t="shared" si="37"/>
        <v>IE-LK</v>
      </c>
      <c r="CE28" s="431" t="str">
        <f t="shared" si="37"/>
        <v>IE-TA</v>
      </c>
      <c r="CF28" s="431" t="str">
        <f t="shared" si="37"/>
        <v>IE-WD</v>
      </c>
      <c r="CG28" s="431" t="str">
        <f t="shared" si="37"/>
        <v>IE-G</v>
      </c>
      <c r="CH28" s="431" t="str">
        <f t="shared" si="37"/>
        <v>IE-LM</v>
      </c>
      <c r="CI28" s="431" t="str">
        <f t="shared" si="37"/>
        <v>IE-MO</v>
      </c>
      <c r="CJ28" s="431" t="str">
        <f t="shared" si="37"/>
        <v>IE-RN</v>
      </c>
      <c r="CK28" s="431" t="str">
        <f t="shared" si="37"/>
        <v>IE-SO</v>
      </c>
      <c r="CL28" s="431" t="str">
        <f t="shared" si="37"/>
        <v>IE-CN</v>
      </c>
      <c r="CM28" s="431" t="str">
        <f t="shared" si="37"/>
        <v>IE-DL</v>
      </c>
      <c r="CN28" s="431" t="str">
        <f t="shared" si="37"/>
        <v>IE-MN</v>
      </c>
      <c r="CO28" s="429"/>
    </row>
    <row r="29" spans="1:94">
      <c r="C29" s="429" t="str">
        <f>Processes!D33</f>
        <v>T-LGT-ICE_DST00</v>
      </c>
      <c r="D29" s="28" t="s">
        <v>1130</v>
      </c>
      <c r="E29" s="429" t="str">
        <f>Commodities!C9&amp;","&amp;Commodities!C11</f>
        <v>TRADST,TRABDL</v>
      </c>
      <c r="F29" t="str">
        <f>Commodities!C22</f>
        <v>TRAF</v>
      </c>
      <c r="G29" s="10">
        <f t="shared" si="36"/>
        <v>320.88299999999998</v>
      </c>
      <c r="H29" s="512">
        <f>F203/1000</f>
        <v>5.2619999999999996</v>
      </c>
      <c r="I29" s="512">
        <f>G203/1000</f>
        <v>67.396000000000001</v>
      </c>
      <c r="J29" s="512">
        <f>H203/1000</f>
        <v>14.377000000000001</v>
      </c>
      <c r="K29" s="512">
        <f>I203/1000</f>
        <v>7.2439999999999998</v>
      </c>
      <c r="L29" s="512">
        <f>J203/1000</f>
        <v>5.3410000000000002</v>
      </c>
      <c r="M29" s="512">
        <f>K203/1000</f>
        <v>3.5209999999999999</v>
      </c>
      <c r="N29" s="512">
        <f>L203/1000</f>
        <v>7.1390000000000002</v>
      </c>
      <c r="O29" s="512">
        <f>M203/1000</f>
        <v>12.86</v>
      </c>
      <c r="P29" s="512">
        <f>N203/1000</f>
        <v>6.0270000000000001</v>
      </c>
      <c r="Q29" s="512">
        <f>O203/1000</f>
        <v>7.5810000000000004</v>
      </c>
      <c r="R29" s="512">
        <f>P203/1000</f>
        <v>12.180999999999999</v>
      </c>
      <c r="S29" s="512">
        <f>Q203/1000</f>
        <v>8.7870000000000008</v>
      </c>
      <c r="T29" s="512">
        <f>R203/1000</f>
        <v>8.8019999999999996</v>
      </c>
      <c r="U29" s="512">
        <f>S203/1000</f>
        <v>37.667000000000002</v>
      </c>
      <c r="V29" s="512">
        <f>T203/1000</f>
        <v>11.12</v>
      </c>
      <c r="W29" s="512">
        <f>U203/1000</f>
        <v>11.993</v>
      </c>
      <c r="X29" s="512">
        <f>V203/1000</f>
        <v>12.476000000000001</v>
      </c>
      <c r="Y29" s="512">
        <f>W203/1000</f>
        <v>7.5670000000000002</v>
      </c>
      <c r="Z29" s="512">
        <f>X203/1000</f>
        <v>18.739999999999998</v>
      </c>
      <c r="AA29" s="512">
        <f>Y203/1000</f>
        <v>3.1930000000000001</v>
      </c>
      <c r="AB29" s="512">
        <f>Z203/1000</f>
        <v>12.510999999999999</v>
      </c>
      <c r="AC29" s="512">
        <f>AA203/1000</f>
        <v>5.8959999999999999</v>
      </c>
      <c r="AD29" s="512">
        <f>AB203/1000</f>
        <v>5.6</v>
      </c>
      <c r="AE29" s="512">
        <f>AC203/1000</f>
        <v>7.37</v>
      </c>
      <c r="AF29" s="512">
        <f>AD203/1000</f>
        <v>13.568</v>
      </c>
      <c r="AG29" s="512">
        <f>AE203/1000</f>
        <v>6.6639999999999997</v>
      </c>
      <c r="AH29" s="193"/>
      <c r="AI29" s="484" t="str">
        <f>C50</f>
        <v>T-CYC_CYC</v>
      </c>
      <c r="AJ29" s="485">
        <f>G50*AF!D5*ACT2FLO!E51/1000</f>
        <v>16</v>
      </c>
      <c r="AK29" s="485">
        <f>H50*AF!E5*ACT2FLO!F51/1000</f>
        <v>0.19129311729752929</v>
      </c>
      <c r="AL29" s="485">
        <f>I50*AF!F5*ACT2FLO!G51/1000</f>
        <v>4.5271640418197538</v>
      </c>
      <c r="AM29" s="485">
        <f>J50*AF!G5*ACT2FLO!H51/1000</f>
        <v>0.7476196826243493</v>
      </c>
      <c r="AN29" s="485">
        <f>K50*AF!H5*ACT2FLO!I51/1000</f>
        <v>0.3334223040762388</v>
      </c>
      <c r="AO29" s="485">
        <f>L50*AF!I5*ACT2FLO!J51/1000</f>
        <v>0.28458429627887372</v>
      </c>
      <c r="AP29" s="485">
        <f>M50*AF!J5*ACT2FLO!K51/1000</f>
        <v>0.13733442674246321</v>
      </c>
      <c r="AQ29" s="485">
        <f>N50*AF!K5*ACT2FLO!L51/1000</f>
        <v>0.43305385599969731</v>
      </c>
      <c r="AR29" s="485">
        <f>O50*AF!L5*ACT2FLO!M51/1000</f>
        <v>0.65535331220015636</v>
      </c>
      <c r="AS29" s="485">
        <f>P50*AF!M5*ACT2FLO!N51/1000</f>
        <v>0.26195114729207969</v>
      </c>
      <c r="AT29" s="485">
        <f>Q50*AF!N5*ACT2FLO!O51/1000</f>
        <v>0.29826969055191588</v>
      </c>
      <c r="AU29" s="485">
        <f>R50*AF!O5*ACT2FLO!P51/1000</f>
        <v>0.50307012063550693</v>
      </c>
      <c r="AV29" s="485">
        <f>S50*AF!P5*ACT2FLO!Q51/1000</f>
        <v>0.47855199590916547</v>
      </c>
      <c r="AW29" s="485">
        <f>T50*AF!Q5*ACT2FLO!R51/1000</f>
        <v>0.3992284535575869</v>
      </c>
      <c r="AX29" s="485">
        <f>U50*AF!R5*ACT2FLO!S51/1000</f>
        <v>1.8240517108317842</v>
      </c>
      <c r="AY29" s="485">
        <f>V50*AF!S5*ACT2FLO!T51/1000</f>
        <v>0.49629966410219495</v>
      </c>
      <c r="AZ29" s="485">
        <f>W50*AF!T5*ACT2FLO!U51/1000</f>
        <v>0.65486610813200241</v>
      </c>
      <c r="BA29" s="485">
        <f>X50*AF!U5*ACT2FLO!V51/1000</f>
        <v>0.53610255645634608</v>
      </c>
      <c r="BB29" s="485">
        <f>Y50*AF!V5*ACT2FLO!W51/1000</f>
        <v>0.39035461946107219</v>
      </c>
      <c r="BC29" s="485">
        <f>Z50*AF!W5*ACT2FLO!X51/1000</f>
        <v>0.86708212013570252</v>
      </c>
      <c r="BD29" s="485">
        <f>AA50*AF!X5*ACT2FLO!Y51/1000</f>
        <v>0.10766873903397085</v>
      </c>
      <c r="BE29" s="485">
        <f>AB50*AF!Y5*ACT2FLO!Z51/1000</f>
        <v>0.43850718153496554</v>
      </c>
      <c r="BF29" s="485">
        <f>AC50*AF!Z5*ACT2FLO!AA51/1000</f>
        <v>0.21686965086158452</v>
      </c>
      <c r="BG29" s="485">
        <f>AD50*AF!AA5*ACT2FLO!AB51/1000</f>
        <v>0.22019943866531269</v>
      </c>
      <c r="BH29" s="485">
        <f>AE50*AF!AB5*ACT2FLO!AC51/1000</f>
        <v>0.25595349721170152</v>
      </c>
      <c r="BI29" s="485">
        <f>AF50*AF!AC5*ACT2FLO!AD51/1000</f>
        <v>0.5348895863280454</v>
      </c>
      <c r="BJ29" s="485">
        <f>AG50*AF!AD5*ACT2FLO!AE51/1000</f>
        <v>0.20625868225999672</v>
      </c>
      <c r="BM29" s="493" t="s">
        <v>1039</v>
      </c>
      <c r="BN29" s="494">
        <f>Demands!C7</f>
        <v>11.625551</v>
      </c>
      <c r="BO29" s="494">
        <f>Demands!D7</f>
        <v>0.17794099599204954</v>
      </c>
      <c r="BP29" s="494">
        <f>Demands!E7</f>
        <v>2.6576907930321347</v>
      </c>
      <c r="BQ29" s="494">
        <f>Demands!F7</f>
        <v>0.48228404218784626</v>
      </c>
      <c r="BR29" s="494">
        <f>Demands!G7</f>
        <v>0.31014966827589163</v>
      </c>
      <c r="BS29" s="494">
        <f>Demands!H7</f>
        <v>0.22090468018989404</v>
      </c>
      <c r="BT29" s="494">
        <f>Demands!I7</f>
        <v>0.10660397645018758</v>
      </c>
      <c r="BU29" s="494">
        <f>Demands!J7</f>
        <v>0.27935990585939297</v>
      </c>
      <c r="BV29" s="494">
        <f>Demands!K7</f>
        <v>0.43225128206324637</v>
      </c>
      <c r="BW29" s="494">
        <f>Demands!L7</f>
        <v>0.20333600685129727</v>
      </c>
      <c r="BX29" s="494">
        <f>Demands!M7</f>
        <v>0.23152778091853185</v>
      </c>
      <c r="BY29" s="494">
        <f>Demands!N7</f>
        <v>0.46795618987426485</v>
      </c>
      <c r="BZ29" s="494">
        <f>Demands!O7</f>
        <v>0.30871042636808321</v>
      </c>
      <c r="CA29" s="494">
        <f>Demands!P7</f>
        <v>0.30378726686741447</v>
      </c>
      <c r="CB29" s="494">
        <f>Demands!Q7</f>
        <v>1.625427705266085</v>
      </c>
      <c r="CC29" s="494">
        <f>Demands!R7</f>
        <v>0.44225677339931185</v>
      </c>
      <c r="CD29" s="494">
        <f>Demands!S7</f>
        <v>0.49831113834882401</v>
      </c>
      <c r="CE29" s="494">
        <f>Demands!T7</f>
        <v>0.40793968700183131</v>
      </c>
      <c r="CF29" s="494">
        <f>Demands!U7</f>
        <v>0.37892082777350039</v>
      </c>
      <c r="CG29" s="494">
        <f>Demands!V7</f>
        <v>0.60506096800451603</v>
      </c>
      <c r="CH29" s="494">
        <f>Demands!W7</f>
        <v>8.0693470189707711E-2</v>
      </c>
      <c r="CI29" s="494">
        <f>Demands!X7</f>
        <v>0.34078379979033369</v>
      </c>
      <c r="CJ29" s="494">
        <f>Demands!Y7</f>
        <v>0.1513344097795204</v>
      </c>
      <c r="CK29" s="494">
        <f>Demands!Z7</f>
        <v>0.16503078794415471</v>
      </c>
      <c r="CL29" s="494">
        <f>Demands!AA7</f>
        <v>0.19182704360164693</v>
      </c>
      <c r="CM29" s="494">
        <f>Demands!AB7</f>
        <v>0.40087863270627727</v>
      </c>
      <c r="CN29" s="494">
        <f>Demands!AC7</f>
        <v>0.15458274126405555</v>
      </c>
      <c r="CO29" s="429"/>
    </row>
    <row r="30" spans="1:94" s="201" customFormat="1">
      <c r="A30" s="548"/>
      <c r="B30" s="548"/>
      <c r="C30" s="429" t="str">
        <f>Processes!D34</f>
        <v>T-MGT-ICE_DST00</v>
      </c>
      <c r="D30" s="28" t="s">
        <v>1130</v>
      </c>
      <c r="E30" s="429" t="str">
        <f>Commodities!C9&amp;","&amp;Commodities!C11</f>
        <v>TRADST,TRABDL</v>
      </c>
      <c r="F30" s="201" t="str">
        <f>Commodities!C22</f>
        <v>TRAF</v>
      </c>
      <c r="G30" s="140">
        <f t="shared" si="36"/>
        <v>11.035</v>
      </c>
      <c r="H30" s="512">
        <f>F204/1000</f>
        <v>0.14699999999999999</v>
      </c>
      <c r="I30" s="512">
        <f>G204/1000</f>
        <v>2.9660000000000002</v>
      </c>
      <c r="J30" s="512">
        <f>H204/1000</f>
        <v>0.55300000000000005</v>
      </c>
      <c r="K30" s="512">
        <f>I204/1000</f>
        <v>0.249</v>
      </c>
      <c r="L30" s="512">
        <f>J204/1000</f>
        <v>0.217</v>
      </c>
      <c r="M30" s="512">
        <f>K204/1000</f>
        <v>0.13400000000000001</v>
      </c>
      <c r="N30" s="512">
        <f>L204/1000</f>
        <v>0.372</v>
      </c>
      <c r="O30" s="512">
        <f>M204/1000</f>
        <v>0.47899999999999998</v>
      </c>
      <c r="P30" s="512">
        <f>N204/1000</f>
        <v>0.16600000000000001</v>
      </c>
      <c r="Q30" s="512">
        <f>O204/1000</f>
        <v>0.19800000000000001</v>
      </c>
      <c r="R30" s="512">
        <f>P204/1000</f>
        <v>0.38900000000000001</v>
      </c>
      <c r="S30" s="512">
        <f>Q204/1000</f>
        <v>0.20699999999999999</v>
      </c>
      <c r="T30" s="512">
        <f>R204/1000</f>
        <v>0.22</v>
      </c>
      <c r="U30" s="512">
        <f>S204/1000</f>
        <v>1.167</v>
      </c>
      <c r="V30" s="512">
        <f>T204/1000</f>
        <v>0.26200000000000001</v>
      </c>
      <c r="W30" s="512">
        <f>U204/1000</f>
        <v>0.7</v>
      </c>
      <c r="X30" s="512">
        <f>V204/1000</f>
        <v>0.40899999999999997</v>
      </c>
      <c r="Y30" s="512">
        <f>W204/1000</f>
        <v>0.20699999999999999</v>
      </c>
      <c r="Z30" s="512">
        <f>X204/1000</f>
        <v>0.54700000000000004</v>
      </c>
      <c r="AA30" s="512">
        <f>Y204/1000</f>
        <v>7.3999999999999996E-2</v>
      </c>
      <c r="AB30" s="512">
        <f>Z204/1000</f>
        <v>0.26100000000000001</v>
      </c>
      <c r="AC30" s="512">
        <f>AA204/1000</f>
        <v>0.14799999999999999</v>
      </c>
      <c r="AD30" s="512">
        <f>AB204/1000</f>
        <v>0.20499999999999999</v>
      </c>
      <c r="AE30" s="512">
        <f>AC204/1000</f>
        <v>0.184</v>
      </c>
      <c r="AF30" s="512">
        <f>AD204/1000</f>
        <v>0.318</v>
      </c>
      <c r="AG30" s="512">
        <f>AE204/1000</f>
        <v>0.25600000000000001</v>
      </c>
      <c r="AH30" s="193"/>
      <c r="AI30" s="84"/>
      <c r="BM30" s="2" t="s">
        <v>353</v>
      </c>
      <c r="BN30" s="495" t="e">
        <f>Demands!#REF!</f>
        <v>#REF!</v>
      </c>
      <c r="BO30" s="495" t="e">
        <f>Demands!#REF!</f>
        <v>#REF!</v>
      </c>
      <c r="BP30" s="495" t="e">
        <f>Demands!#REF!</f>
        <v>#REF!</v>
      </c>
      <c r="BQ30" s="495" t="e">
        <f>Demands!#REF!</f>
        <v>#REF!</v>
      </c>
      <c r="BR30" s="495" t="e">
        <f>Demands!#REF!</f>
        <v>#REF!</v>
      </c>
      <c r="BS30" s="495" t="e">
        <f>Demands!#REF!</f>
        <v>#REF!</v>
      </c>
      <c r="BT30" s="495" t="e">
        <f>Demands!#REF!</f>
        <v>#REF!</v>
      </c>
      <c r="BU30" s="495" t="e">
        <f>Demands!#REF!</f>
        <v>#REF!</v>
      </c>
      <c r="BV30" s="495" t="e">
        <f>Demands!#REF!</f>
        <v>#REF!</v>
      </c>
      <c r="BW30" s="495" t="e">
        <f>Demands!#REF!</f>
        <v>#REF!</v>
      </c>
      <c r="BX30" s="495" t="e">
        <f>Demands!#REF!</f>
        <v>#REF!</v>
      </c>
      <c r="BY30" s="495" t="e">
        <f>Demands!#REF!</f>
        <v>#REF!</v>
      </c>
      <c r="BZ30" s="495" t="e">
        <f>Demands!#REF!</f>
        <v>#REF!</v>
      </c>
      <c r="CA30" s="495" t="e">
        <f>Demands!#REF!</f>
        <v>#REF!</v>
      </c>
      <c r="CB30" s="495" t="e">
        <f>Demands!#REF!</f>
        <v>#REF!</v>
      </c>
      <c r="CC30" s="495" t="e">
        <f>Demands!#REF!</f>
        <v>#REF!</v>
      </c>
      <c r="CD30" s="495" t="e">
        <f>Demands!#REF!</f>
        <v>#REF!</v>
      </c>
      <c r="CE30" s="495" t="e">
        <f>Demands!#REF!</f>
        <v>#REF!</v>
      </c>
      <c r="CF30" s="495" t="e">
        <f>Demands!#REF!</f>
        <v>#REF!</v>
      </c>
      <c r="CG30" s="495" t="e">
        <f>Demands!#REF!</f>
        <v>#REF!</v>
      </c>
      <c r="CH30" s="495" t="e">
        <f>Demands!#REF!</f>
        <v>#REF!</v>
      </c>
      <c r="CI30" s="495" t="e">
        <f>Demands!#REF!</f>
        <v>#REF!</v>
      </c>
      <c r="CJ30" s="495" t="e">
        <f>Demands!#REF!</f>
        <v>#REF!</v>
      </c>
      <c r="CK30" s="495" t="e">
        <f>Demands!#REF!</f>
        <v>#REF!</v>
      </c>
      <c r="CL30" s="495" t="e">
        <f>Demands!#REF!</f>
        <v>#REF!</v>
      </c>
      <c r="CM30" s="495" t="e">
        <f>Demands!#REF!</f>
        <v>#REF!</v>
      </c>
      <c r="CN30" s="495" t="e">
        <f>Demands!#REF!</f>
        <v>#REF!</v>
      </c>
      <c r="CO30" s="429"/>
    </row>
    <row r="31" spans="1:94" s="201" customFormat="1">
      <c r="A31" s="548"/>
      <c r="B31" s="548"/>
      <c r="C31" s="201" t="str">
        <f>Processes!D35</f>
        <v>T-HGT-ICE_DST00</v>
      </c>
      <c r="D31" s="28" t="s">
        <v>1130</v>
      </c>
      <c r="E31" s="429" t="str">
        <f>Commodities!C9&amp;","&amp;Commodities!C11</f>
        <v>TRADST,TRABDL</v>
      </c>
      <c r="F31" s="201" t="str">
        <f>Commodities!C22</f>
        <v>TRAF</v>
      </c>
      <c r="G31" s="10">
        <f>SUM(H31:AG31)</f>
        <v>21.648000000000003</v>
      </c>
      <c r="H31" s="512">
        <f>F205/1000</f>
        <v>0.39</v>
      </c>
      <c r="I31" s="512">
        <f>G205/1000</f>
        <v>3.883</v>
      </c>
      <c r="J31" s="512">
        <f>H205/1000</f>
        <v>1.1120000000000001</v>
      </c>
      <c r="K31" s="512">
        <f>I205/1000</f>
        <v>0.71299999999999997</v>
      </c>
      <c r="L31" s="512">
        <f>J205/1000</f>
        <v>0.45500000000000002</v>
      </c>
      <c r="M31" s="512">
        <f>K205/1000</f>
        <v>0.27600000000000002</v>
      </c>
      <c r="N31" s="512">
        <f>L205/1000</f>
        <v>0.61699999999999999</v>
      </c>
      <c r="O31" s="512">
        <f>M205/1000</f>
        <v>1.4239999999999999</v>
      </c>
      <c r="P31" s="512">
        <f>N205/1000</f>
        <v>0.32300000000000001</v>
      </c>
      <c r="Q31" s="512">
        <f>O205/1000</f>
        <v>0.316</v>
      </c>
      <c r="R31" s="512">
        <f>P205/1000</f>
        <v>1.39</v>
      </c>
      <c r="S31" s="512">
        <f>Q205/1000</f>
        <v>0.39600000000000002</v>
      </c>
      <c r="T31" s="512">
        <f>R205/1000</f>
        <v>0.39700000000000002</v>
      </c>
      <c r="U31" s="512">
        <f>S205/1000</f>
        <v>2.5579999999999998</v>
      </c>
      <c r="V31" s="512">
        <f>T205/1000</f>
        <v>0.51600000000000001</v>
      </c>
      <c r="W31" s="512">
        <f>U205/1000</f>
        <v>0.94099999999999995</v>
      </c>
      <c r="X31" s="512">
        <f>V205/1000</f>
        <v>1.05</v>
      </c>
      <c r="Y31" s="512">
        <f>W205/1000</f>
        <v>0.35799999999999998</v>
      </c>
      <c r="Z31" s="512">
        <f>X205/1000</f>
        <v>1.026</v>
      </c>
      <c r="AA31" s="512">
        <f>Y205/1000</f>
        <v>0.13500000000000001</v>
      </c>
      <c r="AB31" s="512">
        <f>Z205/1000</f>
        <v>0.56999999999999995</v>
      </c>
      <c r="AC31" s="512">
        <f>AA205/1000</f>
        <v>0.32600000000000001</v>
      </c>
      <c r="AD31" s="512">
        <f>AB205/1000</f>
        <v>0.23200000000000001</v>
      </c>
      <c r="AE31" s="512">
        <f>AC205/1000</f>
        <v>0.48799999999999999</v>
      </c>
      <c r="AF31" s="512">
        <f>AD205/1000</f>
        <v>0.72</v>
      </c>
      <c r="AG31" s="512">
        <f>AE205/1000</f>
        <v>1.036</v>
      </c>
      <c r="AH31" s="193"/>
      <c r="AI31" s="429"/>
      <c r="AJ31" s="429"/>
      <c r="AK31" s="429"/>
      <c r="AL31" s="429"/>
      <c r="AM31" s="429"/>
      <c r="AN31" s="429"/>
      <c r="AO31" s="429"/>
      <c r="AP31" s="429"/>
      <c r="AQ31" s="429"/>
      <c r="AR31" s="429"/>
      <c r="AS31" s="429"/>
      <c r="AT31" s="429"/>
      <c r="AU31" s="429"/>
      <c r="AV31" s="429"/>
      <c r="AW31" s="429"/>
      <c r="AX31" s="429"/>
      <c r="AY31" s="429"/>
      <c r="AZ31" s="429"/>
      <c r="BA31" s="429"/>
      <c r="BB31" s="429"/>
      <c r="BC31" s="429"/>
      <c r="BD31" s="429"/>
      <c r="BE31" s="429"/>
      <c r="BF31" s="429"/>
      <c r="BG31" s="429"/>
      <c r="BH31" s="429"/>
      <c r="BI31" s="429"/>
      <c r="BJ31" s="429"/>
      <c r="BM31" s="119" t="s">
        <v>1</v>
      </c>
      <c r="BN31" s="496" t="e">
        <f>SUM(BN29:BN30)</f>
        <v>#REF!</v>
      </c>
      <c r="BO31" s="496" t="e">
        <f t="shared" ref="BO31:CN31" si="38">SUM(BO29:BO30)</f>
        <v>#REF!</v>
      </c>
      <c r="BP31" s="496" t="e">
        <f t="shared" si="38"/>
        <v>#REF!</v>
      </c>
      <c r="BQ31" s="496" t="e">
        <f t="shared" si="38"/>
        <v>#REF!</v>
      </c>
      <c r="BR31" s="496" t="e">
        <f t="shared" si="38"/>
        <v>#REF!</v>
      </c>
      <c r="BS31" s="496" t="e">
        <f t="shared" si="38"/>
        <v>#REF!</v>
      </c>
      <c r="BT31" s="496" t="e">
        <f t="shared" si="38"/>
        <v>#REF!</v>
      </c>
      <c r="BU31" s="496" t="e">
        <f t="shared" si="38"/>
        <v>#REF!</v>
      </c>
      <c r="BV31" s="496" t="e">
        <f t="shared" si="38"/>
        <v>#REF!</v>
      </c>
      <c r="BW31" s="496" t="e">
        <f t="shared" si="38"/>
        <v>#REF!</v>
      </c>
      <c r="BX31" s="496" t="e">
        <f t="shared" si="38"/>
        <v>#REF!</v>
      </c>
      <c r="BY31" s="496" t="e">
        <f t="shared" si="38"/>
        <v>#REF!</v>
      </c>
      <c r="BZ31" s="496" t="e">
        <f t="shared" si="38"/>
        <v>#REF!</v>
      </c>
      <c r="CA31" s="496" t="e">
        <f t="shared" si="38"/>
        <v>#REF!</v>
      </c>
      <c r="CB31" s="496" t="e">
        <f t="shared" si="38"/>
        <v>#REF!</v>
      </c>
      <c r="CC31" s="496" t="e">
        <f t="shared" si="38"/>
        <v>#REF!</v>
      </c>
      <c r="CD31" s="496" t="e">
        <f t="shared" si="38"/>
        <v>#REF!</v>
      </c>
      <c r="CE31" s="496" t="e">
        <f t="shared" si="38"/>
        <v>#REF!</v>
      </c>
      <c r="CF31" s="496" t="e">
        <f t="shared" si="38"/>
        <v>#REF!</v>
      </c>
      <c r="CG31" s="496" t="e">
        <f t="shared" si="38"/>
        <v>#REF!</v>
      </c>
      <c r="CH31" s="496" t="e">
        <f t="shared" si="38"/>
        <v>#REF!</v>
      </c>
      <c r="CI31" s="496" t="e">
        <f t="shared" si="38"/>
        <v>#REF!</v>
      </c>
      <c r="CJ31" s="496" t="e">
        <f t="shared" si="38"/>
        <v>#REF!</v>
      </c>
      <c r="CK31" s="496" t="e">
        <f t="shared" si="38"/>
        <v>#REF!</v>
      </c>
      <c r="CL31" s="496" t="e">
        <f t="shared" si="38"/>
        <v>#REF!</v>
      </c>
      <c r="CM31" s="496" t="e">
        <f t="shared" si="38"/>
        <v>#REF!</v>
      </c>
      <c r="CN31" s="496" t="e">
        <f t="shared" si="38"/>
        <v>#REF!</v>
      </c>
      <c r="CO31" s="429"/>
    </row>
    <row r="32" spans="1:94" s="201" customFormat="1" ht="15.6">
      <c r="A32" s="548"/>
      <c r="B32" s="548"/>
      <c r="C32" s="201" t="str">
        <f>Processes!D36</f>
        <v>T-GTR-ICE_DST00</v>
      </c>
      <c r="D32" s="28" t="s">
        <v>1130</v>
      </c>
      <c r="E32" s="429" t="str">
        <f>Commodities!C9&amp;","&amp;Commodities!C11</f>
        <v>TRADST,TRABDL</v>
      </c>
      <c r="F32" s="201" t="str">
        <f>Commodities!C22</f>
        <v>TRAF</v>
      </c>
      <c r="G32" s="259">
        <f>E206/1000</f>
        <v>1.4E-2</v>
      </c>
      <c r="H32" s="259">
        <f>F206/1000</f>
        <v>0</v>
      </c>
      <c r="I32" s="259">
        <f>G206/1000</f>
        <v>1.4E-2</v>
      </c>
      <c r="J32" s="259">
        <f>H206/1000</f>
        <v>0</v>
      </c>
      <c r="K32" s="259">
        <f>I206/1000</f>
        <v>0</v>
      </c>
      <c r="L32" s="259">
        <f>J206/1000</f>
        <v>0</v>
      </c>
      <c r="M32" s="259">
        <f>K206/1000</f>
        <v>0</v>
      </c>
      <c r="N32" s="259">
        <f>L206/1000</f>
        <v>0</v>
      </c>
      <c r="O32" s="259">
        <f>M206/1000</f>
        <v>1.4E-2</v>
      </c>
      <c r="P32" s="259">
        <f>N206/1000</f>
        <v>0</v>
      </c>
      <c r="Q32" s="259">
        <f>O206/1000</f>
        <v>0</v>
      </c>
      <c r="R32" s="259">
        <f>P206/1000</f>
        <v>0</v>
      </c>
      <c r="S32" s="259">
        <f>Q206/1000</f>
        <v>0</v>
      </c>
      <c r="T32" s="259">
        <f>R206/1000</f>
        <v>0</v>
      </c>
      <c r="U32" s="259">
        <f>S206/1000</f>
        <v>0</v>
      </c>
      <c r="V32" s="259">
        <f>T206/1000</f>
        <v>0</v>
      </c>
      <c r="W32" s="259">
        <f>U206/1000</f>
        <v>0</v>
      </c>
      <c r="X32" s="259">
        <f>V206/1000</f>
        <v>0</v>
      </c>
      <c r="Y32" s="259">
        <f>W206/1000</f>
        <v>1.4E-2</v>
      </c>
      <c r="Z32" s="259">
        <f>X206/1000</f>
        <v>0</v>
      </c>
      <c r="AA32" s="259">
        <f>Y206/1000</f>
        <v>0</v>
      </c>
      <c r="AB32" s="259">
        <f>Z206/1000</f>
        <v>1.4E-2</v>
      </c>
      <c r="AC32" s="259">
        <f>AA206/1000</f>
        <v>0</v>
      </c>
      <c r="AD32" s="259">
        <f>AB206/1000</f>
        <v>0</v>
      </c>
      <c r="AE32" s="259">
        <f>AC206/1000</f>
        <v>0</v>
      </c>
      <c r="AF32" s="259">
        <f>AD206/1000</f>
        <v>0</v>
      </c>
      <c r="AG32" s="259">
        <f>AE206/1000</f>
        <v>0</v>
      </c>
      <c r="AH32" s="193"/>
      <c r="AI32" s="429" t="s">
        <v>1031</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29"/>
      <c r="BL32" s="429"/>
      <c r="BN32" s="429"/>
      <c r="BO32" s="429"/>
      <c r="BP32" s="429"/>
      <c r="BQ32" s="429"/>
      <c r="BR32" s="429"/>
      <c r="BS32" s="429"/>
      <c r="BT32" s="429"/>
      <c r="BU32" s="429"/>
      <c r="BV32" s="429"/>
      <c r="BW32" s="429"/>
      <c r="BX32" s="429"/>
      <c r="BY32" s="429"/>
      <c r="BZ32" s="429"/>
      <c r="CA32" s="429"/>
      <c r="CB32" s="429"/>
      <c r="CC32" s="429"/>
      <c r="CD32" s="429"/>
      <c r="CE32" s="429"/>
      <c r="CF32" s="429"/>
      <c r="CG32" s="429"/>
      <c r="CH32" s="429"/>
      <c r="CI32" s="429"/>
      <c r="CJ32" s="429"/>
      <c r="CK32" s="429"/>
      <c r="CL32" s="429"/>
      <c r="CM32" s="429"/>
      <c r="CN32" s="429"/>
      <c r="CO32" s="429"/>
    </row>
    <row r="33" spans="1:93" s="201" customFormat="1" ht="15.6">
      <c r="A33" s="548"/>
      <c r="B33" s="548"/>
      <c r="C33" s="531"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31" t="s">
        <v>346</v>
      </c>
      <c r="AJ33" s="431" t="str">
        <f>AJ4</f>
        <v>IE</v>
      </c>
      <c r="AK33" s="431" t="str">
        <f t="shared" ref="AK33:BJ33" si="39">AK4</f>
        <v>IE-CW</v>
      </c>
      <c r="AL33" s="431" t="str">
        <f t="shared" si="39"/>
        <v>IE-D</v>
      </c>
      <c r="AM33" s="431" t="str">
        <f t="shared" si="39"/>
        <v>IE-KE</v>
      </c>
      <c r="AN33" s="431" t="str">
        <f t="shared" si="39"/>
        <v>IE-KK</v>
      </c>
      <c r="AO33" s="431" t="str">
        <f t="shared" si="39"/>
        <v>IE-LS</v>
      </c>
      <c r="AP33" s="431" t="str">
        <f t="shared" si="39"/>
        <v>IE-LD</v>
      </c>
      <c r="AQ33" s="431" t="str">
        <f t="shared" si="39"/>
        <v>IE-LH</v>
      </c>
      <c r="AR33" s="431" t="str">
        <f t="shared" si="39"/>
        <v>IE-MH</v>
      </c>
      <c r="AS33" s="431" t="str">
        <f t="shared" si="39"/>
        <v>IE-OY</v>
      </c>
      <c r="AT33" s="431" t="str">
        <f t="shared" si="39"/>
        <v>IE-WH</v>
      </c>
      <c r="AU33" s="431" t="str">
        <f t="shared" si="39"/>
        <v>IE-WX</v>
      </c>
      <c r="AV33" s="431" t="str">
        <f t="shared" si="39"/>
        <v>IE-WW</v>
      </c>
      <c r="AW33" s="431" t="str">
        <f t="shared" si="39"/>
        <v>IE-CE</v>
      </c>
      <c r="AX33" s="431" t="str">
        <f t="shared" si="39"/>
        <v>IE-CO</v>
      </c>
      <c r="AY33" s="431" t="str">
        <f t="shared" si="39"/>
        <v>IE-KY</v>
      </c>
      <c r="AZ33" s="431" t="str">
        <f t="shared" si="39"/>
        <v>IE-LK</v>
      </c>
      <c r="BA33" s="431" t="str">
        <f t="shared" si="39"/>
        <v>IE-TA</v>
      </c>
      <c r="BB33" s="431" t="str">
        <f t="shared" si="39"/>
        <v>IE-WD</v>
      </c>
      <c r="BC33" s="431" t="str">
        <f t="shared" si="39"/>
        <v>IE-G</v>
      </c>
      <c r="BD33" s="431" t="str">
        <f t="shared" si="39"/>
        <v>IE-LM</v>
      </c>
      <c r="BE33" s="431" t="str">
        <f t="shared" si="39"/>
        <v>IE-MO</v>
      </c>
      <c r="BF33" s="431" t="str">
        <f t="shared" si="39"/>
        <v>IE-RN</v>
      </c>
      <c r="BG33" s="431" t="str">
        <f t="shared" si="39"/>
        <v>IE-SO</v>
      </c>
      <c r="BH33" s="431" t="str">
        <f t="shared" si="39"/>
        <v>IE-CN</v>
      </c>
      <c r="BI33" s="431" t="str">
        <f t="shared" si="39"/>
        <v>IE-DL</v>
      </c>
      <c r="BJ33" s="431" t="str">
        <f t="shared" si="39"/>
        <v>IE-MN</v>
      </c>
      <c r="BK33" s="429"/>
      <c r="BL33" s="429"/>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row>
    <row r="34" spans="1:93" s="201" customFormat="1">
      <c r="A34" s="548"/>
      <c r="B34" s="548"/>
      <c r="C34" s="201" t="str">
        <f>Processes!D38</f>
        <v>T-TUR_CON00</v>
      </c>
      <c r="D34" s="28" t="s">
        <v>821</v>
      </c>
      <c r="E34" s="429" t="str">
        <f>Commodities!C9&amp;","&amp;Commodities!C11</f>
        <v>TRADST,TRABDL</v>
      </c>
      <c r="F34" s="201" t="str">
        <f>Commodities!C23</f>
        <v>TTURS</v>
      </c>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193"/>
      <c r="AI34" s="429" t="s">
        <v>355</v>
      </c>
      <c r="AJ34" s="375">
        <f>AJ6</f>
        <v>0.1197193932</v>
      </c>
      <c r="AK34" s="375">
        <f>AK6</f>
        <v>1.6330940999999999E-3</v>
      </c>
      <c r="AL34" s="375">
        <f>AL6</f>
        <v>3.8829524800000001E-2</v>
      </c>
      <c r="AM34" s="375">
        <f t="shared" ref="AM34:BJ34" si="40">AM6</f>
        <v>6.505734400000001E-3</v>
      </c>
      <c r="AN34" s="375">
        <f t="shared" si="40"/>
        <v>2.5437984E-3</v>
      </c>
      <c r="AO34" s="375">
        <f t="shared" si="40"/>
        <v>1.5292530000000002E-3</v>
      </c>
      <c r="AP34" s="375">
        <f t="shared" si="40"/>
        <v>6.2534670000000006E-4</v>
      </c>
      <c r="AQ34" s="375">
        <f t="shared" si="40"/>
        <v>2.5938989999999998E-3</v>
      </c>
      <c r="AR34" s="375">
        <f t="shared" si="40"/>
        <v>5.0422328000000001E-3</v>
      </c>
      <c r="AS34" s="375">
        <f t="shared" si="40"/>
        <v>1.9545504000000003E-3</v>
      </c>
      <c r="AT34" s="375">
        <f t="shared" si="40"/>
        <v>1.7978663999999999E-3</v>
      </c>
      <c r="AU34" s="375">
        <f t="shared" si="40"/>
        <v>4.4015862000000008E-3</v>
      </c>
      <c r="AV34" s="375">
        <f t="shared" si="40"/>
        <v>4.6495680000000015E-3</v>
      </c>
      <c r="AW34" s="375">
        <f t="shared" si="40"/>
        <v>2.7707064000000005E-3</v>
      </c>
      <c r="AX34" s="375">
        <f t="shared" si="40"/>
        <v>1.6120473600000004E-2</v>
      </c>
      <c r="AY34" s="375">
        <f t="shared" si="40"/>
        <v>3.1307760000000005E-3</v>
      </c>
      <c r="AZ34" s="375">
        <f t="shared" si="40"/>
        <v>4.4223300000000012E-3</v>
      </c>
      <c r="BA34" s="375">
        <f t="shared" si="40"/>
        <v>4.1843208000000003E-3</v>
      </c>
      <c r="BB34" s="375">
        <f t="shared" si="40"/>
        <v>3.7662504000000002E-3</v>
      </c>
      <c r="BC34" s="375">
        <f t="shared" si="40"/>
        <v>4.3318637999999994E-3</v>
      </c>
      <c r="BD34" s="375">
        <f t="shared" si="40"/>
        <v>4.796E-4</v>
      </c>
      <c r="BE34" s="375">
        <f t="shared" si="40"/>
        <v>1.8088290000000003E-3</v>
      </c>
      <c r="BF34" s="375">
        <f t="shared" si="40"/>
        <v>8.8556050000000003E-4</v>
      </c>
      <c r="BG34" s="375">
        <f t="shared" si="40"/>
        <v>1.1651200000000002E-3</v>
      </c>
      <c r="BH34" s="375">
        <f t="shared" si="40"/>
        <v>1.3359808000000001E-3</v>
      </c>
      <c r="BI34" s="375">
        <f t="shared" si="40"/>
        <v>2.2612128000000006E-3</v>
      </c>
      <c r="BJ34" s="375">
        <f t="shared" si="40"/>
        <v>9.2045800000000008E-4</v>
      </c>
      <c r="BK34" s="429"/>
      <c r="BL34" s="429"/>
      <c r="BN34" s="429"/>
      <c r="BO34" s="429"/>
      <c r="BP34" s="429"/>
      <c r="BQ34" s="429"/>
      <c r="BR34" s="429"/>
      <c r="BS34" s="429"/>
      <c r="BT34" s="429"/>
      <c r="BU34" s="429"/>
      <c r="BV34" s="429"/>
      <c r="BW34" s="429"/>
      <c r="BX34" s="429"/>
      <c r="BY34" s="429"/>
      <c r="BZ34" s="429"/>
      <c r="CA34" s="429"/>
      <c r="CB34" s="429"/>
      <c r="CC34" s="429"/>
      <c r="CD34" s="429"/>
      <c r="CE34" s="429"/>
      <c r="CF34" s="429"/>
      <c r="CG34" s="429"/>
      <c r="CH34" s="429"/>
      <c r="CI34" s="429"/>
      <c r="CJ34" s="429"/>
      <c r="CK34" s="429"/>
      <c r="CL34" s="429"/>
      <c r="CM34" s="429"/>
      <c r="CN34" s="429"/>
    </row>
    <row r="35" spans="1:93" s="201" customFormat="1" ht="15.6">
      <c r="A35" s="548"/>
      <c r="B35" s="548"/>
      <c r="C35" s="201" t="str">
        <f>Processes!D39</f>
        <v>T-NAV_CON00</v>
      </c>
      <c r="D35" s="28" t="s">
        <v>821</v>
      </c>
      <c r="E35" s="429"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29" t="s">
        <v>354</v>
      </c>
      <c r="AJ35" s="375">
        <f>SUM(AJ8:AJ16)</f>
        <v>53.758747600038653</v>
      </c>
      <c r="AK35" s="375">
        <f t="shared" ref="AK35:BJ35" si="41">SUM(AK8:AK16)</f>
        <v>0.78966407904147462</v>
      </c>
      <c r="AL35" s="375">
        <f t="shared" si="41"/>
        <v>11.079564756060126</v>
      </c>
      <c r="AM35" s="375">
        <f t="shared" si="41"/>
        <v>2.6964779761585058</v>
      </c>
      <c r="AN35" s="375">
        <f t="shared" si="41"/>
        <v>1.2690988363284785</v>
      </c>
      <c r="AO35" s="375">
        <f t="shared" si="41"/>
        <v>1.0068606202341559</v>
      </c>
      <c r="AP35" s="375">
        <f t="shared" si="41"/>
        <v>0.52947645374390007</v>
      </c>
      <c r="AQ35" s="375">
        <f t="shared" si="41"/>
        <v>1.3352294033040024</v>
      </c>
      <c r="AR35" s="375">
        <f t="shared" si="41"/>
        <v>2.3869119684108218</v>
      </c>
      <c r="AS35" s="375">
        <f t="shared" si="41"/>
        <v>0.98093561302287224</v>
      </c>
      <c r="AT35" s="375">
        <f t="shared" si="41"/>
        <v>1.175222403819151</v>
      </c>
      <c r="AU35" s="375">
        <f t="shared" si="41"/>
        <v>2.0626315938238249</v>
      </c>
      <c r="AV35" s="375">
        <f t="shared" si="41"/>
        <v>1.7237353997585985</v>
      </c>
      <c r="AW35" s="375">
        <f t="shared" si="41"/>
        <v>1.5984164656182818</v>
      </c>
      <c r="AX35" s="375">
        <f t="shared" si="41"/>
        <v>6.4232698866175211</v>
      </c>
      <c r="AY35" s="375">
        <f t="shared" si="41"/>
        <v>1.9344771216245975</v>
      </c>
      <c r="AZ35" s="375">
        <f t="shared" si="41"/>
        <v>2.3378489986886493</v>
      </c>
      <c r="BA35" s="375">
        <f t="shared" si="41"/>
        <v>2.2506745506428643</v>
      </c>
      <c r="BB35" s="375">
        <f t="shared" si="41"/>
        <v>1.4711859036504289</v>
      </c>
      <c r="BC35" s="375">
        <f t="shared" si="41"/>
        <v>3.4157125375195854</v>
      </c>
      <c r="BD35" s="375">
        <f t="shared" si="41"/>
        <v>0.43240953811041527</v>
      </c>
      <c r="BE35" s="375">
        <f t="shared" si="41"/>
        <v>1.7032425856842379</v>
      </c>
      <c r="BF35" s="375">
        <f t="shared" si="41"/>
        <v>0.99024429529398805</v>
      </c>
      <c r="BG35" s="375">
        <f t="shared" si="41"/>
        <v>0.78418802822583822</v>
      </c>
      <c r="BH35" s="375">
        <f t="shared" si="41"/>
        <v>0.9154658907750638</v>
      </c>
      <c r="BI35" s="375">
        <f t="shared" si="41"/>
        <v>1.7427772833553983</v>
      </c>
      <c r="BJ35" s="375">
        <f t="shared" si="41"/>
        <v>0.76583177166814842</v>
      </c>
      <c r="BK35" s="429"/>
      <c r="BL35" s="429"/>
      <c r="BM35" s="429" t="s">
        <v>1040</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548"/>
      <c r="B36" s="548"/>
      <c r="C36" s="201" t="str">
        <f>Processes!D40</f>
        <v>T-OTH_CON00</v>
      </c>
      <c r="D36" s="28" t="s">
        <v>821</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29" t="s">
        <v>351</v>
      </c>
      <c r="AJ36" s="375">
        <f t="shared" ref="AJ36:BJ36" si="42">SUM(AJ18:AJ20)</f>
        <v>1.2560687371407953</v>
      </c>
      <c r="AK36" s="375">
        <f t="shared" si="42"/>
        <v>8.6519167029038106E-3</v>
      </c>
      <c r="AL36" s="375">
        <f t="shared" si="42"/>
        <v>0.64155712623289118</v>
      </c>
      <c r="AM36" s="375">
        <f t="shared" si="42"/>
        <v>5.2060708829763568E-2</v>
      </c>
      <c r="AN36" s="375">
        <f t="shared" si="42"/>
        <v>1.337629360534914E-2</v>
      </c>
      <c r="AO36" s="375">
        <f t="shared" si="42"/>
        <v>1.3999979786088411E-2</v>
      </c>
      <c r="AP36" s="375">
        <f t="shared" si="42"/>
        <v>5.8868284440788919E-3</v>
      </c>
      <c r="AQ36" s="375">
        <f t="shared" si="42"/>
        <v>3.6544391764975877E-2</v>
      </c>
      <c r="AR36" s="375">
        <f t="shared" si="42"/>
        <v>6.333299165780075E-2</v>
      </c>
      <c r="AS36" s="375">
        <f t="shared" si="42"/>
        <v>9.4047320049095353E-3</v>
      </c>
      <c r="AT36" s="375">
        <f t="shared" si="42"/>
        <v>1.7567036174527199E-2</v>
      </c>
      <c r="AU36" s="375">
        <f t="shared" si="42"/>
        <v>1.5509834274720994E-2</v>
      </c>
      <c r="AV36" s="375">
        <f t="shared" si="42"/>
        <v>2.0545174726743252E-2</v>
      </c>
      <c r="AW36" s="375">
        <f t="shared" si="42"/>
        <v>2.0828449526479477E-2</v>
      </c>
      <c r="AX36" s="375">
        <f t="shared" si="42"/>
        <v>0.10429714230065162</v>
      </c>
      <c r="AY36" s="375">
        <f t="shared" si="42"/>
        <v>2.7021552127919037E-2</v>
      </c>
      <c r="AZ36" s="375">
        <f t="shared" si="42"/>
        <v>3.9025323445254577E-2</v>
      </c>
      <c r="BA36" s="375">
        <f t="shared" si="42"/>
        <v>1.5267985174916173E-2</v>
      </c>
      <c r="BB36" s="375">
        <f t="shared" si="42"/>
        <v>1.7575606288714341E-2</v>
      </c>
      <c r="BC36" s="375">
        <f t="shared" si="42"/>
        <v>5.7645097586095456E-2</v>
      </c>
      <c r="BD36" s="375">
        <f t="shared" si="42"/>
        <v>4.1674567453412322E-3</v>
      </c>
      <c r="BE36" s="375">
        <f t="shared" si="42"/>
        <v>1.6589908876156006E-2</v>
      </c>
      <c r="BF36" s="375">
        <f t="shared" si="42"/>
        <v>7.6486165383991157E-3</v>
      </c>
      <c r="BG36" s="375">
        <f t="shared" si="42"/>
        <v>9.9008437403891314E-3</v>
      </c>
      <c r="BH36" s="375">
        <f t="shared" si="42"/>
        <v>1.0753641718562811E-2</v>
      </c>
      <c r="BI36" s="375">
        <f t="shared" si="42"/>
        <v>2.2082561304006636E-2</v>
      </c>
      <c r="BJ36" s="375">
        <f t="shared" si="42"/>
        <v>4.8388917708456604E-3</v>
      </c>
      <c r="BK36" s="429"/>
      <c r="BL36" s="429"/>
      <c r="BM36" s="431" t="str">
        <f>BM28</f>
        <v>Technology</v>
      </c>
      <c r="BN36" s="431" t="str">
        <f t="shared" ref="BN36:CN36" si="43">BN28</f>
        <v>IE</v>
      </c>
      <c r="BO36" s="431" t="str">
        <f t="shared" si="43"/>
        <v>IE-CW</v>
      </c>
      <c r="BP36" s="431" t="str">
        <f t="shared" si="43"/>
        <v>IE-D</v>
      </c>
      <c r="BQ36" s="431" t="str">
        <f t="shared" si="43"/>
        <v>IE-KE</v>
      </c>
      <c r="BR36" s="431" t="str">
        <f t="shared" si="43"/>
        <v>IE-KK</v>
      </c>
      <c r="BS36" s="431" t="str">
        <f t="shared" si="43"/>
        <v>IE-LS</v>
      </c>
      <c r="BT36" s="431" t="str">
        <f t="shared" si="43"/>
        <v>IE-LD</v>
      </c>
      <c r="BU36" s="431" t="str">
        <f t="shared" si="43"/>
        <v>IE-LH</v>
      </c>
      <c r="BV36" s="431" t="str">
        <f t="shared" si="43"/>
        <v>IE-MH</v>
      </c>
      <c r="BW36" s="431" t="str">
        <f t="shared" si="43"/>
        <v>IE-OY</v>
      </c>
      <c r="BX36" s="431" t="str">
        <f t="shared" si="43"/>
        <v>IE-WH</v>
      </c>
      <c r="BY36" s="431" t="str">
        <f t="shared" si="43"/>
        <v>IE-WX</v>
      </c>
      <c r="BZ36" s="431" t="str">
        <f t="shared" si="43"/>
        <v>IE-WW</v>
      </c>
      <c r="CA36" s="431" t="str">
        <f t="shared" si="43"/>
        <v>IE-CE</v>
      </c>
      <c r="CB36" s="431" t="str">
        <f t="shared" si="43"/>
        <v>IE-CO</v>
      </c>
      <c r="CC36" s="431" t="str">
        <f t="shared" si="43"/>
        <v>IE-KY</v>
      </c>
      <c r="CD36" s="431" t="str">
        <f t="shared" si="43"/>
        <v>IE-LK</v>
      </c>
      <c r="CE36" s="431" t="str">
        <f t="shared" si="43"/>
        <v>IE-TA</v>
      </c>
      <c r="CF36" s="431" t="str">
        <f t="shared" si="43"/>
        <v>IE-WD</v>
      </c>
      <c r="CG36" s="431" t="str">
        <f t="shared" si="43"/>
        <v>IE-G</v>
      </c>
      <c r="CH36" s="431" t="str">
        <f t="shared" si="43"/>
        <v>IE-LM</v>
      </c>
      <c r="CI36" s="431" t="str">
        <f t="shared" si="43"/>
        <v>IE-MO</v>
      </c>
      <c r="CJ36" s="431" t="str">
        <f t="shared" si="43"/>
        <v>IE-RN</v>
      </c>
      <c r="CK36" s="431" t="str">
        <f t="shared" si="43"/>
        <v>IE-SO</v>
      </c>
      <c r="CL36" s="431" t="str">
        <f t="shared" si="43"/>
        <v>IE-CN</v>
      </c>
      <c r="CM36" s="431" t="str">
        <f t="shared" si="43"/>
        <v>IE-DL</v>
      </c>
      <c r="CN36" s="431" t="str">
        <f t="shared" si="43"/>
        <v>IE-MN</v>
      </c>
      <c r="CO36" s="2"/>
    </row>
    <row r="37" spans="1:93" s="201" customFormat="1" ht="15.6">
      <c r="A37" s="548"/>
      <c r="B37" s="548"/>
      <c r="C37" s="422" t="s">
        <v>729</v>
      </c>
      <c r="D37" s="422"/>
      <c r="E37" s="423"/>
      <c r="F37" s="423"/>
      <c r="G37" s="423"/>
      <c r="H37" s="423"/>
      <c r="I37" s="423"/>
      <c r="J37" s="423"/>
      <c r="K37" s="423"/>
      <c r="L37" s="423"/>
      <c r="M37" s="423"/>
      <c r="N37" s="423"/>
      <c r="O37" s="423"/>
      <c r="P37" s="423"/>
      <c r="Q37" s="423"/>
      <c r="R37" s="423"/>
      <c r="S37" s="423"/>
      <c r="T37" s="423"/>
      <c r="U37" s="423"/>
      <c r="V37" s="423"/>
      <c r="W37" s="423"/>
      <c r="X37" s="423"/>
      <c r="Y37" s="423"/>
      <c r="Z37" s="423"/>
      <c r="AA37" s="423"/>
      <c r="AB37" s="423"/>
      <c r="AC37" s="423"/>
      <c r="AD37" s="423"/>
      <c r="AE37" s="423"/>
      <c r="AF37" s="423"/>
      <c r="AG37" s="423"/>
      <c r="AH37" s="193"/>
      <c r="AI37" s="429" t="s">
        <v>573</v>
      </c>
      <c r="AJ37" s="375">
        <f>AJ22</f>
        <v>10.519481681250003</v>
      </c>
      <c r="AK37" s="375">
        <f t="shared" ref="AK37:BJ37" si="44">AK22</f>
        <v>0.11808831099999999</v>
      </c>
      <c r="AL37" s="375">
        <f t="shared" si="44"/>
        <v>3.5358560684999998</v>
      </c>
      <c r="AM37" s="375">
        <f t="shared" si="44"/>
        <v>0.45269495775000002</v>
      </c>
      <c r="AN37" s="375">
        <f t="shared" si="44"/>
        <v>0.29241756999999996</v>
      </c>
      <c r="AO37" s="375">
        <f t="shared" si="44"/>
        <v>0.1493744175</v>
      </c>
      <c r="AP37" s="375">
        <f t="shared" si="44"/>
        <v>8.4421181249999991E-2</v>
      </c>
      <c r="AQ37" s="375">
        <f t="shared" si="44"/>
        <v>0.22892670500000004</v>
      </c>
      <c r="AR37" s="375">
        <f t="shared" si="44"/>
        <v>0.30109920200000001</v>
      </c>
      <c r="AS37" s="375">
        <f t="shared" si="44"/>
        <v>0.18289379775</v>
      </c>
      <c r="AT37" s="375">
        <f t="shared" si="44"/>
        <v>0.14101548000000003</v>
      </c>
      <c r="AU37" s="375">
        <f t="shared" si="44"/>
        <v>0.26711272949999998</v>
      </c>
      <c r="AV37" s="375">
        <f t="shared" si="44"/>
        <v>0.24114906574999997</v>
      </c>
      <c r="AW37" s="375">
        <f t="shared" si="44"/>
        <v>0.20048626149999998</v>
      </c>
      <c r="AX37" s="375">
        <f t="shared" si="44"/>
        <v>0.79161909450000012</v>
      </c>
      <c r="AY37" s="375">
        <f t="shared" si="44"/>
        <v>0.49987923200000006</v>
      </c>
      <c r="AZ37" s="375">
        <f t="shared" si="44"/>
        <v>0.29683354150000002</v>
      </c>
      <c r="BA37" s="375">
        <f t="shared" si="44"/>
        <v>0.34555485200000002</v>
      </c>
      <c r="BB37" s="375">
        <f t="shared" si="44"/>
        <v>0.1514736485</v>
      </c>
      <c r="BC37" s="375">
        <f t="shared" si="44"/>
        <v>0.57002661799999998</v>
      </c>
      <c r="BD37" s="375">
        <f t="shared" si="44"/>
        <v>5.9836094999999999E-2</v>
      </c>
      <c r="BE37" s="375">
        <f t="shared" si="44"/>
        <v>0.34838503700000001</v>
      </c>
      <c r="BF37" s="375">
        <f t="shared" si="44"/>
        <v>0.10867027499999998</v>
      </c>
      <c r="BG37" s="375">
        <f t="shared" si="44"/>
        <v>0.11319791700000001</v>
      </c>
      <c r="BH37" s="375">
        <f t="shared" si="44"/>
        <v>0.20658056049999998</v>
      </c>
      <c r="BI37" s="375">
        <f t="shared" si="44"/>
        <v>0.55923812499999992</v>
      </c>
      <c r="BJ37" s="375">
        <f t="shared" si="44"/>
        <v>0.27255499050000004</v>
      </c>
      <c r="BK37" s="429"/>
      <c r="BL37" s="429"/>
      <c r="BM37" s="493" t="s">
        <v>1039</v>
      </c>
      <c r="BN37" s="494">
        <f>1000*BN29/SUMPRODUCT(G28:G31,AF!D23:'AF'!D26)</f>
        <v>1.4321167629556155</v>
      </c>
      <c r="BO37" s="494">
        <f>1000*BO29/SUMPRODUCT(H28:H31,AF!E23:'AF'!E26)</f>
        <v>1.3428425077521915</v>
      </c>
      <c r="BP37" s="494">
        <f>1000*BP29/SUMPRODUCT(I28:I31,AF!F23:'AF'!F26)</f>
        <v>1.4718999323407369</v>
      </c>
      <c r="BQ37" s="494">
        <f>1000*BQ29/SUMPRODUCT(J28:J31,AF!G23:'AF'!G26)</f>
        <v>1.2553303843672037</v>
      </c>
      <c r="BR37" s="494">
        <f>1000*BR29/SUMPRODUCT(K28:K31,AF!H23:'AF'!H26)</f>
        <v>1.5999301336917628</v>
      </c>
      <c r="BS37" s="494">
        <f>1000*BS29/SUMPRODUCT(L28:L31,AF!I23:'AF'!I26)</f>
        <v>1.5754341558491574</v>
      </c>
      <c r="BT37" s="494">
        <f>1000*BT29/SUMPRODUCT(M28:M31,AF!J23:'AF'!J26)</f>
        <v>1.1939297728276914</v>
      </c>
      <c r="BU37" s="494">
        <f>1000*BU29/SUMPRODUCT(N28:N31,AF!K23:'AF'!K26)</f>
        <v>1.4478861918745998</v>
      </c>
      <c r="BV37" s="494">
        <f>1000*BV29/SUMPRODUCT(O28:O31,AF!L23:'AF'!L26)</f>
        <v>1.174662104728061</v>
      </c>
      <c r="BW37" s="494">
        <f>1000*BW29/SUMPRODUCT(P28:P31,AF!M23:'AF'!M26)</f>
        <v>1.4365816026400364</v>
      </c>
      <c r="BX37" s="494">
        <f>1000*BX29/SUMPRODUCT(Q28:Q31,AF!N23:'AF'!N26)</f>
        <v>1.304457012077233</v>
      </c>
      <c r="BY37" s="494">
        <f>1000*BY29/SUMPRODUCT(R28:R31,AF!O23:'AF'!O26)</f>
        <v>1.3647535702128299</v>
      </c>
      <c r="BZ37" s="494">
        <f>1000*BZ29/SUMPRODUCT(S28:S31,AF!P23:'AF'!P26)</f>
        <v>1.5394934805056175</v>
      </c>
      <c r="CA37" s="494">
        <f>1000*CA29/SUMPRODUCT(T28:T31,AF!Q23:'AF'!Q26)</f>
        <v>1.488179977367716</v>
      </c>
      <c r="CB37" s="494">
        <f>1000*CB29/SUMPRODUCT(U28:U31,AF!R23:'AF'!R26)</f>
        <v>1.7862534509163968</v>
      </c>
      <c r="CC37" s="494">
        <f>1000*CC29/SUMPRODUCT(V28:V31,AF!S23:'AF'!S26)</f>
        <v>1.7356132853156252</v>
      </c>
      <c r="CD37" s="494">
        <f>1000*CD29/SUMPRODUCT(W28:W31,AF!T23:'AF'!T26)</f>
        <v>1.5265980187930983</v>
      </c>
      <c r="CE37" s="494">
        <f>1000*CE29/SUMPRODUCT(X28:X31,AF!U23:'AF'!U26)</f>
        <v>1.3242407658598228</v>
      </c>
      <c r="CF37" s="494">
        <f>1000*CF29/SUMPRODUCT(Y28:Y31,AF!V23:'AF'!V26)</f>
        <v>2.2800272052255446</v>
      </c>
      <c r="CG37" s="494">
        <f>1000*CG29/SUMPRODUCT(Z28:Z31,AF!W23:'AF'!W26)</f>
        <v>1.3696122110589324</v>
      </c>
      <c r="CH37" s="494">
        <f>1000*CH29/SUMPRODUCT(AA28:AA31,AF!X23:'AF'!X26)</f>
        <v>1.0828461761403867</v>
      </c>
      <c r="CI37" s="494">
        <f>1000*CI29/SUMPRODUCT(AB28:AB31,AF!Y23:'AF'!Y26)</f>
        <v>1.2038996686486059</v>
      </c>
      <c r="CJ37" s="494">
        <f>1000*CJ29/SUMPRODUCT(AC28:AC31,AF!Z23:'AF'!Z26)</f>
        <v>1.0559418434038761</v>
      </c>
      <c r="CK37" s="494">
        <f>1000*CK29/SUMPRODUCT(AD28:AD31,AF!AA23:'AF'!AA26)</f>
        <v>1.3046286204306352</v>
      </c>
      <c r="CL37" s="494">
        <f>1000*CL29/SUMPRODUCT(AE28:AE31,AF!AB23:'AF'!AB26)</f>
        <v>1.0075467300875378</v>
      </c>
      <c r="CM37" s="494">
        <f>1000*CM29/SUMPRODUCT(AF28:AF31,AF!AC23:'AF'!AC26)</f>
        <v>1.315754910870683</v>
      </c>
      <c r="CN37" s="494">
        <f>1000*CN29/SUMPRODUCT(AG28:AG31,AF!AD23:'AF'!AD26)</f>
        <v>0.74828744672264424</v>
      </c>
      <c r="CO37" s="2"/>
    </row>
    <row r="38" spans="1:93" s="201" customFormat="1">
      <c r="A38" s="548"/>
      <c r="B38" s="548"/>
      <c r="C38" s="2" t="str">
        <f>Processes!D42</f>
        <v>T-AVI_DOM00</v>
      </c>
      <c r="D38" s="424" t="s">
        <v>821</v>
      </c>
      <c r="E38" s="2" t="str">
        <f>Commodities!C18</f>
        <v>TRAKER</v>
      </c>
      <c r="F38" s="2" t="str">
        <f>Commodities!C26</f>
        <v>TAVIDOM</v>
      </c>
      <c r="G38" s="425"/>
      <c r="H38" s="425"/>
      <c r="I38" s="425"/>
      <c r="J38" s="425"/>
      <c r="K38" s="425"/>
      <c r="L38" s="425"/>
      <c r="M38" s="425"/>
      <c r="N38" s="425"/>
      <c r="O38" s="425"/>
      <c r="P38" s="425"/>
      <c r="Q38" s="425"/>
      <c r="R38" s="425"/>
      <c r="S38" s="425"/>
      <c r="T38" s="425"/>
      <c r="U38" s="425"/>
      <c r="V38" s="425"/>
      <c r="W38" s="425"/>
      <c r="X38" s="425"/>
      <c r="Y38" s="425"/>
      <c r="Z38" s="425"/>
      <c r="AA38" s="425"/>
      <c r="AB38" s="425"/>
      <c r="AC38" s="425"/>
      <c r="AD38" s="425"/>
      <c r="AE38" s="425"/>
      <c r="AF38" s="425"/>
      <c r="AG38" s="425"/>
      <c r="AH38" s="193"/>
      <c r="AI38" s="429" t="s">
        <v>560</v>
      </c>
      <c r="AJ38" s="375">
        <f t="shared" ref="AJ38:BJ38" si="45">AJ24</f>
        <v>0.31718342830155838</v>
      </c>
      <c r="AK38" s="375">
        <f t="shared" si="45"/>
        <v>0</v>
      </c>
      <c r="AL38" s="375">
        <f t="shared" si="45"/>
        <v>0.31718342830155838</v>
      </c>
      <c r="AM38" s="375">
        <f t="shared" si="45"/>
        <v>0</v>
      </c>
      <c r="AN38" s="375">
        <f t="shared" si="45"/>
        <v>0</v>
      </c>
      <c r="AO38" s="375">
        <f t="shared" si="45"/>
        <v>0</v>
      </c>
      <c r="AP38" s="375">
        <f t="shared" si="45"/>
        <v>0</v>
      </c>
      <c r="AQ38" s="375">
        <f t="shared" si="45"/>
        <v>0</v>
      </c>
      <c r="AR38" s="375">
        <f t="shared" si="45"/>
        <v>0</v>
      </c>
      <c r="AS38" s="375">
        <f t="shared" si="45"/>
        <v>0</v>
      </c>
      <c r="AT38" s="375">
        <f t="shared" si="45"/>
        <v>0</v>
      </c>
      <c r="AU38" s="375">
        <f t="shared" si="45"/>
        <v>0</v>
      </c>
      <c r="AV38" s="375">
        <f t="shared" si="45"/>
        <v>0</v>
      </c>
      <c r="AW38" s="375">
        <f t="shared" si="45"/>
        <v>0</v>
      </c>
      <c r="AX38" s="375">
        <f t="shared" si="45"/>
        <v>0</v>
      </c>
      <c r="AY38" s="375">
        <f t="shared" si="45"/>
        <v>0</v>
      </c>
      <c r="AZ38" s="375">
        <f t="shared" si="45"/>
        <v>0</v>
      </c>
      <c r="BA38" s="375">
        <f t="shared" si="45"/>
        <v>0</v>
      </c>
      <c r="BB38" s="375">
        <f t="shared" si="45"/>
        <v>0</v>
      </c>
      <c r="BC38" s="375">
        <f t="shared" si="45"/>
        <v>0</v>
      </c>
      <c r="BD38" s="375">
        <f t="shared" si="45"/>
        <v>0</v>
      </c>
      <c r="BE38" s="375">
        <f t="shared" si="45"/>
        <v>0</v>
      </c>
      <c r="BF38" s="375">
        <f t="shared" si="45"/>
        <v>0</v>
      </c>
      <c r="BG38" s="375">
        <f t="shared" si="45"/>
        <v>0</v>
      </c>
      <c r="BH38" s="375">
        <f t="shared" si="45"/>
        <v>0</v>
      </c>
      <c r="BI38" s="375">
        <f t="shared" si="45"/>
        <v>0</v>
      </c>
      <c r="BJ38" s="375">
        <f t="shared" si="45"/>
        <v>0</v>
      </c>
      <c r="BK38" s="429"/>
      <c r="BL38" s="429"/>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548"/>
      <c r="B39" s="548"/>
      <c r="C39" s="200" t="str">
        <f>Processes!D43</f>
        <v>T-AVI_INT00</v>
      </c>
      <c r="D39" s="112" t="s">
        <v>821</v>
      </c>
      <c r="E39" s="200" t="str">
        <f>Commodities!C18</f>
        <v>TRAKER</v>
      </c>
      <c r="F39" s="200" t="str">
        <f>Commodities!C27</f>
        <v>TAVIINT</v>
      </c>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193"/>
      <c r="AI39" s="429" t="s">
        <v>353</v>
      </c>
      <c r="AJ39" s="375">
        <f t="shared" ref="AJ39:BJ39" si="46">SUM(AJ25:AJ26)</f>
        <v>1.9196540561307294</v>
      </c>
      <c r="AK39" s="375">
        <f t="shared" si="46"/>
        <v>1.5264180732683506E-2</v>
      </c>
      <c r="AL39" s="375">
        <f t="shared" si="46"/>
        <v>1.0041823232418055</v>
      </c>
      <c r="AM39" s="375">
        <f t="shared" si="46"/>
        <v>5.9656103241498816E-2</v>
      </c>
      <c r="AN39" s="375">
        <f t="shared" si="46"/>
        <v>2.6605339395518336E-2</v>
      </c>
      <c r="AO39" s="375">
        <f t="shared" si="46"/>
        <v>2.2708324237969767E-2</v>
      </c>
      <c r="AP39" s="375">
        <f t="shared" si="46"/>
        <v>1.0958562128275364E-2</v>
      </c>
      <c r="AQ39" s="375">
        <f t="shared" si="46"/>
        <v>3.4555411184416164E-2</v>
      </c>
      <c r="AR39" s="375">
        <f t="shared" si="46"/>
        <v>5.2293734048084059E-2</v>
      </c>
      <c r="AS39" s="375">
        <f t="shared" si="46"/>
        <v>2.0902318451850255E-2</v>
      </c>
      <c r="AT39" s="375">
        <f t="shared" si="46"/>
        <v>2.3800346442076771E-2</v>
      </c>
      <c r="AU39" s="375">
        <f t="shared" si="46"/>
        <v>4.0142339416476505E-2</v>
      </c>
      <c r="AV39" s="375">
        <f t="shared" si="46"/>
        <v>3.8185922519013003E-2</v>
      </c>
      <c r="AW39" s="375">
        <f t="shared" si="46"/>
        <v>3.1856322667660655E-2</v>
      </c>
      <c r="AX39" s="375">
        <f t="shared" si="46"/>
        <v>0.1455496955313432</v>
      </c>
      <c r="AY39" s="375">
        <f t="shared" si="46"/>
        <v>3.9602092733128702E-2</v>
      </c>
      <c r="AZ39" s="375">
        <f t="shared" si="46"/>
        <v>5.2254857735882849E-2</v>
      </c>
      <c r="BA39" s="375">
        <f t="shared" si="46"/>
        <v>4.2778153383718334E-2</v>
      </c>
      <c r="BB39" s="375">
        <f t="shared" si="46"/>
        <v>3.1148237560602809E-2</v>
      </c>
      <c r="BC39" s="375">
        <f t="shared" si="46"/>
        <v>6.9188574993234747E-2</v>
      </c>
      <c r="BD39" s="375">
        <f t="shared" si="46"/>
        <v>8.5913968839687761E-3</v>
      </c>
      <c r="BE39" s="375">
        <f t="shared" si="46"/>
        <v>3.4990557768571746E-2</v>
      </c>
      <c r="BF39" s="375">
        <f t="shared" si="46"/>
        <v>1.7305053066997901E-2</v>
      </c>
      <c r="BG39" s="375">
        <f t="shared" si="46"/>
        <v>1.7570752552455802E-2</v>
      </c>
      <c r="BH39" s="375">
        <f t="shared" si="46"/>
        <v>2.0423737643028506E-2</v>
      </c>
      <c r="BI39" s="375">
        <f t="shared" si="46"/>
        <v>4.2681364771962209E-2</v>
      </c>
      <c r="BJ39" s="375">
        <f t="shared" si="46"/>
        <v>1.6458353798505406E-2</v>
      </c>
      <c r="BK39" s="429"/>
      <c r="BL39" s="429"/>
      <c r="BM39" s="2" t="s">
        <v>1041</v>
      </c>
      <c r="BN39" s="376">
        <f>G28*AF!D23*Stock!BN37/1000</f>
        <v>2.6504335304279696E-2</v>
      </c>
      <c r="BO39" s="376">
        <f>H28*AF!E23*Stock!BO37/1000</f>
        <v>2.772902636382888E-4</v>
      </c>
      <c r="BP39" s="376">
        <f>I28*AF!F23*Stock!BP37/1000</f>
        <v>9.1555855541424706E-3</v>
      </c>
      <c r="BQ39" s="376">
        <f>J28*AF!G23*Stock!BQ37/1000</f>
        <v>1.3196610452444854E-3</v>
      </c>
      <c r="BR39" s="376">
        <f>K28*AF!H23*Stock!BR37/1000</f>
        <v>4.8000303905953431E-4</v>
      </c>
      <c r="BS39" s="376">
        <f>L28*AF!I23*Stock!BS37/1000</f>
        <v>6.8290580668716816E-4</v>
      </c>
      <c r="BT39" s="376">
        <f>M28*AF!J23*Stock!BT37/1000</f>
        <v>1.9441952420726127E-4</v>
      </c>
      <c r="BU39" s="376">
        <f>N28*AF!K23*Stock!BU37/1000</f>
        <v>4.5549775653278967E-4</v>
      </c>
      <c r="BV39" s="376">
        <f>O28*AF!L23*Stock!BV37/1000</f>
        <v>5.4162083855169502E-4</v>
      </c>
      <c r="BW39" s="376">
        <f>P28*AF!M23*Stock!BW37/1000</f>
        <v>2.8930598604766372E-4</v>
      </c>
      <c r="BX39" s="376">
        <f>Q28*AF!N23*Stock!BX37/1000</f>
        <v>3.7731027737230341E-4</v>
      </c>
      <c r="BY39" s="376">
        <f>R28*AF!O23*Stock!BY37/1000</f>
        <v>7.8682683484908365E-4</v>
      </c>
      <c r="BZ39" s="376">
        <f>S28*AF!P23*Stock!BZ37/1000</f>
        <v>1.4093231487549455E-3</v>
      </c>
      <c r="CA39" s="376">
        <f>T28*AF!Q23*Stock!CA37/1000</f>
        <v>4.8377754704269712E-4</v>
      </c>
      <c r="CB39" s="376">
        <f>U28*AF!R23*Stock!CB37/1000</f>
        <v>4.6089652835726996E-3</v>
      </c>
      <c r="CC39" s="376">
        <f>V28*AF!S23*Stock!CC37/1000</f>
        <v>7.2981410498886587E-4</v>
      </c>
      <c r="CD39" s="376">
        <f>W28*AF!T23*Stock!CD37/1000</f>
        <v>4.521752799704782E-4</v>
      </c>
      <c r="CE39" s="376">
        <f>X28*AF!U23*Stock!CE37/1000</f>
        <v>7.131413932773415E-4</v>
      </c>
      <c r="CF39" s="376">
        <f>Y28*AF!V23*Stock!CF37/1000</f>
        <v>1.2864483498683827E-3</v>
      </c>
      <c r="CG39" s="376">
        <f>Z28*AF!W23*Stock!CG37/1000</f>
        <v>1.2267123514058875E-3</v>
      </c>
      <c r="CH39" s="376">
        <f>AA28*AF!X23*Stock!CH37/1000</f>
        <v>4.4376119144409193E-5</v>
      </c>
      <c r="CI39" s="376">
        <f>AB28*AF!Y23*Stock!CI37/1000</f>
        <v>4.6504176205574915E-4</v>
      </c>
      <c r="CJ39" s="376">
        <f>AC28*AF!Z23*Stock!CJ37/1000</f>
        <v>3.0624108559846192E-4</v>
      </c>
      <c r="CK39" s="376">
        <f>AD28*AF!AA23*Stock!CK37/1000</f>
        <v>2.3236740358490042E-4</v>
      </c>
      <c r="CL39" s="376">
        <f>AE28*AF!AB23*Stock!CL37/1000</f>
        <v>1.4782725623844356E-4</v>
      </c>
      <c r="CM39" s="376">
        <f>AF28*AF!AC23*Stock!CM37/1000</f>
        <v>7.3867928026682115E-4</v>
      </c>
      <c r="CN39" s="376">
        <f>AG28*AF!AD23*Stock!CN37/1000</f>
        <v>1.8738314925849766E-4</v>
      </c>
      <c r="CO39" s="2"/>
    </row>
    <row r="40" spans="1:93" s="201" customFormat="1">
      <c r="A40" s="548"/>
      <c r="B40" s="548"/>
      <c r="C40"/>
      <c r="D40"/>
      <c r="E40"/>
      <c r="F40"/>
      <c r="G40"/>
      <c r="H40"/>
      <c r="I40"/>
      <c r="J40"/>
      <c r="K40"/>
      <c r="L40"/>
      <c r="M40"/>
      <c r="N40"/>
      <c r="O40"/>
      <c r="P40"/>
      <c r="Q40"/>
      <c r="R40"/>
      <c r="S40"/>
      <c r="T40"/>
      <c r="U40"/>
      <c r="V40"/>
      <c r="W40"/>
      <c r="X40"/>
      <c r="Y40"/>
      <c r="Z40"/>
      <c r="AA40"/>
      <c r="AB40"/>
      <c r="AC40"/>
      <c r="AD40"/>
      <c r="AE40"/>
      <c r="AF40"/>
      <c r="AG40"/>
      <c r="AI40" s="480" t="s">
        <v>16</v>
      </c>
      <c r="AJ40" s="486">
        <f t="shared" ref="AJ40:BJ40" si="47">SUM(AJ34:AJ39)</f>
        <v>67.89085489606174</v>
      </c>
      <c r="AK40" s="486">
        <f t="shared" si="47"/>
        <v>0.93330158157706189</v>
      </c>
      <c r="AL40" s="486">
        <f t="shared" si="47"/>
        <v>16.61717322713638</v>
      </c>
      <c r="AM40" s="486">
        <f t="shared" si="47"/>
        <v>3.2673954803797685</v>
      </c>
      <c r="AN40" s="486">
        <f t="shared" si="47"/>
        <v>1.6040418377293462</v>
      </c>
      <c r="AO40" s="486">
        <f t="shared" si="47"/>
        <v>1.194472594758214</v>
      </c>
      <c r="AP40" s="486">
        <f t="shared" si="47"/>
        <v>0.63136837226625431</v>
      </c>
      <c r="AQ40" s="486">
        <f t="shared" si="47"/>
        <v>1.6378498102533947</v>
      </c>
      <c r="AR40" s="486">
        <f t="shared" si="47"/>
        <v>2.8086801289167069</v>
      </c>
      <c r="AS40" s="486">
        <f t="shared" si="47"/>
        <v>1.1960910116296319</v>
      </c>
      <c r="AT40" s="486">
        <f t="shared" si="47"/>
        <v>1.3594031328357552</v>
      </c>
      <c r="AU40" s="486">
        <f t="shared" si="47"/>
        <v>2.3897980832150227</v>
      </c>
      <c r="AV40" s="486">
        <f t="shared" si="47"/>
        <v>2.0282651307543547</v>
      </c>
      <c r="AW40" s="486">
        <f t="shared" si="47"/>
        <v>1.8543582057124219</v>
      </c>
      <c r="AX40" s="486">
        <f t="shared" si="47"/>
        <v>7.4808562925495163</v>
      </c>
      <c r="AY40" s="486">
        <f t="shared" si="47"/>
        <v>2.5041107744856452</v>
      </c>
      <c r="AZ40" s="486">
        <f t="shared" si="47"/>
        <v>2.7303850513697867</v>
      </c>
      <c r="BA40" s="486">
        <f t="shared" si="47"/>
        <v>2.6584598620014983</v>
      </c>
      <c r="BB40" s="486">
        <f t="shared" si="47"/>
        <v>1.675149646399746</v>
      </c>
      <c r="BC40" s="486">
        <f t="shared" si="47"/>
        <v>4.1169046918989158</v>
      </c>
      <c r="BD40" s="486">
        <f t="shared" si="47"/>
        <v>0.50548408673972534</v>
      </c>
      <c r="BE40" s="486">
        <f t="shared" si="47"/>
        <v>2.1050169183289658</v>
      </c>
      <c r="BF40" s="486">
        <f t="shared" si="47"/>
        <v>1.1247538003993849</v>
      </c>
      <c r="BG40" s="486">
        <f t="shared" si="47"/>
        <v>0.92602266151868318</v>
      </c>
      <c r="BH40" s="486">
        <f t="shared" si="47"/>
        <v>1.1545598114366551</v>
      </c>
      <c r="BI40" s="486">
        <f t="shared" si="47"/>
        <v>2.3690405472313669</v>
      </c>
      <c r="BJ40" s="486">
        <f t="shared" si="47"/>
        <v>1.0606044657374996</v>
      </c>
      <c r="BK40" s="429"/>
      <c r="BL40" s="429"/>
      <c r="BM40" s="2" t="s">
        <v>1042</v>
      </c>
      <c r="BN40" s="376">
        <f>G31*AF!D26*Stock!BN37/1000</f>
        <v>1.5785214409581267</v>
      </c>
      <c r="BO40" s="376">
        <f>H31*AF!E26*Stock!BO37/1000</f>
        <v>2.5600184565226638E-2</v>
      </c>
      <c r="BP40" s="376">
        <f>I31*AF!F26*Stock!BP37/1000</f>
        <v>0.28352893998854062</v>
      </c>
      <c r="BQ40" s="376">
        <f>J31*AF!G26*Stock!BQ37/1000</f>
        <v>7.638095885725936E-2</v>
      </c>
      <c r="BR40" s="376">
        <f>K31*AF!H26*Stock!BR37/1000</f>
        <v>6.7985288794648754E-2</v>
      </c>
      <c r="BS40" s="376">
        <f>L31*AF!I26*Stock!BS37/1000</f>
        <v>3.7616696479405784E-2</v>
      </c>
      <c r="BT40" s="376">
        <f>M31*AF!J26*Stock!BT37/1000</f>
        <v>1.6903953818278118E-2</v>
      </c>
      <c r="BU40" s="376">
        <f>N31*AF!K26*Stock!BU37/1000</f>
        <v>4.6234664191019736E-2</v>
      </c>
      <c r="BV40" s="376">
        <f>O31*AF!L26*Stock!BV37/1000</f>
        <v>8.4222229809052959E-2</v>
      </c>
      <c r="BW40" s="376">
        <f>P31*AF!M26*Stock!BW37/1000</f>
        <v>2.2832132283731495E-2</v>
      </c>
      <c r="BX40" s="376">
        <f>Q31*AF!N26*Stock!BX37/1000</f>
        <v>1.9920796111159433E-2</v>
      </c>
      <c r="BY40" s="376">
        <f>R31*AF!O26*Stock!BY37/1000</f>
        <v>0.10769785617022197</v>
      </c>
      <c r="BZ40" s="376">
        <f>S31*AF!P26*Stock!BZ37/1000</f>
        <v>2.9660786617587764E-2</v>
      </c>
      <c r="CA40" s="376">
        <f>T31*AF!Q26*Stock!CA37/1000</f>
        <v>2.8755780255801264E-2</v>
      </c>
      <c r="CB40" s="376">
        <f>U31*AF!R26*Stock!CB37/1000</f>
        <v>0.23425103879907888</v>
      </c>
      <c r="CC40" s="376">
        <f>V31*AF!S26*Stock!CC37/1000</f>
        <v>4.2975131780324284E-2</v>
      </c>
      <c r="CD40" s="376">
        <f>W31*AF!T26*Stock!CD37/1000</f>
        <v>7.8110531738466257E-2</v>
      </c>
      <c r="CE40" s="376">
        <f>X31*AF!U26*Stock!CE37/1000</f>
        <v>6.325239328731358E-2</v>
      </c>
      <c r="CF40" s="376">
        <f>Y31*AF!V26*Stock!CF37/1000</f>
        <v>4.088472507548041E-2</v>
      </c>
      <c r="CG40" s="376">
        <f>Z31*AF!W26*Stock!CG37/1000</f>
        <v>5.9763394516016866E-2</v>
      </c>
      <c r="CH40" s="376">
        <f>AA31*AF!X26*Stock!CH37/1000</f>
        <v>7.6775959580705705E-3</v>
      </c>
      <c r="CI40" s="376">
        <f>AB31*AF!Y26*Stock!CI37/1000</f>
        <v>2.5500382772985414E-2</v>
      </c>
      <c r="CJ40" s="376">
        <f>AC31*AF!Z26*Stock!CJ37/1000</f>
        <v>1.674334543475069E-2</v>
      </c>
      <c r="CK40" s="376">
        <f>AD31*AF!AA26*Stock!CK37/1000</f>
        <v>1.4159082232388868E-2</v>
      </c>
      <c r="CL40" s="376">
        <f>AE31*AF!AB26*Stock!CL37/1000</f>
        <v>3.0320849333104537E-2</v>
      </c>
      <c r="CM40" s="376">
        <f>AF31*AF!AC26*Stock!CM37/1000</f>
        <v>4.4833032833007651E-2</v>
      </c>
      <c r="CN40" s="376">
        <f>AG31*AF!AD26*Stock!CN37/1000</f>
        <v>4.4243686561091525E-2</v>
      </c>
      <c r="CO40" s="2"/>
    </row>
    <row r="41" spans="1:93" s="201" customFormat="1">
      <c r="A41" s="548"/>
      <c r="B41" s="548"/>
      <c r="C41"/>
      <c r="D41"/>
      <c r="E41"/>
      <c r="F41"/>
      <c r="G41"/>
      <c r="H41"/>
      <c r="I41"/>
      <c r="J41"/>
      <c r="K41"/>
      <c r="L41"/>
      <c r="M41"/>
      <c r="N41"/>
      <c r="O41"/>
      <c r="P41"/>
      <c r="Q41"/>
      <c r="R41"/>
      <c r="S41"/>
      <c r="T41"/>
      <c r="U41"/>
      <c r="V41"/>
      <c r="W41"/>
      <c r="X41"/>
      <c r="Y41"/>
      <c r="Z41"/>
      <c r="AA41"/>
      <c r="AB41"/>
      <c r="AC41"/>
      <c r="AD41"/>
      <c r="AE41"/>
      <c r="AF41"/>
      <c r="AG41"/>
      <c r="BK41" s="429"/>
      <c r="BL41" s="429"/>
      <c r="BM41" s="22" t="s">
        <v>1043</v>
      </c>
      <c r="BN41" s="2">
        <f t="shared" ref="BN41:CN41" si="48">SUM(BN39:BN40)</f>
        <v>1.6050257762624065</v>
      </c>
      <c r="BO41" s="2">
        <f t="shared" si="48"/>
        <v>2.5877474828864926E-2</v>
      </c>
      <c r="BP41" s="2">
        <f t="shared" si="48"/>
        <v>0.29268452554268309</v>
      </c>
      <c r="BQ41" s="2">
        <f t="shared" si="48"/>
        <v>7.7700619902503848E-2</v>
      </c>
      <c r="BR41" s="2">
        <f t="shared" si="48"/>
        <v>6.8465291833708294E-2</v>
      </c>
      <c r="BS41" s="2">
        <f t="shared" si="48"/>
        <v>3.829960228609295E-2</v>
      </c>
      <c r="BT41" s="2">
        <f t="shared" si="48"/>
        <v>1.709837334248538E-2</v>
      </c>
      <c r="BU41" s="2">
        <f t="shared" si="48"/>
        <v>4.6690161947552523E-2</v>
      </c>
      <c r="BV41" s="2">
        <f t="shared" si="48"/>
        <v>8.4763850647604652E-2</v>
      </c>
      <c r="BW41" s="2">
        <f t="shared" si="48"/>
        <v>2.3121438269779158E-2</v>
      </c>
      <c r="BX41" s="2">
        <f t="shared" si="48"/>
        <v>2.0298106388531738E-2</v>
      </c>
      <c r="BY41" s="2">
        <f t="shared" si="48"/>
        <v>0.10848468300507105</v>
      </c>
      <c r="BZ41" s="2">
        <f t="shared" si="48"/>
        <v>3.107010976634271E-2</v>
      </c>
      <c r="CA41" s="2">
        <f t="shared" si="48"/>
        <v>2.9239557802843961E-2</v>
      </c>
      <c r="CB41" s="2">
        <f t="shared" si="48"/>
        <v>0.23886000408265157</v>
      </c>
      <c r="CC41" s="2">
        <f t="shared" si="48"/>
        <v>4.3704945885313151E-2</v>
      </c>
      <c r="CD41" s="2">
        <f t="shared" si="48"/>
        <v>7.8562707018436734E-2</v>
      </c>
      <c r="CE41" s="2">
        <f t="shared" si="48"/>
        <v>6.3965534680590921E-2</v>
      </c>
      <c r="CF41" s="2">
        <f t="shared" si="48"/>
        <v>4.217117342534879E-2</v>
      </c>
      <c r="CG41" s="2">
        <f t="shared" si="48"/>
        <v>6.0990106867422754E-2</v>
      </c>
      <c r="CH41" s="2">
        <f t="shared" si="48"/>
        <v>7.7219720772149798E-3</v>
      </c>
      <c r="CI41" s="2">
        <f t="shared" si="48"/>
        <v>2.5965424535041162E-2</v>
      </c>
      <c r="CJ41" s="2">
        <f t="shared" si="48"/>
        <v>1.7049586520349151E-2</v>
      </c>
      <c r="CK41" s="2">
        <f t="shared" si="48"/>
        <v>1.4391449635973769E-2</v>
      </c>
      <c r="CL41" s="2">
        <f t="shared" si="48"/>
        <v>3.0468676589342981E-2</v>
      </c>
      <c r="CM41" s="2">
        <f t="shared" si="48"/>
        <v>4.5571712113274473E-2</v>
      </c>
      <c r="CN41" s="2">
        <f t="shared" si="48"/>
        <v>4.4431069710350025E-2</v>
      </c>
      <c r="CO41" s="2"/>
    </row>
    <row r="42" spans="1:93" s="201" customFormat="1" ht="15.6">
      <c r="A42" s="548"/>
      <c r="B42" s="548"/>
      <c r="C42"/>
      <c r="D42"/>
      <c r="E42"/>
      <c r="F42"/>
      <c r="G42"/>
      <c r="H42"/>
      <c r="I42"/>
      <c r="J42"/>
      <c r="K42"/>
      <c r="L42"/>
      <c r="M42"/>
      <c r="N42"/>
      <c r="O42"/>
      <c r="P42"/>
      <c r="Q42"/>
      <c r="R42"/>
      <c r="S42"/>
      <c r="T42"/>
      <c r="U42"/>
      <c r="V42"/>
      <c r="W42"/>
      <c r="X42"/>
      <c r="Y42"/>
      <c r="Z42"/>
      <c r="AA42"/>
      <c r="AB42"/>
      <c r="AC42"/>
      <c r="AD42"/>
      <c r="AE42"/>
      <c r="AF42"/>
      <c r="AG42"/>
      <c r="AI42" s="429" t="s">
        <v>1030</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29"/>
      <c r="BL42" s="429"/>
      <c r="BM42" s="22" t="s">
        <v>1044</v>
      </c>
      <c r="BN42" s="504">
        <f>BN41-Demands!C7</f>
        <v>-10.020525223737593</v>
      </c>
      <c r="BO42" s="504">
        <f>BO41-Demands!D7</f>
        <v>-0.15206352116318461</v>
      </c>
      <c r="BP42" s="504">
        <f>BP41-Demands!E7</f>
        <v>-2.3650062674894516</v>
      </c>
      <c r="BQ42" s="504">
        <f>BQ41-Demands!F7</f>
        <v>-0.40458342228534239</v>
      </c>
      <c r="BR42" s="504">
        <f>BR41-Demands!G7</f>
        <v>-0.24168437644218332</v>
      </c>
      <c r="BS42" s="504">
        <f>BS41-Demands!H7</f>
        <v>-0.18260507790380109</v>
      </c>
      <c r="BT42" s="504">
        <f>BT41-Demands!I7</f>
        <v>-8.9505603107702197E-2</v>
      </c>
      <c r="BU42" s="504">
        <f>BU41-Demands!J7</f>
        <v>-0.23266974391184045</v>
      </c>
      <c r="BV42" s="504">
        <f>BV41-Demands!K7</f>
        <v>-0.3474874314156417</v>
      </c>
      <c r="BW42" s="504">
        <f>BW41-Demands!L7</f>
        <v>-0.1802145685815181</v>
      </c>
      <c r="BX42" s="504">
        <f>BX41-Demands!M7</f>
        <v>-0.21122967453000011</v>
      </c>
      <c r="BY42" s="504">
        <f>BY41-Demands!N7</f>
        <v>-0.35947150686919382</v>
      </c>
      <c r="BZ42" s="504">
        <f>BZ41-Demands!O7</f>
        <v>-0.27764031660174049</v>
      </c>
      <c r="CA42" s="504">
        <f>CA41-Demands!P7</f>
        <v>-0.27454770906457049</v>
      </c>
      <c r="CB42" s="504">
        <f>CB41-Demands!Q7</f>
        <v>-1.3865677011834334</v>
      </c>
      <c r="CC42" s="504">
        <f>CC41-Demands!R7</f>
        <v>-0.3985518275139987</v>
      </c>
      <c r="CD42" s="504">
        <f>CD41-Demands!S7</f>
        <v>-0.41974843133038731</v>
      </c>
      <c r="CE42" s="504">
        <f>CE41-Demands!T7</f>
        <v>-0.3439741523212404</v>
      </c>
      <c r="CF42" s="504">
        <f>CF41-Demands!U7</f>
        <v>-0.33674965434815163</v>
      </c>
      <c r="CG42" s="504">
        <f>CG41-Demands!V7</f>
        <v>-0.54407086113709324</v>
      </c>
      <c r="CH42" s="504">
        <f>CH41-Demands!W7</f>
        <v>-7.2971498112492733E-2</v>
      </c>
      <c r="CI42" s="504">
        <f>CI41-Demands!X7</f>
        <v>-0.31481837525529255</v>
      </c>
      <c r="CJ42" s="504">
        <f>CJ41-Demands!Y7</f>
        <v>-0.13428482325917124</v>
      </c>
      <c r="CK42" s="504">
        <f>CK41-Demands!Z7</f>
        <v>-0.15063933830818094</v>
      </c>
      <c r="CL42" s="504">
        <f>CL41-Demands!AA7</f>
        <v>-0.16135836701230394</v>
      </c>
      <c r="CM42" s="504">
        <f>CM41-Demands!AB7</f>
        <v>-0.35530692059300278</v>
      </c>
      <c r="CN42" s="504">
        <f>CN41-Demands!AC7</f>
        <v>-0.11015167155370553</v>
      </c>
      <c r="CO42" s="2"/>
    </row>
    <row r="43" spans="1:93" s="201" customFormat="1">
      <c r="A43" s="548"/>
      <c r="B43" s="548"/>
      <c r="C43"/>
      <c r="D43"/>
      <c r="E43"/>
      <c r="F43"/>
      <c r="G43"/>
      <c r="H43"/>
      <c r="I43"/>
      <c r="J43"/>
      <c r="K43"/>
      <c r="L43"/>
      <c r="M43"/>
      <c r="N43"/>
      <c r="O43"/>
      <c r="P43"/>
      <c r="Q43"/>
      <c r="R43"/>
      <c r="S43"/>
      <c r="T43"/>
      <c r="U43"/>
      <c r="V43"/>
      <c r="W43"/>
      <c r="X43"/>
      <c r="Y43"/>
      <c r="Z43"/>
      <c r="AA43"/>
      <c r="AB43"/>
      <c r="AC43"/>
      <c r="AD43"/>
      <c r="AE43"/>
      <c r="AF43"/>
      <c r="AG43"/>
      <c r="AI43" s="431" t="s">
        <v>346</v>
      </c>
      <c r="AJ43" s="431" t="str">
        <f t="shared" ref="AJ43:BJ43" si="49">AJ33</f>
        <v>IE</v>
      </c>
      <c r="AK43" s="431" t="str">
        <f t="shared" si="49"/>
        <v>IE-CW</v>
      </c>
      <c r="AL43" s="431" t="str">
        <f t="shared" si="49"/>
        <v>IE-D</v>
      </c>
      <c r="AM43" s="431" t="str">
        <f t="shared" si="49"/>
        <v>IE-KE</v>
      </c>
      <c r="AN43" s="431" t="str">
        <f t="shared" si="49"/>
        <v>IE-KK</v>
      </c>
      <c r="AO43" s="431" t="str">
        <f t="shared" si="49"/>
        <v>IE-LS</v>
      </c>
      <c r="AP43" s="431" t="str">
        <f t="shared" si="49"/>
        <v>IE-LD</v>
      </c>
      <c r="AQ43" s="431" t="str">
        <f t="shared" si="49"/>
        <v>IE-LH</v>
      </c>
      <c r="AR43" s="431" t="str">
        <f t="shared" si="49"/>
        <v>IE-MH</v>
      </c>
      <c r="AS43" s="431" t="str">
        <f t="shared" si="49"/>
        <v>IE-OY</v>
      </c>
      <c r="AT43" s="431" t="str">
        <f t="shared" si="49"/>
        <v>IE-WH</v>
      </c>
      <c r="AU43" s="431" t="str">
        <f t="shared" si="49"/>
        <v>IE-WX</v>
      </c>
      <c r="AV43" s="431" t="str">
        <f t="shared" si="49"/>
        <v>IE-WW</v>
      </c>
      <c r="AW43" s="431" t="str">
        <f t="shared" si="49"/>
        <v>IE-CE</v>
      </c>
      <c r="AX43" s="431" t="str">
        <f t="shared" si="49"/>
        <v>IE-CO</v>
      </c>
      <c r="AY43" s="431" t="str">
        <f t="shared" si="49"/>
        <v>IE-KY</v>
      </c>
      <c r="AZ43" s="431" t="str">
        <f t="shared" si="49"/>
        <v>IE-LK</v>
      </c>
      <c r="BA43" s="431" t="str">
        <f t="shared" si="49"/>
        <v>IE-TA</v>
      </c>
      <c r="BB43" s="431" t="str">
        <f t="shared" si="49"/>
        <v>IE-WD</v>
      </c>
      <c r="BC43" s="431" t="str">
        <f t="shared" si="49"/>
        <v>IE-G</v>
      </c>
      <c r="BD43" s="431" t="str">
        <f t="shared" si="49"/>
        <v>IE-LM</v>
      </c>
      <c r="BE43" s="431" t="str">
        <f t="shared" si="49"/>
        <v>IE-MO</v>
      </c>
      <c r="BF43" s="431" t="str">
        <f t="shared" si="49"/>
        <v>IE-RN</v>
      </c>
      <c r="BG43" s="431" t="str">
        <f t="shared" si="49"/>
        <v>IE-SO</v>
      </c>
      <c r="BH43" s="431" t="str">
        <f t="shared" si="49"/>
        <v>IE-CN</v>
      </c>
      <c r="BI43" s="431" t="str">
        <f t="shared" si="49"/>
        <v>IE-DL</v>
      </c>
      <c r="BJ43" s="431" t="str">
        <f t="shared" si="49"/>
        <v>IE-MN</v>
      </c>
      <c r="BK43" s="429"/>
      <c r="BL43" s="429"/>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548"/>
      <c r="B44" s="548"/>
      <c r="C44"/>
      <c r="D44"/>
      <c r="E44"/>
      <c r="F44"/>
      <c r="G44"/>
      <c r="H44"/>
      <c r="I44"/>
      <c r="J44"/>
      <c r="K44"/>
      <c r="L44"/>
      <c r="M44"/>
      <c r="N44"/>
      <c r="O44"/>
      <c r="P44"/>
      <c r="Q44"/>
      <c r="R44"/>
      <c r="S44"/>
      <c r="T44"/>
      <c r="U44"/>
      <c r="V44"/>
      <c r="W44"/>
      <c r="X44"/>
      <c r="Y44"/>
      <c r="Z44"/>
      <c r="AA44"/>
      <c r="AB44"/>
      <c r="AC44"/>
      <c r="AD44"/>
      <c r="AE44"/>
      <c r="AF44"/>
      <c r="AG44"/>
      <c r="AI44" s="429" t="s">
        <v>355</v>
      </c>
      <c r="AJ44" s="375">
        <f>G6*AF!D6*ACT2FLO!E10/1000</f>
        <v>0.12080775131999999</v>
      </c>
      <c r="AK44" s="490">
        <f>H6*AF!E6*ACT2FLO!F10/1000</f>
        <v>1.4846309999999997E-3</v>
      </c>
      <c r="AL44" s="490">
        <f>I6*AF!F6*ACT2FLO!G10/1000</f>
        <v>3.7417542080000005E-2</v>
      </c>
      <c r="AM44" s="490">
        <f>J6*AF!G6*ACT2FLO!H10/1000</f>
        <v>7.27459392E-3</v>
      </c>
      <c r="AN44" s="490">
        <f>K6*AF!H6*ACT2FLO!I10/1000</f>
        <v>2.3125440000000001E-3</v>
      </c>
      <c r="AO44" s="490">
        <f>L6*AF!I6*ACT2FLO!J10/1000</f>
        <v>1.3902300000000001E-3</v>
      </c>
      <c r="AP44" s="490">
        <f>M6*AF!J6*ACT2FLO!K10/1000</f>
        <v>1.1028841800000001E-3</v>
      </c>
      <c r="AQ44" s="490">
        <f>N6*AF!K6*ACT2FLO!L10/1000</f>
        <v>2.3580899999999998E-3</v>
      </c>
      <c r="AR44" s="490">
        <f>O6*AF!L6*ACT2FLO!M10/1000</f>
        <v>5.5006175999999995E-3</v>
      </c>
      <c r="AS44" s="490">
        <f>P6*AF!M6*ACT2FLO!N10/1000</f>
        <v>2.2033113600000002E-3</v>
      </c>
      <c r="AT44" s="490">
        <f>Q6*AF!N6*ACT2FLO!O10/1000</f>
        <v>2.2064723999999998E-3</v>
      </c>
      <c r="AU44" s="490">
        <f>R6*AF!O6*ACT2FLO!P10/1000</f>
        <v>4.4015862000000008E-3</v>
      </c>
      <c r="AV44" s="490">
        <f>S6*AF!P6*ACT2FLO!Q10/1000</f>
        <v>4.438224000000001E-3</v>
      </c>
      <c r="AW44" s="490">
        <f>T6*AF!Q6*ACT2FLO!R10/1000</f>
        <v>3.32484768E-3</v>
      </c>
      <c r="AX44" s="490">
        <f>U6*AF!R6*ACT2FLO!S10/1000</f>
        <v>1.656012288E-2</v>
      </c>
      <c r="AY44" s="490">
        <f>V6*AF!S6*ACT2FLO!T10/1000</f>
        <v>3.3015455999999997E-3</v>
      </c>
      <c r="AZ44" s="490">
        <f>W6*AF!T6*ACT2FLO!U10/1000</f>
        <v>4.4223300000000012E-3</v>
      </c>
      <c r="BA44" s="490">
        <f>X6*AF!U6*ACT2FLO!V10/1000</f>
        <v>4.4125564799999996E-3</v>
      </c>
      <c r="BB44" s="490">
        <f>Y6*AF!V6*ACT2FLO!W10/1000</f>
        <v>3.423864E-3</v>
      </c>
      <c r="BC44" s="490">
        <f>Z6*AF!W6*ACT2FLO!X10/1000</f>
        <v>4.4106249599999998E-3</v>
      </c>
      <c r="BD44" s="490">
        <f>AA6*AF!X6*ACT2FLO!Y10/1000</f>
        <v>1.1030799999999998E-3</v>
      </c>
      <c r="BE44" s="490">
        <f>AB6*AF!Y6*ACT2FLO!Z10/1000</f>
        <v>2.2034825999999999E-3</v>
      </c>
      <c r="BF44" s="490">
        <f>AC6*AF!Z6*ACT2FLO!AA10/1000</f>
        <v>1.1029253499999999E-3</v>
      </c>
      <c r="BG44" s="490">
        <f>AD6*AF!AA6*ACT2FLO!AB10/1000</f>
        <v>1.101568E-3</v>
      </c>
      <c r="BH44" s="490">
        <f>AE6*AF!AB6*ACT2FLO!AC10/1000</f>
        <v>1.2145280000000001E-3</v>
      </c>
      <c r="BI44" s="490">
        <f>AF6*AF!AC6*ACT2FLO!AD10/1000</f>
        <v>2.2200998400000007E-3</v>
      </c>
      <c r="BJ44" s="490">
        <f>AG6*AF!AD6*ACT2FLO!AE10/1000</f>
        <v>1.1045496000000002E-3</v>
      </c>
      <c r="BK44" s="429"/>
      <c r="BL44" s="429"/>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548"/>
      <c r="B45" s="548"/>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29" t="s">
        <v>354</v>
      </c>
      <c r="AJ45" s="375">
        <f>SUMPRODUCT(G8:G16,AF!D7:'AF'!D15,ACT2FLO!E11:'ACT2FLO'!E19)/1000</f>
        <v>53.686270312489995</v>
      </c>
      <c r="AK45" s="375">
        <f>SUMPRODUCT(H8:H16,AF!E7:'AF'!E15,ACT2FLO!F11:'ACT2FLO'!F19)/1000</f>
        <v>0.79389207150000007</v>
      </c>
      <c r="AL45" s="375">
        <f>SUMPRODUCT(I8:I16,AF!F7:'AF'!F15,ACT2FLO!G11:'ACT2FLO'!G19)/1000</f>
        <v>11.361664315170001</v>
      </c>
      <c r="AM45" s="375">
        <f>SUMPRODUCT(J8:J16,AF!G7:'AF'!G15,ACT2FLO!H11:'ACT2FLO'!H19)/1000</f>
        <v>2.7289881356100003</v>
      </c>
      <c r="AN45" s="375">
        <f>SUMPRODUCT(K8:K16,AF!H7:'AF'!H15,ACT2FLO!I11:'ACT2FLO'!I19)/1000</f>
        <v>1.2418699672799998</v>
      </c>
      <c r="AO45" s="375">
        <f>SUMPRODUCT(L8:L16,AF!I7:'AF'!I15,ACT2FLO!J11:'ACT2FLO'!J19)/1000</f>
        <v>1.0055031755399999</v>
      </c>
      <c r="AP45" s="375">
        <f>SUMPRODUCT(M8:M16,AF!J7:'AF'!J15,ACT2FLO!K11:'ACT2FLO'!K19)/1000</f>
        <v>0.50747016177000004</v>
      </c>
      <c r="AQ45" s="375">
        <f>SUMPRODUCT(N8:N16,AF!K7:'AF'!K15,ACT2FLO!L11:'ACT2FLO'!L19)/1000</f>
        <v>1.3513276326200001</v>
      </c>
      <c r="AR45" s="375">
        <f>SUMPRODUCT(O8:O16,AF!L7:'AF'!L15,ACT2FLO!M11:'ACT2FLO'!M19)/1000</f>
        <v>2.4156898369399995</v>
      </c>
      <c r="AS45" s="375">
        <f>SUMPRODUCT(P8:P16,AF!M7:'AF'!M15,ACT2FLO!N11:'ACT2FLO'!N19)/1000</f>
        <v>0.98618770499999997</v>
      </c>
      <c r="AT45" s="375">
        <f>SUMPRODUCT(Q8:Q16,AF!N7:'AF'!N15,ACT2FLO!O11:'ACT2FLO'!O19)/1000</f>
        <v>1.1736379745699999</v>
      </c>
      <c r="AU45" s="375">
        <f>SUMPRODUCT(R8:R16,AF!O7:'AF'!O15,ACT2FLO!P11:'ACT2FLO'!P19)/1000</f>
        <v>2.0736752655000004</v>
      </c>
      <c r="AV45" s="375">
        <f>SUMPRODUCT(S8:S16,AF!P7:'AF'!P15,ACT2FLO!Q11:'ACT2FLO'!Q19)/1000</f>
        <v>1.7329645650000001</v>
      </c>
      <c r="AW45" s="375">
        <f>SUMPRODUCT(T8:T16,AF!Q7:'AF'!Q15,ACT2FLO!R11:'ACT2FLO'!R19)/1000</f>
        <v>1.6069746525000002</v>
      </c>
      <c r="AX45" s="375">
        <f>SUMPRODUCT(U8:U16,AF!R7:'AF'!R15,ACT2FLO!S11:'ACT2FLO'!S19)/1000</f>
        <v>6.4146100647400006</v>
      </c>
      <c r="AY45" s="375">
        <f>SUMPRODUCT(V8:V16,AF!S7:'AF'!S15,ACT2FLO!T11:'ACT2FLO'!T19)/1000</f>
        <v>1.91890350456</v>
      </c>
      <c r="AZ45" s="375">
        <f>SUMPRODUCT(W8:W16,AF!T7:'AF'!T15,ACT2FLO!U11:'ACT2FLO'!U19)/1000</f>
        <v>2.3660353382000001</v>
      </c>
      <c r="BA45" s="375">
        <f>SUMPRODUCT(X8:X16,AF!U7:'AF'!U15,ACT2FLO!V11:'ACT2FLO'!V19)/1000</f>
        <v>2.2627250354999995</v>
      </c>
      <c r="BB45" s="375">
        <f>SUMPRODUCT(Y8:Y16,AF!V7:'AF'!V15,ACT2FLO!W11:'ACT2FLO'!W19)/1000</f>
        <v>1.46920245782</v>
      </c>
      <c r="BC45" s="375">
        <f>SUMPRODUCT(Z8:Z16,AF!W7:'AF'!W15,ACT2FLO!X11:'ACT2FLO'!X19)/1000</f>
        <v>3.0906007461000007</v>
      </c>
      <c r="BD45" s="375">
        <f>SUMPRODUCT(AA8:AA16,AF!X7:'AF'!X15,ACT2FLO!Y11:'ACT2FLO'!Y19)/1000</f>
        <v>0.42603023589000005</v>
      </c>
      <c r="BE45" s="375">
        <f>SUMPRODUCT(AB8:AB16,AF!Y7:'AF'!Y15,ACT2FLO!Z11:'ACT2FLO'!Z19)/1000</f>
        <v>1.7009462821399999</v>
      </c>
      <c r="BF45" s="375">
        <f>SUMPRODUCT(AC8:AC16,AF!Z7:'AF'!Z15,ACT2FLO!AA11:'ACT2FLO'!AA19)/1000</f>
        <v>0.98890925265000007</v>
      </c>
      <c r="BG45" s="375">
        <f>SUMPRODUCT(AD8:AD16,AF!AA7:'AF'!AA15,ACT2FLO!AB11:'ACT2FLO'!AB19)/1000</f>
        <v>0.78838670099999986</v>
      </c>
      <c r="BH45" s="375">
        <f>SUMPRODUCT(AE8:AE16,AF!AB7:'AF'!AB15,ACT2FLO!AC11:'ACT2FLO'!AC19)/1000</f>
        <v>0.92036744699999995</v>
      </c>
      <c r="BI45" s="375">
        <f>SUMPRODUCT(AF8:AF16,AF!AC7:'AF'!AC15,ACT2FLO!AD11:'ACT2FLO'!AD19)/1000</f>
        <v>1.7521084019999997</v>
      </c>
      <c r="BJ45" s="375">
        <f>SUMPRODUCT(AG8:AG16,AF!AD7:'AF'!AD15,ACT2FLO!AE11:'ACT2FLO'!AE19)/1000</f>
        <v>0.73913487552000012</v>
      </c>
      <c r="BK45" s="429"/>
      <c r="BL45" s="429"/>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548"/>
      <c r="B46" s="548"/>
      <c r="D46"/>
      <c r="F46" s="387" t="s">
        <v>828</v>
      </c>
      <c r="AF46"/>
      <c r="AG46"/>
      <c r="AI46" s="429" t="s">
        <v>351</v>
      </c>
      <c r="AJ46" s="375">
        <f>SUMPRODUCT(G18:G20,AF!D16:'AF'!D18,ACT2FLO!E20:'ACT2FLO'!E22)/1000</f>
        <v>1.2543753112499998</v>
      </c>
      <c r="AK46" s="375">
        <f>SUMPRODUCT(H18:H20,AF!E16:'AF'!E18,ACT2FLO!F20:'ACT2FLO'!F22)/1000</f>
        <v>7.480486829999999E-3</v>
      </c>
      <c r="AL46" s="375">
        <f>SUMPRODUCT(I18:I20,AF!F16:'AF'!F18,ACT2FLO!G20:'ACT2FLO'!G22)/1000</f>
        <v>0.64499212950000007</v>
      </c>
      <c r="AM46" s="375">
        <f>SUMPRODUCT(J18:J20,AF!G16:'AF'!G18,ACT2FLO!H20:'ACT2FLO'!H22)/1000</f>
        <v>5.2339450499999995E-2</v>
      </c>
      <c r="AN46" s="375">
        <f>SUMPRODUCT(K18:K20,AF!H16:'AF'!H18,ACT2FLO!I20:'ACT2FLO'!I22)/1000</f>
        <v>1.3447912499999999E-2</v>
      </c>
      <c r="AO46" s="375">
        <f>SUMPRODUCT(L18:L20,AF!I16:'AF'!I18,ACT2FLO!J20:'ACT2FLO'!J22)/1000</f>
        <v>1.351194048E-2</v>
      </c>
      <c r="AP46" s="375">
        <f>SUMPRODUCT(M18:M20,AF!J16:'AF'!J18,ACT2FLO!K20:'ACT2FLO'!K22)/1000</f>
        <v>5.9972588000000004E-3</v>
      </c>
      <c r="AQ46" s="375">
        <f>SUMPRODUCT(N18:N20,AF!K16:'AF'!K18,ACT2FLO!L20:'ACT2FLO'!L22)/1000</f>
        <v>3.7474857630000004E-2</v>
      </c>
      <c r="AR46" s="375">
        <f>SUMPRODUCT(O18:O20,AF!L16:'AF'!L18,ACT2FLO!M20:'ACT2FLO'!M22)/1000</f>
        <v>6.2823125840000008E-2</v>
      </c>
      <c r="AS46" s="375">
        <f>SUMPRODUCT(P18:P20,AF!M16:'AF'!M18,ACT2FLO!N20:'ACT2FLO'!N22)/1000</f>
        <v>9.0138491300000012E-3</v>
      </c>
      <c r="AT46" s="375">
        <f>SUMPRODUCT(Q18:Q20,AF!N16:'AF'!N18,ACT2FLO!O20:'ACT2FLO'!O22)/1000</f>
        <v>1.8014314859999998E-2</v>
      </c>
      <c r="AU46" s="375">
        <f>SUMPRODUCT(R18:R20,AF!O16:'AF'!O18,ACT2FLO!P20:'ACT2FLO'!P22)/1000</f>
        <v>1.642449658E-2</v>
      </c>
      <c r="AV46" s="375">
        <f>SUMPRODUCT(S18:S20,AF!P16:'AF'!P18,ACT2FLO!Q20:'ACT2FLO'!Q22)/1000</f>
        <v>2.093057936E-2</v>
      </c>
      <c r="AW46" s="375">
        <f>SUMPRODUCT(T18:T20,AF!Q16:'AF'!Q18,ACT2FLO!R20:'ACT2FLO'!R22)/1000</f>
        <v>2.0939968499999996E-2</v>
      </c>
      <c r="AX46" s="375">
        <f>SUMPRODUCT(U18:U20,AF!R16:'AF'!R18,ACT2FLO!S20:'ACT2FLO'!S22)/1000</f>
        <v>0.10485556650000001</v>
      </c>
      <c r="AY46" s="375">
        <f>SUMPRODUCT(V18:V20,AF!S16:'AF'!S18,ACT2FLO!T20:'ACT2FLO'!T22)/1000</f>
        <v>2.6985121799999998E-2</v>
      </c>
      <c r="AZ46" s="375">
        <f>SUMPRODUCT(W18:W20,AF!T16:'AF'!T18,ACT2FLO!U20:'ACT2FLO'!U22)/1000</f>
        <v>4.0542080549999998E-2</v>
      </c>
      <c r="BA46" s="375">
        <f>SUMPRODUCT(X18:X20,AF!U16:'AF'!U18,ACT2FLO!V20:'ACT2FLO'!V22)/1000</f>
        <v>1.49404063E-2</v>
      </c>
      <c r="BB46" s="375">
        <f>SUMPRODUCT(Y18:Y20,AF!V16:'AF'!V18,ACT2FLO!W20:'ACT2FLO'!W22)/1000</f>
        <v>1.6491728400000003E-2</v>
      </c>
      <c r="BC46" s="375">
        <f>SUMPRODUCT(Z18:Z20,AF!W16:'AF'!W18,ACT2FLO!X20:'ACT2FLO'!X22)/1000</f>
        <v>5.6794664219999985E-2</v>
      </c>
      <c r="BD46" s="375">
        <f>SUMPRODUCT(AA18:AA20,AF!X16:'AF'!X18,ACT2FLO!Y20:'ACT2FLO'!Y22)/1000</f>
        <v>4.4970197999999999E-3</v>
      </c>
      <c r="BE46" s="375">
        <f>SUMPRODUCT(AB18:AB20,AF!Y16:'AF'!Y18,ACT2FLO!Z20:'ACT2FLO'!Z22)/1000</f>
        <v>1.6456350880000001E-2</v>
      </c>
      <c r="BF46" s="375">
        <f>SUMPRODUCT(AC18:AC20,AF!Z16:'AF'!Z18,ACT2FLO!AA20:'ACT2FLO'!AA22)/1000</f>
        <v>7.4845133400000003E-3</v>
      </c>
      <c r="BG46" s="375">
        <f>SUMPRODUCT(AD18:AD20,AF!AA16:'AF'!AA18,ACT2FLO!AB20:'ACT2FLO'!AB22)/1000</f>
        <v>8.9584690500000008E-3</v>
      </c>
      <c r="BH46" s="375">
        <f>SUMPRODUCT(AE18:AE20,AF!AB16:'AF'!AB18,ACT2FLO!AC20:'ACT2FLO'!AC22)/1000</f>
        <v>1.0450844549999999E-2</v>
      </c>
      <c r="BI46" s="375">
        <f>SUMPRODUCT(AF18:AF20,AF!AC16:'AF'!AC18,ACT2FLO!AD20:'ACT2FLO'!AD22)/1000</f>
        <v>2.2496805599999999E-2</v>
      </c>
      <c r="BJ46" s="375">
        <f>SUMPRODUCT(AG18:AG20,AF!AD16:'AF'!AD18,ACT2FLO!AE20:'ACT2FLO'!AE22)/1000</f>
        <v>4.5080479999999997E-3</v>
      </c>
      <c r="BK46" s="429"/>
      <c r="BL46" s="429"/>
      <c r="BM46" s="531" t="s">
        <v>693</v>
      </c>
      <c r="BN46" s="431" t="str">
        <f>BN36</f>
        <v>IE</v>
      </c>
      <c r="BO46" s="431" t="str">
        <f t="shared" ref="BO46:CN46" si="50">BO36</f>
        <v>IE-CW</v>
      </c>
      <c r="BP46" s="431" t="str">
        <f t="shared" si="50"/>
        <v>IE-D</v>
      </c>
      <c r="BQ46" s="431" t="str">
        <f t="shared" si="50"/>
        <v>IE-KE</v>
      </c>
      <c r="BR46" s="431" t="str">
        <f t="shared" si="50"/>
        <v>IE-KK</v>
      </c>
      <c r="BS46" s="431" t="str">
        <f t="shared" si="50"/>
        <v>IE-LS</v>
      </c>
      <c r="BT46" s="431" t="str">
        <f t="shared" si="50"/>
        <v>IE-LD</v>
      </c>
      <c r="BU46" s="431" t="str">
        <f t="shared" si="50"/>
        <v>IE-LH</v>
      </c>
      <c r="BV46" s="431" t="str">
        <f t="shared" si="50"/>
        <v>IE-MH</v>
      </c>
      <c r="BW46" s="431" t="str">
        <f t="shared" si="50"/>
        <v>IE-OY</v>
      </c>
      <c r="BX46" s="431" t="str">
        <f t="shared" si="50"/>
        <v>IE-WH</v>
      </c>
      <c r="BY46" s="431" t="str">
        <f t="shared" si="50"/>
        <v>IE-WX</v>
      </c>
      <c r="BZ46" s="431" t="str">
        <f t="shared" si="50"/>
        <v>IE-WW</v>
      </c>
      <c r="CA46" s="431" t="str">
        <f t="shared" si="50"/>
        <v>IE-CE</v>
      </c>
      <c r="CB46" s="431" t="str">
        <f t="shared" si="50"/>
        <v>IE-CO</v>
      </c>
      <c r="CC46" s="431" t="str">
        <f t="shared" si="50"/>
        <v>IE-KY</v>
      </c>
      <c r="CD46" s="431" t="str">
        <f t="shared" si="50"/>
        <v>IE-LK</v>
      </c>
      <c r="CE46" s="431" t="str">
        <f t="shared" si="50"/>
        <v>IE-TA</v>
      </c>
      <c r="CF46" s="431" t="str">
        <f t="shared" si="50"/>
        <v>IE-WD</v>
      </c>
      <c r="CG46" s="431" t="str">
        <f t="shared" si="50"/>
        <v>IE-G</v>
      </c>
      <c r="CH46" s="431" t="str">
        <f t="shared" si="50"/>
        <v>IE-LM</v>
      </c>
      <c r="CI46" s="431" t="str">
        <f t="shared" si="50"/>
        <v>IE-MO</v>
      </c>
      <c r="CJ46" s="431" t="str">
        <f t="shared" si="50"/>
        <v>IE-RN</v>
      </c>
      <c r="CK46" s="431" t="str">
        <f t="shared" si="50"/>
        <v>IE-SO</v>
      </c>
      <c r="CL46" s="431" t="str">
        <f t="shared" si="50"/>
        <v>IE-CN</v>
      </c>
      <c r="CM46" s="431" t="str">
        <f t="shared" si="50"/>
        <v>IE-DL</v>
      </c>
      <c r="CN46" s="431" t="str">
        <f t="shared" si="50"/>
        <v>IE-MN</v>
      </c>
      <c r="CO46" s="2"/>
    </row>
    <row r="47" spans="1:93" s="201" customFormat="1" ht="15" thickBot="1">
      <c r="A47" s="548"/>
      <c r="B47" s="548"/>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29" t="s">
        <v>573</v>
      </c>
      <c r="AJ47" s="375">
        <f>G22*AF!D19*ACT2FLO!E23/1000</f>
        <v>9.8168961157500032</v>
      </c>
      <c r="AK47" s="375">
        <f>H22*AF!E19*ACT2FLO!F23/1000</f>
        <v>0.10903126255999998</v>
      </c>
      <c r="AL47" s="375">
        <f>I22*AF!F19*ACT2FLO!G23/1000</f>
        <v>3.54364143966</v>
      </c>
      <c r="AM47" s="375">
        <f>J22*AF!G19*ACT2FLO!H23/1000</f>
        <v>0.46332705951000003</v>
      </c>
      <c r="AN47" s="375">
        <f>K22*AF!H19*ACT2FLO!I23/1000</f>
        <v>0.29982190479999998</v>
      </c>
      <c r="AO47" s="375">
        <f>L22*AF!I19*ACT2FLO!J23/1000</f>
        <v>0.13627332180000001</v>
      </c>
      <c r="AP47" s="375">
        <f>M22*AF!J19*ACT2FLO!K23/1000</f>
        <v>8.1756879749999997E-2</v>
      </c>
      <c r="AQ47" s="375">
        <f>N22*AF!K19*ACT2FLO!L23/1000</f>
        <v>0.21800543100000006</v>
      </c>
      <c r="AR47" s="375">
        <f>O22*AF!L19*ACT2FLO!M23/1000</f>
        <v>0.29977326056000003</v>
      </c>
      <c r="AS47" s="375">
        <f>P22*AF!M19*ACT2FLO!N23/1000</f>
        <v>0.19081360257000002</v>
      </c>
      <c r="AT47" s="375">
        <f>Q22*AF!N19*ACT2FLO!O23/1000</f>
        <v>0.13625459040000004</v>
      </c>
      <c r="AU47" s="375">
        <f>R22*AF!O19*ACT2FLO!P23/1000</f>
        <v>0.27250399559999999</v>
      </c>
      <c r="AV47" s="375">
        <f>S22*AF!P19*ACT2FLO!Q23/1000</f>
        <v>0.24530833403999999</v>
      </c>
      <c r="AW47" s="375">
        <f>T22*AF!Q19*ACT2FLO!R23/1000</f>
        <v>0.19077463342000001</v>
      </c>
      <c r="AX47" s="375">
        <f>U22*AF!R19*ACT2FLO!S23/1000</f>
        <v>0.7904570848200001</v>
      </c>
      <c r="AY47" s="375">
        <f>V22*AF!S19*ACT2FLO!T23/1000</f>
        <v>0.49052369408000007</v>
      </c>
      <c r="AZ47" s="375">
        <f>W22*AF!T19*ACT2FLO!U23/1000</f>
        <v>0.29977464448000007</v>
      </c>
      <c r="BA47" s="375">
        <f>X22*AF!U19*ACT2FLO!V23/1000</f>
        <v>0.35430468128000009</v>
      </c>
      <c r="BB47" s="375">
        <f>Y22*AF!V19*ACT2FLO!W23/1000</f>
        <v>0.16353595372000002</v>
      </c>
      <c r="BC47" s="375">
        <f>Z22*AF!W19*ACT2FLO!X23/1000</f>
        <v>0.57232764288000015</v>
      </c>
      <c r="BD47" s="375">
        <f>AA22*AF!X19*ACT2FLO!Y23/1000</f>
        <v>5.4500252399999997E-2</v>
      </c>
      <c r="BE47" s="375">
        <f>AB22*AF!Y19*ACT2FLO!Z23/1000</f>
        <v>0.35426603212000002</v>
      </c>
      <c r="BF47" s="375">
        <f>AC22*AF!Z19*ACT2FLO!AA23/1000</f>
        <v>0.109029186</v>
      </c>
      <c r="BG47" s="375">
        <f>AD22*AF!AA19*ACT2FLO!AB23/1000</f>
        <v>0.10900232448000001</v>
      </c>
      <c r="BH47" s="375">
        <f>AE22*AF!AB19*ACT2FLO!AC23/1000</f>
        <v>0.19278325334000002</v>
      </c>
      <c r="BI47" s="375">
        <f>AF22*AF!AC19*ACT2FLO!AD23/1000</f>
        <v>0.52188717500000004</v>
      </c>
      <c r="BJ47" s="375">
        <f>AG22*AF!AD19*ACT2FLO!AE23/1000</f>
        <v>0.27255499050000004</v>
      </c>
      <c r="BM47" s="530" t="str">
        <f>C28</f>
        <v>T-LGT-ICE_GSL00</v>
      </c>
      <c r="BN47" s="545">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548"/>
      <c r="B48" s="548"/>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29" t="s">
        <v>560</v>
      </c>
      <c r="AJ48" s="375">
        <f>G24*AF!D20*ACT2FLO!E24/1000</f>
        <v>0.31722651729000001</v>
      </c>
      <c r="AK48" s="375">
        <f>H24*AF!E20*ACT2FLO!F24/1000</f>
        <v>0</v>
      </c>
      <c r="AL48" s="375">
        <f>I24*AF!F20*ACT2FLO!G24/1000</f>
        <v>0.31722651729000001</v>
      </c>
      <c r="AM48" s="375">
        <f>J24*AF!G20*ACT2FLO!H24/1000</f>
        <v>0</v>
      </c>
      <c r="AN48" s="375">
        <f>K24*AF!H20*ACT2FLO!I24/1000</f>
        <v>0</v>
      </c>
      <c r="AO48" s="375">
        <f>L24*AF!I20*ACT2FLO!J24/1000</f>
        <v>0</v>
      </c>
      <c r="AP48" s="375">
        <f>M24*AF!J20*ACT2FLO!K24/1000</f>
        <v>0</v>
      </c>
      <c r="AQ48" s="375">
        <f>N24*AF!K20*ACT2FLO!L24/1000</f>
        <v>0</v>
      </c>
      <c r="AR48" s="375">
        <f>O24*AF!L20*ACT2FLO!M24/1000</f>
        <v>0</v>
      </c>
      <c r="AS48" s="375">
        <f>P24*AF!M20*ACT2FLO!N24/1000</f>
        <v>0</v>
      </c>
      <c r="AT48" s="375">
        <f>Q24*AF!N20*ACT2FLO!O24/1000</f>
        <v>0</v>
      </c>
      <c r="AU48" s="375">
        <f>R24*AF!O20*ACT2FLO!P24/1000</f>
        <v>0</v>
      </c>
      <c r="AV48" s="375">
        <f>S24*AF!P20*ACT2FLO!Q24/1000</f>
        <v>0</v>
      </c>
      <c r="AW48" s="375">
        <f>T24*AF!Q20*ACT2FLO!R24/1000</f>
        <v>0</v>
      </c>
      <c r="AX48" s="375">
        <f>U24*AF!R20*ACT2FLO!S24/1000</f>
        <v>0</v>
      </c>
      <c r="AY48" s="375">
        <f>V24*AF!S20*ACT2FLO!T24/1000</f>
        <v>0</v>
      </c>
      <c r="AZ48" s="375">
        <f>W24*AF!T20*ACT2FLO!U24/1000</f>
        <v>0</v>
      </c>
      <c r="BA48" s="375">
        <f>X24*AF!U20*ACT2FLO!V24/1000</f>
        <v>0</v>
      </c>
      <c r="BB48" s="375">
        <f>Y24*AF!V20*ACT2FLO!W24/1000</f>
        <v>0</v>
      </c>
      <c r="BC48" s="375">
        <f>Z24*AF!W20*ACT2FLO!X24/1000</f>
        <v>0</v>
      </c>
      <c r="BD48" s="375">
        <f>AA24*AF!X20*ACT2FLO!Y24/1000</f>
        <v>0</v>
      </c>
      <c r="BE48" s="375">
        <f>AB24*AF!Y20*ACT2FLO!Z24/1000</f>
        <v>0</v>
      </c>
      <c r="BF48" s="375">
        <f>AC24*AF!Z20*ACT2FLO!AA24/1000</f>
        <v>0</v>
      </c>
      <c r="BG48" s="375">
        <f>AD24*AF!AA20*ACT2FLO!AB24/1000</f>
        <v>0</v>
      </c>
      <c r="BH48" s="375">
        <f>AE24*AF!AB20*ACT2FLO!AC24/1000</f>
        <v>0</v>
      </c>
      <c r="BI48" s="375">
        <f>AF24*AF!AC20*ACT2FLO!AD24/1000</f>
        <v>0</v>
      </c>
      <c r="BJ48" s="375">
        <f>AG24*AF!AD20*ACT2FLO!AE24/1000</f>
        <v>0</v>
      </c>
      <c r="BM48" s="530" t="str">
        <f t="shared" ref="BM48:BM51" si="51">C29</f>
        <v>T-LGT-ICE_DST00</v>
      </c>
      <c r="BN48" s="545">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548"/>
      <c r="B49" s="548"/>
      <c r="C49" s="110" t="str">
        <f>Processes!D6</f>
        <v>T-WLK_WLK</v>
      </c>
      <c r="D49" s="28" t="s">
        <v>1130</v>
      </c>
      <c r="E49" s="110" t="str">
        <f>Commodities!C6</f>
        <v>TRAWLK</v>
      </c>
      <c r="F49" s="110" t="str">
        <f>Commodities!C19</f>
        <v>TRAPS</v>
      </c>
      <c r="G49" s="437">
        <v>4700</v>
      </c>
      <c r="H49" s="437">
        <f>$G$49*Demands!C185</f>
        <v>56.192353206149228</v>
      </c>
      <c r="I49" s="437">
        <f>$G$49*Demands!D185</f>
        <v>1329.8544372845527</v>
      </c>
      <c r="J49" s="437">
        <f>$G$49*Demands!E185</f>
        <v>219.6132817709026</v>
      </c>
      <c r="K49" s="437">
        <f>$G$49*Demands!F185</f>
        <v>97.94280182239514</v>
      </c>
      <c r="L49" s="437">
        <f>$G$49*Demands!G185</f>
        <v>83.596637031919158</v>
      </c>
      <c r="M49" s="437">
        <f>$G$49*Demands!H185</f>
        <v>40.341987855598568</v>
      </c>
      <c r="N49" s="437">
        <f>$G$49*Demands!I185</f>
        <v>127.20957019991108</v>
      </c>
      <c r="O49" s="437">
        <f>$G$49*Demands!J185</f>
        <v>192.51003545879593</v>
      </c>
      <c r="P49" s="437">
        <f>$G$49*Demands!K185</f>
        <v>76.948149517048407</v>
      </c>
      <c r="Q49" s="437">
        <f>$G$49*Demands!L185</f>
        <v>87.616721599625293</v>
      </c>
      <c r="R49" s="437">
        <f>$G$49*Demands!M185</f>
        <v>147.77684793668016</v>
      </c>
      <c r="S49" s="437">
        <f>$G$49*Demands!N185</f>
        <v>140.57464879831736</v>
      </c>
      <c r="T49" s="437">
        <f>$G$49*Demands!O185</f>
        <v>117.27335823254116</v>
      </c>
      <c r="U49" s="437">
        <f>$G$49*Demands!P185</f>
        <v>535.81519005683663</v>
      </c>
      <c r="V49" s="437">
        <f>$G$49*Demands!Q185</f>
        <v>145.78802633001976</v>
      </c>
      <c r="W49" s="437">
        <f>$G$49*Demands!R185</f>
        <v>192.36691926377571</v>
      </c>
      <c r="X49" s="437">
        <f>$G$49*Demands!S185</f>
        <v>157.48012595905166</v>
      </c>
      <c r="Y49" s="437">
        <f>$G$49*Demands!T185</f>
        <v>114.66666946668995</v>
      </c>
      <c r="Z49" s="437">
        <f>$G$49*Demands!U185</f>
        <v>254.70537278986262</v>
      </c>
      <c r="AA49" s="437">
        <f>$G$49*Demands!V185</f>
        <v>31.627692091228937</v>
      </c>
      <c r="AB49" s="437">
        <f>$G$49*Demands!W185</f>
        <v>128.81148457589612</v>
      </c>
      <c r="AC49" s="437">
        <f>$G$49*Demands!X185</f>
        <v>63.705459940590451</v>
      </c>
      <c r="AD49" s="437">
        <f>$G$49*Demands!Y185</f>
        <v>64.683585107935599</v>
      </c>
      <c r="AE49" s="437">
        <f>$G$49*Demands!Z185</f>
        <v>75.186339805937322</v>
      </c>
      <c r="AF49" s="437">
        <f>$G$49*Demands!AA185</f>
        <v>157.12381598386332</v>
      </c>
      <c r="AG49" s="437">
        <f>$G$49*Demands!AB185</f>
        <v>60.588487913874033</v>
      </c>
      <c r="AI49" s="429" t="s">
        <v>353</v>
      </c>
      <c r="AJ49" s="375">
        <f>SUMPRODUCT(G25:G26,AF!D21:'AF'!D22,ACT2FLO!E25:'ACT2FLO'!E26)/1000</f>
        <v>2.2810873993599996</v>
      </c>
      <c r="AK49" s="375">
        <f>SUMPRODUCT(H25:H26,AF!E21:'AF'!E22,ACT2FLO!F25:'ACT2FLO'!F26)/1000</f>
        <v>2.7273274924122255E-2</v>
      </c>
      <c r="AL49" s="375">
        <f>SUMPRODUCT(I25:I26,AF!F21:'AF'!F22,ACT2FLO!G25:'ACT2FLO'!G26)/1000</f>
        <v>0.6454765761280199</v>
      </c>
      <c r="AM49" s="375">
        <f>SUMPRODUCT(J25:J26,AF!G21:'AF'!G22,ACT2FLO!H25:'ACT2FLO'!H26)/1000</f>
        <v>0.10659054246674803</v>
      </c>
      <c r="AN49" s="375">
        <f>SUMPRODUCT(K25:K26,AF!H21:'AF'!H22,ACT2FLO!I25:'ACT2FLO'!I26)/1000</f>
        <v>4.7537090164942383E-2</v>
      </c>
      <c r="AO49" s="375">
        <f>SUMPRODUCT(L25:L26,AF!I21:'AF'!I22,ACT2FLO!J25:'ACT2FLO'!J26)/1000</f>
        <v>4.0574098332192478E-2</v>
      </c>
      <c r="AP49" s="375">
        <f>SUMPRODUCT(M25:M26,AF!J21:'AF'!J22,ACT2FLO!K25:'ACT2FLO'!K26)/1000</f>
        <v>1.9580210882696007E-2</v>
      </c>
      <c r="AQ49" s="375">
        <f>SUMPRODUCT(N25:N26,AF!K21:'AF'!K22,ACT2FLO!L25:'ACT2FLO'!L26)/1000</f>
        <v>6.1741880933755586E-2</v>
      </c>
      <c r="AR49" s="375">
        <f>SUMPRODUCT(O25:O26,AF!L21:'AF'!L22,ACT2FLO!M25:'ACT2FLO'!M26)/1000</f>
        <v>9.3435829310414192E-2</v>
      </c>
      <c r="AS49" s="375">
        <f>SUMPRODUCT(P25:P26,AF!M21:'AF'!M22,ACT2FLO!N25:'ACT2FLO'!N26)/1000</f>
        <v>3.7347217493843447E-2</v>
      </c>
      <c r="AT49" s="375">
        <f>SUMPRODUCT(Q25:Q26,AF!N21:'AF'!N22,ACT2FLO!O25:'ACT2FLO'!O26)/1000</f>
        <v>4.2525269005380673E-2</v>
      </c>
      <c r="AU49" s="375">
        <f>SUMPRODUCT(R25:R26,AF!O21:'AF'!O22,ACT2FLO!P25:'ACT2FLO'!P26)/1000</f>
        <v>7.1724324952389382E-2</v>
      </c>
      <c r="AV49" s="375">
        <f>SUMPRODUCT(S25:S26,AF!P21:'AF'!P22,ACT2FLO!Q25:'ACT2FLO'!Q26)/1000</f>
        <v>6.8228697060846485E-2</v>
      </c>
      <c r="AW49" s="375">
        <f>SUMPRODUCT(T25:T26,AF!Q21:'AF'!Q22,ACT2FLO!R25:'ACT2FLO'!R26)/1000</f>
        <v>5.6919284526442668E-2</v>
      </c>
      <c r="AX49" s="375">
        <f>SUMPRODUCT(U25:U26,AF!R21:'AF'!R22,ACT2FLO!S25:'ACT2FLO'!S26)/1000</f>
        <v>0.26006091849062746</v>
      </c>
      <c r="AY49" s="375">
        <f>SUMPRODUCT(V25:V26,AF!S21:'AF'!S22,ACT2FLO!T25:'ACT2FLO'!T26)/1000</f>
        <v>7.0759039190917708E-2</v>
      </c>
      <c r="AZ49" s="375">
        <f>SUMPRODUCT(W25:W26,AF!T21:'AF'!T22,ACT2FLO!U25:'ACT2FLO'!U26)/1000</f>
        <v>9.3366367059588687E-2</v>
      </c>
      <c r="BA49" s="375">
        <f>SUMPRODUCT(X25:X26,AF!U21:'AF'!U22,ACT2FLO!V25:'ACT2FLO'!V26)/1000</f>
        <v>7.6433865558358738E-2</v>
      </c>
      <c r="BB49" s="375">
        <f>SUMPRODUCT(Y25:Y26,AF!V21:'AF'!V22,ACT2FLO!W25:'ACT2FLO'!W26)/1000</f>
        <v>5.565411346140707E-2</v>
      </c>
      <c r="BC49" s="375">
        <f>SUMPRODUCT(Z25:Z26,AF!W21:'AF'!W22,ACT2FLO!X25:'ACT2FLO'!X26)/1000</f>
        <v>0.12362268636916218</v>
      </c>
      <c r="BD49" s="375">
        <f>SUMPRODUCT(AA25:AA26,AF!X21:'AF'!X22,ACT2FLO!Y25:'ACT2FLO'!Y26)/1000</f>
        <v>1.5350678382431211E-2</v>
      </c>
      <c r="BE49" s="375">
        <f>SUMPRODUCT(AB25:AB26,AF!Y21:'AF'!Y22,ACT2FLO!Z25:'ACT2FLO'!Z26)/1000</f>
        <v>6.251937909299557E-2</v>
      </c>
      <c r="BF49" s="375">
        <f>SUMPRODUCT(AC25:AC26,AF!Z21:'AF'!Z22,ACT2FLO!AA25:'ACT2FLO'!AA26)/1000</f>
        <v>3.0919803567458496E-2</v>
      </c>
      <c r="BG49" s="375">
        <f>SUMPRODUCT(AD25:AD26,AF!AA21:'AF'!AA22,ACT2FLO!AB25:'ACT2FLO'!AB26)/1000</f>
        <v>3.1394542123100402E-2</v>
      </c>
      <c r="BH49" s="375">
        <f>SUMPRODUCT(AE25:AE26,AF!AB21:'AF'!AB22,ACT2FLO!AC25:'ACT2FLO'!AC26)/1000</f>
        <v>3.6492113233681178E-2</v>
      </c>
      <c r="BI49" s="375">
        <f>SUMPRODUCT(AF25:AF26,AF!AC21:'AF'!AC22,ACT2FLO!AD25:'ACT2FLO'!AD26)/1000</f>
        <v>7.6260928506303491E-2</v>
      </c>
      <c r="BJ49" s="375">
        <f>SUMPRODUCT(AG25:AG26,AF!AD21:'AF'!AD22,ACT2FLO!AE25:'ACT2FLO'!AE26)/1000</f>
        <v>2.9406963649479534E-2</v>
      </c>
      <c r="BM49" s="530" t="str">
        <f t="shared" si="51"/>
        <v>T-MGT-ICE_DST00</v>
      </c>
      <c r="BN49" s="545">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548"/>
      <c r="B50" s="548"/>
      <c r="C50" s="371" t="str">
        <f>Processes!D7</f>
        <v>T-CYC_CYC</v>
      </c>
      <c r="D50" s="112" t="s">
        <v>1130</v>
      </c>
      <c r="E50" s="371" t="str">
        <f>Commodities!C7</f>
        <v>TRACYC</v>
      </c>
      <c r="F50" s="371" t="str">
        <f>Commodities!C19</f>
        <v>TRAPS</v>
      </c>
      <c r="G50" s="438">
        <v>2000</v>
      </c>
      <c r="H50" s="438">
        <f>$G$50*Demands!C185</f>
        <v>23.91163966219116</v>
      </c>
      <c r="I50" s="438">
        <f>$G$50*Demands!D185</f>
        <v>565.89550522746924</v>
      </c>
      <c r="J50" s="438">
        <f>$G$50*Demands!E185</f>
        <v>93.452460328043657</v>
      </c>
      <c r="K50" s="438">
        <f>$G$50*Demands!F185</f>
        <v>41.677788009529849</v>
      </c>
      <c r="L50" s="438">
        <f>$G$50*Demands!G185</f>
        <v>35.573037034859212</v>
      </c>
      <c r="M50" s="438">
        <f>$G$50*Demands!H185</f>
        <v>17.166803342807903</v>
      </c>
      <c r="N50" s="438">
        <f>$G$50*Demands!I185</f>
        <v>54.131731999962163</v>
      </c>
      <c r="O50" s="438">
        <f>$G$50*Demands!J185</f>
        <v>81.919164025019541</v>
      </c>
      <c r="P50" s="438">
        <f>$G$50*Demands!K185</f>
        <v>32.743893411509958</v>
      </c>
      <c r="Q50" s="438">
        <f>$G$50*Demands!L185</f>
        <v>37.283711318989482</v>
      </c>
      <c r="R50" s="438">
        <f>$G$50*Demands!M185</f>
        <v>62.883765079438369</v>
      </c>
      <c r="S50" s="438">
        <f>$G$50*Demands!N185</f>
        <v>59.818999488645687</v>
      </c>
      <c r="T50" s="438">
        <f>$G$50*Demands!O185</f>
        <v>49.903556694698366</v>
      </c>
      <c r="U50" s="438">
        <f>$G$50*Demands!P185</f>
        <v>228.00646385397303</v>
      </c>
      <c r="V50" s="438">
        <f>$G$50*Demands!Q185</f>
        <v>62.037458012774366</v>
      </c>
      <c r="W50" s="438">
        <f>$G$50*Demands!R185</f>
        <v>81.858263516500301</v>
      </c>
      <c r="X50" s="438">
        <f>$G$50*Demands!S185</f>
        <v>67.012819557043258</v>
      </c>
      <c r="Y50" s="438">
        <f>$G$50*Demands!T185</f>
        <v>48.794327432634027</v>
      </c>
      <c r="Z50" s="438">
        <f>$G$50*Demands!U185</f>
        <v>108.38526501696282</v>
      </c>
      <c r="AA50" s="438">
        <f>$G$50*Demands!V185</f>
        <v>13.458592379246356</v>
      </c>
      <c r="AB50" s="438">
        <f>$G$50*Demands!W185</f>
        <v>54.813397691870691</v>
      </c>
      <c r="AC50" s="438">
        <f>$G$50*Demands!X185</f>
        <v>27.108706357698065</v>
      </c>
      <c r="AD50" s="438">
        <f>$G$50*Demands!Y185</f>
        <v>27.524929833164087</v>
      </c>
      <c r="AE50" s="438">
        <f>$G$50*Demands!Z185</f>
        <v>31.99418715146269</v>
      </c>
      <c r="AF50" s="438">
        <f>$G$50*Demands!AA185</f>
        <v>66.861198291005678</v>
      </c>
      <c r="AG50" s="438">
        <f>$G$50*Demands!AB185</f>
        <v>25.782335282499588</v>
      </c>
      <c r="AI50" s="481" t="s">
        <v>16</v>
      </c>
      <c r="AJ50" s="486">
        <f t="shared" ref="AJ50" si="52">SUM(AJ44:AJ49)</f>
        <v>67.476663407459995</v>
      </c>
      <c r="AK50" s="486">
        <f t="shared" ref="AK50" si="53">SUM(AK44:AK49)</f>
        <v>0.93916172681412224</v>
      </c>
      <c r="AL50" s="486">
        <f t="shared" ref="AL50" si="54">SUM(AL44:AL49)</f>
        <v>16.550418519828021</v>
      </c>
      <c r="AM50" s="486">
        <f t="shared" ref="AM50" si="55">SUM(AM44:AM49)</f>
        <v>3.3585197820067485</v>
      </c>
      <c r="AN50" s="486">
        <f t="shared" ref="AN50" si="56">SUM(AN44:AN49)</f>
        <v>1.6049894187449421</v>
      </c>
      <c r="AO50" s="486">
        <f t="shared" ref="AO50" si="57">SUM(AO44:AO49)</f>
        <v>1.1972527661521923</v>
      </c>
      <c r="AP50" s="486">
        <f t="shared" ref="AP50" si="58">SUM(AP44:AP49)</f>
        <v>0.61590739538269612</v>
      </c>
      <c r="AQ50" s="486">
        <f t="shared" ref="AQ50" si="59">SUM(AQ44:AQ49)</f>
        <v>1.6709078921837557</v>
      </c>
      <c r="AR50" s="486">
        <f t="shared" ref="AR50" si="60">SUM(AR44:AR49)</f>
        <v>2.8772226702504136</v>
      </c>
      <c r="AS50" s="486">
        <f t="shared" ref="AS50" si="61">SUM(AS44:AS49)</f>
        <v>1.2255656855538435</v>
      </c>
      <c r="AT50" s="486">
        <f t="shared" ref="AT50" si="62">SUM(AT44:AT49)</f>
        <v>1.3726386212353807</v>
      </c>
      <c r="AU50" s="486">
        <f t="shared" ref="AU50" si="63">SUM(AU44:AU49)</f>
        <v>2.4387296688323903</v>
      </c>
      <c r="AV50" s="486">
        <f t="shared" ref="AV50" si="64">SUM(AV44:AV49)</f>
        <v>2.0718703994608467</v>
      </c>
      <c r="AW50" s="486">
        <f t="shared" ref="AW50" si="65">SUM(AW44:AW49)</f>
        <v>1.8789333866264428</v>
      </c>
      <c r="AX50" s="486">
        <f t="shared" ref="AX50" si="66">SUM(AX44:AX49)</f>
        <v>7.5865437574306283</v>
      </c>
      <c r="AY50" s="486">
        <f t="shared" ref="AY50" si="67">SUM(AY44:AY49)</f>
        <v>2.5104729052309178</v>
      </c>
      <c r="AZ50" s="486">
        <f t="shared" ref="AZ50" si="68">SUM(AZ44:AZ49)</f>
        <v>2.8041407602895889</v>
      </c>
      <c r="BA50" s="486">
        <f t="shared" ref="BA50" si="69">SUM(BA44:BA49)</f>
        <v>2.7128165451183586</v>
      </c>
      <c r="BB50" s="486">
        <f t="shared" ref="BB50" si="70">SUM(BB44:BB49)</f>
        <v>1.708308117401407</v>
      </c>
      <c r="BC50" s="486">
        <f t="shared" ref="BC50" si="71">SUM(BC44:BC49)</f>
        <v>3.8477563645291633</v>
      </c>
      <c r="BD50" s="486">
        <f t="shared" ref="BD50" si="72">SUM(BD44:BD49)</f>
        <v>0.5014812664724313</v>
      </c>
      <c r="BE50" s="486">
        <f t="shared" ref="BE50" si="73">SUM(BE44:BE49)</f>
        <v>2.1363915268329956</v>
      </c>
      <c r="BF50" s="486">
        <f t="shared" ref="BF50" si="74">SUM(BF44:BF49)</f>
        <v>1.1374456809074587</v>
      </c>
      <c r="BG50" s="486">
        <f t="shared" ref="BG50" si="75">SUM(BG44:BG49)</f>
        <v>0.93884360465310035</v>
      </c>
      <c r="BH50" s="486">
        <f t="shared" ref="BH50" si="76">SUM(BH44:BH49)</f>
        <v>1.1613081861236809</v>
      </c>
      <c r="BI50" s="486">
        <f t="shared" ref="BI50" si="77">SUM(BI44:BI49)</f>
        <v>2.374973410946303</v>
      </c>
      <c r="BJ50" s="486">
        <f t="shared" ref="BJ50" si="78">SUM(BJ44:BJ49)</f>
        <v>1.0467094272694797</v>
      </c>
      <c r="BM50" s="530" t="str">
        <f t="shared" si="51"/>
        <v>T-HGT-ICE_DST00</v>
      </c>
      <c r="BN50" s="545">
        <f>G31*1000*AF!D26*1000*ACT2FLO!E31/1000000</f>
        <v>14662.959943104002</v>
      </c>
    </row>
    <row r="51" spans="1:93" s="201" customFormat="1">
      <c r="A51" s="548"/>
      <c r="B51" s="548"/>
      <c r="G51" s="375"/>
      <c r="H51" s="375"/>
      <c r="I51" s="375"/>
      <c r="J51" s="375"/>
      <c r="K51" s="375"/>
      <c r="L51" s="375"/>
      <c r="M51" s="375"/>
      <c r="N51" s="375"/>
      <c r="O51" s="375"/>
      <c r="P51" s="375"/>
      <c r="Q51" s="375"/>
      <c r="R51" s="375"/>
      <c r="S51" s="375"/>
      <c r="T51" s="375"/>
      <c r="U51" s="375"/>
      <c r="V51" s="375"/>
      <c r="W51" s="375"/>
      <c r="X51" s="375"/>
      <c r="Y51" s="375"/>
      <c r="Z51" s="375"/>
      <c r="AA51" s="375"/>
      <c r="AB51" s="375"/>
      <c r="AC51" s="375"/>
      <c r="AD51" s="375"/>
      <c r="AE51" s="375"/>
      <c r="AF51" s="375"/>
      <c r="BM51" s="530" t="str">
        <f t="shared" si="51"/>
        <v>T-GTR-ICE_DST00</v>
      </c>
      <c r="BN51" s="545">
        <f>G32*1000*AF!D27*1000*ACT2FLO!E32/1000000</f>
        <v>90.842664639999995</v>
      </c>
    </row>
    <row r="52" spans="1:93" s="201" customFormat="1">
      <c r="A52" s="548"/>
      <c r="B52" s="548"/>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row>
    <row r="53" spans="1:93" s="201" customFormat="1">
      <c r="A53" s="548"/>
      <c r="C53" s="195" t="s">
        <v>75</v>
      </c>
      <c r="D53"/>
      <c r="E53"/>
      <c r="AI53" s="429" t="s">
        <v>1032</v>
      </c>
    </row>
    <row r="54" spans="1:93" s="201" customFormat="1" ht="15" thickBot="1">
      <c r="A54" s="548"/>
      <c r="B54" s="41" t="s">
        <v>793</v>
      </c>
      <c r="C54" s="41" t="s">
        <v>69</v>
      </c>
      <c r="D54" s="385" t="s">
        <v>169</v>
      </c>
      <c r="E54" s="533" t="s">
        <v>1083</v>
      </c>
      <c r="G54" s="375"/>
      <c r="J54" s="375"/>
      <c r="K54" s="375"/>
      <c r="L54" s="375"/>
      <c r="M54" s="375"/>
      <c r="N54" s="375"/>
      <c r="O54" s="375"/>
      <c r="P54" s="375"/>
      <c r="Q54" s="375"/>
      <c r="R54" s="375"/>
      <c r="S54" s="375"/>
      <c r="T54" s="375"/>
      <c r="U54" s="375"/>
      <c r="V54" s="375"/>
      <c r="W54" s="375"/>
      <c r="X54" s="375"/>
      <c r="Y54" s="375"/>
      <c r="Z54" s="375"/>
      <c r="AA54" s="375"/>
      <c r="AB54" s="375"/>
      <c r="AC54" s="375"/>
      <c r="AD54" s="375"/>
      <c r="AE54" s="375"/>
      <c r="AF54" s="375"/>
      <c r="AI54" s="431" t="s">
        <v>346</v>
      </c>
      <c r="AJ54" s="431" t="str">
        <f>AJ43</f>
        <v>IE</v>
      </c>
      <c r="AK54" s="431" t="str">
        <f t="shared" ref="AK54:BJ54" si="79">AK43</f>
        <v>IE-CW</v>
      </c>
      <c r="AL54" s="431" t="str">
        <f t="shared" si="79"/>
        <v>IE-D</v>
      </c>
      <c r="AM54" s="431" t="str">
        <f t="shared" si="79"/>
        <v>IE-KE</v>
      </c>
      <c r="AN54" s="431" t="str">
        <f t="shared" si="79"/>
        <v>IE-KK</v>
      </c>
      <c r="AO54" s="431" t="str">
        <f t="shared" si="79"/>
        <v>IE-LS</v>
      </c>
      <c r="AP54" s="431" t="str">
        <f t="shared" si="79"/>
        <v>IE-LD</v>
      </c>
      <c r="AQ54" s="431" t="str">
        <f t="shared" si="79"/>
        <v>IE-LH</v>
      </c>
      <c r="AR54" s="431" t="str">
        <f t="shared" si="79"/>
        <v>IE-MH</v>
      </c>
      <c r="AS54" s="431" t="str">
        <f t="shared" si="79"/>
        <v>IE-OY</v>
      </c>
      <c r="AT54" s="431" t="str">
        <f t="shared" si="79"/>
        <v>IE-WH</v>
      </c>
      <c r="AU54" s="431" t="str">
        <f t="shared" si="79"/>
        <v>IE-WX</v>
      </c>
      <c r="AV54" s="431" t="str">
        <f t="shared" si="79"/>
        <v>IE-WW</v>
      </c>
      <c r="AW54" s="431" t="str">
        <f t="shared" si="79"/>
        <v>IE-CE</v>
      </c>
      <c r="AX54" s="431" t="str">
        <f t="shared" si="79"/>
        <v>IE-CO</v>
      </c>
      <c r="AY54" s="431" t="str">
        <f t="shared" si="79"/>
        <v>IE-KY</v>
      </c>
      <c r="AZ54" s="431" t="str">
        <f t="shared" si="79"/>
        <v>IE-LK</v>
      </c>
      <c r="BA54" s="431" t="str">
        <f t="shared" si="79"/>
        <v>IE-TA</v>
      </c>
      <c r="BB54" s="431" t="str">
        <f t="shared" si="79"/>
        <v>IE-WD</v>
      </c>
      <c r="BC54" s="431" t="str">
        <f t="shared" si="79"/>
        <v>IE-G</v>
      </c>
      <c r="BD54" s="431" t="str">
        <f t="shared" si="79"/>
        <v>IE-LM</v>
      </c>
      <c r="BE54" s="431" t="str">
        <f t="shared" si="79"/>
        <v>IE-MO</v>
      </c>
      <c r="BF54" s="431" t="str">
        <f t="shared" si="79"/>
        <v>IE-RN</v>
      </c>
      <c r="BG54" s="431" t="str">
        <f t="shared" si="79"/>
        <v>IE-SO</v>
      </c>
      <c r="BH54" s="431" t="str">
        <f t="shared" si="79"/>
        <v>IE-CN</v>
      </c>
      <c r="BI54" s="431" t="str">
        <f t="shared" si="79"/>
        <v>IE-DL</v>
      </c>
      <c r="BJ54" s="431" t="str">
        <f t="shared" si="79"/>
        <v>IE-MN</v>
      </c>
    </row>
    <row r="55" spans="1:93" s="201" customFormat="1" ht="16.2">
      <c r="A55" s="548"/>
      <c r="B55" s="531" t="s">
        <v>647</v>
      </c>
      <c r="C55" s="197"/>
      <c r="D55" s="312"/>
      <c r="E55" s="532" t="s">
        <v>1084</v>
      </c>
      <c r="AI55" s="429" t="s">
        <v>355</v>
      </c>
      <c r="AJ55" s="491">
        <f t="shared" ref="AJ55:BJ55" si="80">AJ44-AJ70-AJ83-AJ96</f>
        <v>9.0775131999996928E-4</v>
      </c>
      <c r="AK55" s="491">
        <f t="shared" si="80"/>
        <v>3.8463099999999943E-4</v>
      </c>
      <c r="AL55" s="501">
        <f t="shared" si="80"/>
        <v>1.7542079999995075E-5</v>
      </c>
      <c r="AM55" s="491">
        <f t="shared" si="80"/>
        <v>6.745939199999983E-4</v>
      </c>
      <c r="AN55" s="491">
        <f t="shared" si="80"/>
        <v>1.1254399999999958E-4</v>
      </c>
      <c r="AO55" s="491">
        <f t="shared" si="80"/>
        <v>2.9022999999999994E-4</v>
      </c>
      <c r="AP55" s="491">
        <f t="shared" si="80"/>
        <v>2.8841799999998041E-6</v>
      </c>
      <c r="AQ55" s="491">
        <f t="shared" si="80"/>
        <v>1.5808999999999919E-4</v>
      </c>
      <c r="AR55" s="491">
        <f t="shared" si="80"/>
        <v>6.1759999999983634E-7</v>
      </c>
      <c r="AS55" s="491">
        <f t="shared" si="80"/>
        <v>3.3113599999996281E-6</v>
      </c>
      <c r="AT55" s="491">
        <f t="shared" si="80"/>
        <v>6.4723999999992572E-6</v>
      </c>
      <c r="AU55" s="491">
        <f t="shared" si="80"/>
        <v>1.5862000000001035E-6</v>
      </c>
      <c r="AV55" s="491">
        <f t="shared" si="80"/>
        <v>3.8223999999999897E-5</v>
      </c>
      <c r="AW55" s="491">
        <f t="shared" si="80"/>
        <v>2.4847679999999601E-5</v>
      </c>
      <c r="AX55" s="491">
        <f t="shared" si="80"/>
        <v>6.0122879999999213E-5</v>
      </c>
      <c r="AY55" s="491">
        <f t="shared" si="80"/>
        <v>1.5455999999992691E-6</v>
      </c>
      <c r="AZ55" s="491">
        <f t="shared" si="80"/>
        <v>2.2330000000000527E-5</v>
      </c>
      <c r="BA55" s="491">
        <f t="shared" si="80"/>
        <v>1.2556479999998888E-5</v>
      </c>
      <c r="BB55" s="491">
        <f t="shared" si="80"/>
        <v>1.2386399999999957E-4</v>
      </c>
      <c r="BC55" s="491">
        <f t="shared" si="80"/>
        <v>1.0624959999998643E-5</v>
      </c>
      <c r="BD55" s="491">
        <f t="shared" si="80"/>
        <v>3.0799999999995978E-6</v>
      </c>
      <c r="BE55" s="491">
        <f t="shared" si="80"/>
        <v>3.4825999999993015E-6</v>
      </c>
      <c r="BF55" s="491">
        <f t="shared" si="80"/>
        <v>2.9253499999997703E-6</v>
      </c>
      <c r="BG55" s="491">
        <f t="shared" si="80"/>
        <v>1.5679999999998603E-6</v>
      </c>
      <c r="BH55" s="491">
        <f t="shared" si="80"/>
        <v>1.1452799999999981E-4</v>
      </c>
      <c r="BI55" s="491">
        <f t="shared" si="80"/>
        <v>2.0099840000000098E-5</v>
      </c>
      <c r="BJ55" s="491">
        <f t="shared" si="80"/>
        <v>4.5495999999999471E-6</v>
      </c>
    </row>
    <row r="56" spans="1:93" s="201" customFormat="1">
      <c r="A56" s="548"/>
      <c r="B56" s="110" t="str">
        <f>_xlfn.TEXTJOIN(",",TRUE,Regions!$C$3:'Regions'!$AD$3)</f>
        <v>IE,IE-CW,IE-D,IE-KE,IE-KK,IE-LS,IE-LD,IE-LH,IE-MH,IE-OY,IE-WH,IE-WX,IE-WW,IE-CE,IE-CO,IE-KY,IE-LK,IE-TA,IE-WD,IE-G,IE-LM,IE-MO,IE-RN,IE-SO,IE-CN,IE-DL,IE-MN</v>
      </c>
      <c r="C56" s="110" t="str">
        <f>C49</f>
        <v>T-WLK_WLK</v>
      </c>
      <c r="D56" s="386">
        <v>100</v>
      </c>
      <c r="E56" s="530">
        <v>0</v>
      </c>
      <c r="AI56" s="429" t="s">
        <v>354</v>
      </c>
      <c r="AJ56" s="491">
        <f t="shared" ref="AJ56:BJ56" si="81">AJ45-AJ71-AJ84-AJ97</f>
        <v>8.1717555973064293E-3</v>
      </c>
      <c r="AK56" s="491">
        <f t="shared" si="81"/>
        <v>4.6179759223747285E-3</v>
      </c>
      <c r="AL56" s="501">
        <f t="shared" si="81"/>
        <v>5.9646149028802498E-3</v>
      </c>
      <c r="AM56" s="491">
        <f t="shared" si="81"/>
        <v>1.3527164057488772E-2</v>
      </c>
      <c r="AN56" s="491">
        <f t="shared" si="81"/>
        <v>7.976437898721267E-3</v>
      </c>
      <c r="AO56" s="491">
        <f t="shared" si="81"/>
        <v>1.3794206747033133E-3</v>
      </c>
      <c r="AP56" s="491">
        <f t="shared" si="81"/>
        <v>1.862440074430205E-4</v>
      </c>
      <c r="AQ56" s="491">
        <f t="shared" si="81"/>
        <v>5.533239026392911E-3</v>
      </c>
      <c r="AR56" s="491">
        <f t="shared" si="81"/>
        <v>1.0567262136346733E-2</v>
      </c>
      <c r="AS56" s="491">
        <f t="shared" si="81"/>
        <v>2.9521114543379356E-3</v>
      </c>
      <c r="AT56" s="491">
        <f t="shared" si="81"/>
        <v>2.4089291476256935E-3</v>
      </c>
      <c r="AU56" s="491">
        <f t="shared" si="81"/>
        <v>7.2393063789962797E-3</v>
      </c>
      <c r="AV56" s="491">
        <f t="shared" si="81"/>
        <v>7.3918699315089764E-4</v>
      </c>
      <c r="AW56" s="491">
        <f t="shared" si="81"/>
        <v>9.0303115479455354E-3</v>
      </c>
      <c r="AX56" s="491">
        <f t="shared" si="81"/>
        <v>1.9445396121482439E-3</v>
      </c>
      <c r="AY56" s="491">
        <f t="shared" si="81"/>
        <v>1.2112778381917932E-2</v>
      </c>
      <c r="AZ56" s="491">
        <f t="shared" si="81"/>
        <v>8.6571321269408585E-3</v>
      </c>
      <c r="BA56" s="491">
        <f t="shared" si="81"/>
        <v>5.3116014566211289E-3</v>
      </c>
      <c r="BB56" s="491">
        <f t="shared" si="81"/>
        <v>1.0631193542468553E-3</v>
      </c>
      <c r="BC56" s="491">
        <f t="shared" si="81"/>
        <v>2.1368938397272608E-3</v>
      </c>
      <c r="BD56" s="491">
        <f t="shared" si="81"/>
        <v>8.0695188315077493E-4</v>
      </c>
      <c r="BE56" s="491">
        <f t="shared" si="81"/>
        <v>6.0211922039269394E-3</v>
      </c>
      <c r="BF56" s="491">
        <f t="shared" si="81"/>
        <v>2.6896360586760037E-3</v>
      </c>
      <c r="BG56" s="491">
        <f t="shared" si="81"/>
        <v>5.0806515136984642E-3</v>
      </c>
      <c r="BH56" s="491">
        <f t="shared" si="81"/>
        <v>5.7643835045663172E-3</v>
      </c>
      <c r="BI56" s="491">
        <f t="shared" si="81"/>
        <v>1.0930954856164465E-2</v>
      </c>
      <c r="BJ56" s="491">
        <f t="shared" si="81"/>
        <v>5.0652062871235359E-3</v>
      </c>
    </row>
    <row r="57" spans="1:93" s="201" customFormat="1">
      <c r="A57" s="548"/>
      <c r="B57" s="110" t="str">
        <f>_xlfn.TEXTJOIN(",",TRUE,Regions!$C$3:'Regions'!$AD$3)</f>
        <v>IE,IE-CW,IE-D,IE-KE,IE-KK,IE-LS,IE-LD,IE-LH,IE-MH,IE-OY,IE-WH,IE-WX,IE-WW,IE-CE,IE-CO,IE-KY,IE-LK,IE-TA,IE-WD,IE-G,IE-LM,IE-MO,IE-RN,IE-SO,IE-CN,IE-DL,IE-MN</v>
      </c>
      <c r="C57" s="110" t="str">
        <f>C50</f>
        <v>T-CYC_CYC</v>
      </c>
      <c r="D57" s="386">
        <v>100</v>
      </c>
      <c r="E57" s="530">
        <v>0</v>
      </c>
      <c r="AI57" s="429" t="s">
        <v>351</v>
      </c>
      <c r="AJ57" s="491">
        <f>AJ46-AJ72-AJ85-AJ98</f>
        <v>1.0856320719175305E-3</v>
      </c>
      <c r="AK57" s="491">
        <f t="shared" ref="AK57:BJ57" si="82">AK46-AK72-AK85-AK98</f>
        <v>2.0429215844748085E-5</v>
      </c>
      <c r="AL57" s="501">
        <f>AL46-AL72-AL85-AL98</f>
        <v>3.4271746826484706E-3</v>
      </c>
      <c r="AM57" s="491">
        <f t="shared" si="82"/>
        <v>1.1904720091324844E-4</v>
      </c>
      <c r="AN57" s="491">
        <f t="shared" si="82"/>
        <v>1.9808794520550545E-5</v>
      </c>
      <c r="AO57" s="491">
        <f t="shared" si="82"/>
        <v>8.383677452055132E-5</v>
      </c>
      <c r="AP57" s="491">
        <f t="shared" si="82"/>
        <v>2.9212708675800366E-5</v>
      </c>
      <c r="AQ57" s="491">
        <f t="shared" si="82"/>
        <v>1.7456955922375179E-4</v>
      </c>
      <c r="AR57" s="491">
        <f t="shared" si="82"/>
        <v>1.5864188109592295E-4</v>
      </c>
      <c r="AS57" s="491">
        <f t="shared" si="82"/>
        <v>6.1779993013701302E-5</v>
      </c>
      <c r="AT57" s="491">
        <f t="shared" si="82"/>
        <v>1.1017658602739764E-4</v>
      </c>
      <c r="AU57" s="491">
        <f t="shared" si="82"/>
        <v>1.2369828858450546E-5</v>
      </c>
      <c r="AV57" s="491">
        <f t="shared" si="82"/>
        <v>4.2418040365298573E-5</v>
      </c>
      <c r="AW57" s="491">
        <f t="shared" si="82"/>
        <v>5.1807180365297419E-5</v>
      </c>
      <c r="AX57" s="491">
        <f t="shared" si="82"/>
        <v>4.1475990182652037E-4</v>
      </c>
      <c r="AY57" s="491">
        <f t="shared" si="82"/>
        <v>1.2891438904109789E-4</v>
      </c>
      <c r="AZ57" s="491">
        <f t="shared" si="82"/>
        <v>2.5776943356165156E-4</v>
      </c>
      <c r="BA57" s="491">
        <f t="shared" si="82"/>
        <v>2.0291071689499361E-5</v>
      </c>
      <c r="BB57" s="491">
        <f t="shared" si="82"/>
        <v>7.960164885845427E-5</v>
      </c>
      <c r="BC57" s="491">
        <f t="shared" si="82"/>
        <v>9.8226352420091242E-5</v>
      </c>
      <c r="BD57" s="491">
        <f t="shared" si="82"/>
        <v>2.0985231506849772E-5</v>
      </c>
      <c r="BE57" s="491">
        <f t="shared" si="82"/>
        <v>4.4224128858453247E-5</v>
      </c>
      <c r="BF57" s="491">
        <f t="shared" si="82"/>
        <v>2.445572584475024E-5</v>
      </c>
      <c r="BG57" s="491">
        <f t="shared" si="82"/>
        <v>6.3999130137009155E-6</v>
      </c>
      <c r="BH57" s="491">
        <f t="shared" si="82"/>
        <v>6.763890182650157E-6</v>
      </c>
      <c r="BI57" s="491">
        <f t="shared" si="82"/>
        <v>1.1663275753424646E-4</v>
      </c>
      <c r="BJ57" s="491">
        <f t="shared" si="82"/>
        <v>3.2013431506850223E-5</v>
      </c>
    </row>
    <row r="58" spans="1:93" s="201" customFormat="1" ht="15.6">
      <c r="A58" s="548"/>
      <c r="B58" s="531" t="str">
        <f>C5</f>
        <v>*Two-wheelers</v>
      </c>
      <c r="C58" s="197"/>
      <c r="D58" s="312"/>
      <c r="E58" s="531"/>
      <c r="AI58" s="429" t="s">
        <v>573</v>
      </c>
      <c r="AJ58" s="491">
        <f>AJ47-AJ73-AJ86-AJ99</f>
        <v>8.3756831917281005E-4</v>
      </c>
      <c r="AK58" s="491">
        <f t="shared" ref="AK58:BJ58" si="83">AK47-AK73-AK86-AK99</f>
        <v>3.1262559999981065E-5</v>
      </c>
      <c r="AL58" s="501">
        <f t="shared" si="83"/>
        <v>1.141439660000243E-3</v>
      </c>
      <c r="AM58" s="491">
        <f t="shared" si="83"/>
        <v>7.7059510000004883E-5</v>
      </c>
      <c r="AN58" s="491">
        <f t="shared" si="83"/>
        <v>7.190479999999444E-5</v>
      </c>
      <c r="AO58" s="491">
        <f t="shared" si="83"/>
        <v>2.3321799999996562E-5</v>
      </c>
      <c r="AP58" s="491">
        <f t="shared" si="83"/>
        <v>6.8797500000147838E-6</v>
      </c>
      <c r="AQ58" s="491">
        <f t="shared" si="83"/>
        <v>5.4310000000695746E-6</v>
      </c>
      <c r="AR58" s="491">
        <f t="shared" si="83"/>
        <v>2.3260560000015751E-5</v>
      </c>
      <c r="AS58" s="491">
        <f t="shared" si="83"/>
        <v>6.3602570000015346E-5</v>
      </c>
      <c r="AT58" s="491">
        <f t="shared" si="83"/>
        <v>4.590400000024919E-6</v>
      </c>
      <c r="AU58" s="491">
        <f t="shared" si="83"/>
        <v>3.9955999999868874E-6</v>
      </c>
      <c r="AV58" s="491">
        <f t="shared" si="83"/>
        <v>5.8334039999968779E-5</v>
      </c>
      <c r="AW58" s="491">
        <f t="shared" si="83"/>
        <v>2.4633420000003126E-5</v>
      </c>
      <c r="AX58" s="491">
        <f t="shared" si="83"/>
        <v>2.0708482000003636E-4</v>
      </c>
      <c r="AY58" s="491">
        <f t="shared" si="83"/>
        <v>2.3694080000025153E-5</v>
      </c>
      <c r="AZ58" s="491">
        <f t="shared" si="83"/>
        <v>2.4644480000057811E-5</v>
      </c>
      <c r="BA58" s="491">
        <f t="shared" si="83"/>
        <v>5.4681280000107302E-5</v>
      </c>
      <c r="BB58" s="491">
        <f t="shared" si="83"/>
        <v>3.5953720000009293E-5</v>
      </c>
      <c r="BC58" s="491">
        <f t="shared" si="83"/>
        <v>7.7642880000117209E-5</v>
      </c>
      <c r="BD58" s="491">
        <f t="shared" si="83"/>
        <v>2.5240000000106844E-7</v>
      </c>
      <c r="BE58" s="491">
        <f t="shared" si="83"/>
        <v>1.6032120000009087E-5</v>
      </c>
      <c r="BF58" s="491">
        <f t="shared" si="83"/>
        <v>2.9186000000007428E-5</v>
      </c>
      <c r="BG58" s="491">
        <f t="shared" si="83"/>
        <v>2.324480000016893E-6</v>
      </c>
      <c r="BH58" s="491">
        <f t="shared" si="83"/>
        <v>0.14722297666015732</v>
      </c>
      <c r="BI58" s="491">
        <f t="shared" si="83"/>
        <v>0.50688890424901156</v>
      </c>
      <c r="BJ58" s="491">
        <f t="shared" si="83"/>
        <v>5.499050000003225E-5</v>
      </c>
    </row>
    <row r="59" spans="1:93" s="201" customFormat="1">
      <c r="A59" s="548"/>
      <c r="B59" s="110" t="str">
        <f>_xlfn.TEXTJOIN(",",TRUE,Regions!$C$3:'Regions'!$AD$3)</f>
        <v>IE,IE-CW,IE-D,IE-KE,IE-KK,IE-LS,IE-LD,IE-LH,IE-MH,IE-OY,IE-WH,IE-WX,IE-WW,IE-CE,IE-CO,IE-KY,IE-LK,IE-TA,IE-WD,IE-G,IE-LM,IE-MO,IE-RN,IE-SO,IE-CN,IE-DL,IE-MN</v>
      </c>
      <c r="C59" s="110" t="str">
        <f>C6</f>
        <v>T-MOT-ICE_GSL00</v>
      </c>
      <c r="D59" s="386">
        <v>10</v>
      </c>
      <c r="E59" s="535">
        <v>0.3422293899248452</v>
      </c>
      <c r="AI59" s="429" t="s">
        <v>560</v>
      </c>
      <c r="AJ59" s="491">
        <f>AJ48-AJ74-AJ87-AJ100</f>
        <v>4.0280289999999885E-5</v>
      </c>
      <c r="AK59" s="491">
        <f t="shared" ref="AK59:BJ59" si="84">AK48-AK74-AK87-AK100</f>
        <v>0</v>
      </c>
      <c r="AL59" s="501">
        <f t="shared" si="84"/>
        <v>4.0280289999999885E-5</v>
      </c>
      <c r="AM59" s="491">
        <f t="shared" si="84"/>
        <v>0</v>
      </c>
      <c r="AN59" s="491">
        <f t="shared" si="84"/>
        <v>0</v>
      </c>
      <c r="AO59" s="491">
        <f t="shared" si="84"/>
        <v>0</v>
      </c>
      <c r="AP59" s="491">
        <f t="shared" si="84"/>
        <v>0</v>
      </c>
      <c r="AQ59" s="491">
        <f t="shared" si="84"/>
        <v>0</v>
      </c>
      <c r="AR59" s="491">
        <f t="shared" si="84"/>
        <v>0</v>
      </c>
      <c r="AS59" s="491">
        <f t="shared" si="84"/>
        <v>0</v>
      </c>
      <c r="AT59" s="491">
        <f t="shared" si="84"/>
        <v>0</v>
      </c>
      <c r="AU59" s="491">
        <f t="shared" si="84"/>
        <v>0</v>
      </c>
      <c r="AV59" s="491">
        <f t="shared" si="84"/>
        <v>0</v>
      </c>
      <c r="AW59" s="491">
        <f t="shared" si="84"/>
        <v>0</v>
      </c>
      <c r="AX59" s="491">
        <f t="shared" si="84"/>
        <v>0</v>
      </c>
      <c r="AY59" s="491">
        <f t="shared" si="84"/>
        <v>0</v>
      </c>
      <c r="AZ59" s="491">
        <f t="shared" si="84"/>
        <v>0</v>
      </c>
      <c r="BA59" s="491">
        <f t="shared" si="84"/>
        <v>0</v>
      </c>
      <c r="BB59" s="491">
        <f t="shared" si="84"/>
        <v>0</v>
      </c>
      <c r="BC59" s="491">
        <f t="shared" si="84"/>
        <v>0</v>
      </c>
      <c r="BD59" s="491">
        <f t="shared" si="84"/>
        <v>0</v>
      </c>
      <c r="BE59" s="491">
        <f t="shared" si="84"/>
        <v>0</v>
      </c>
      <c r="BF59" s="491">
        <f t="shared" si="84"/>
        <v>0</v>
      </c>
      <c r="BG59" s="491">
        <f t="shared" si="84"/>
        <v>0</v>
      </c>
      <c r="BH59" s="491">
        <f t="shared" si="84"/>
        <v>0</v>
      </c>
      <c r="BI59" s="491">
        <f t="shared" si="84"/>
        <v>0</v>
      </c>
      <c r="BJ59" s="491">
        <f t="shared" si="84"/>
        <v>0</v>
      </c>
    </row>
    <row r="60" spans="1:93" s="201" customFormat="1" ht="15.6">
      <c r="A60" s="548"/>
      <c r="B60" s="531" t="str">
        <f>C7</f>
        <v>*Private cars</v>
      </c>
      <c r="C60" s="197"/>
      <c r="D60" s="312"/>
      <c r="E60" s="531"/>
      <c r="AI60" s="200" t="s">
        <v>353</v>
      </c>
      <c r="AJ60" s="492">
        <f>AJ49-AJ75-AJ88-AJ101</f>
        <v>4.3993599994074373E-6</v>
      </c>
      <c r="AK60" s="492">
        <f t="shared" ref="AK60:BJ60" si="85">AK49-AK75-AK88-AK101</f>
        <v>1.0575563472552119E-6</v>
      </c>
      <c r="AL60" s="502">
        <f t="shared" si="85"/>
        <v>4.9267752624371219E-5</v>
      </c>
      <c r="AM60" s="492">
        <f t="shared" si="85"/>
        <v>4.13318551061026E-6</v>
      </c>
      <c r="AN60" s="492">
        <f t="shared" si="85"/>
        <v>1.8433118711830287E-6</v>
      </c>
      <c r="AO60" s="492">
        <f t="shared" si="85"/>
        <v>1.5733128985936928E-6</v>
      </c>
      <c r="AP60" s="492">
        <f t="shared" si="85"/>
        <v>7.592478848683637E-7</v>
      </c>
      <c r="AQ60" s="492">
        <f t="shared" si="85"/>
        <v>2.3941209207345437E-6</v>
      </c>
      <c r="AR60" s="492">
        <f t="shared" si="85"/>
        <v>3.6230945723580987E-6</v>
      </c>
      <c r="AS60" s="492">
        <f t="shared" si="85"/>
        <v>1.4481864397536404E-6</v>
      </c>
      <c r="AT60" s="492">
        <f t="shared" si="85"/>
        <v>1.6489720534237917E-6</v>
      </c>
      <c r="AU60" s="492">
        <f t="shared" si="85"/>
        <v>2.78120303912055E-6</v>
      </c>
      <c r="AV60" s="492">
        <f t="shared" si="85"/>
        <v>2.6456555673043392E-6</v>
      </c>
      <c r="AW60" s="492">
        <f t="shared" si="85"/>
        <v>2.2071185363514711E-6</v>
      </c>
      <c r="AX60" s="492">
        <f t="shared" si="85"/>
        <v>1.0084196921278377E-5</v>
      </c>
      <c r="AY60" s="492">
        <f t="shared" si="85"/>
        <v>2.7437728409990259E-6</v>
      </c>
      <c r="AZ60" s="492">
        <f t="shared" si="85"/>
        <v>3.6204010841478507E-6</v>
      </c>
      <c r="BA60" s="492">
        <f t="shared" si="85"/>
        <v>2.9638215392757683E-6</v>
      </c>
      <c r="BB60" s="492">
        <f t="shared" si="85"/>
        <v>2.1580598995041278E-6</v>
      </c>
      <c r="BC60" s="492">
        <f t="shared" si="85"/>
        <v>4.7936288178757058E-6</v>
      </c>
      <c r="BD60" s="492">
        <f t="shared" si="85"/>
        <v>5.952423170040716E-7</v>
      </c>
      <c r="BE60" s="492">
        <f t="shared" si="85"/>
        <v>2.4242694128401299E-6</v>
      </c>
      <c r="BF60" s="492">
        <f t="shared" si="85"/>
        <v>1.1989551900078166E-6</v>
      </c>
      <c r="BG60" s="492">
        <f t="shared" si="85"/>
        <v>1.2173637886844779E-6</v>
      </c>
      <c r="BH60" s="492">
        <f t="shared" si="85"/>
        <v>1.4150286712019677E-6</v>
      </c>
      <c r="BI60" s="492">
        <f t="shared" si="85"/>
        <v>2.9571156824476086E-6</v>
      </c>
      <c r="BJ60" s="492">
        <f t="shared" si="85"/>
        <v>1.1402928745234131E-6</v>
      </c>
    </row>
    <row r="61" spans="1:93" s="201" customFormat="1">
      <c r="A61" s="548"/>
      <c r="B61" s="110" t="str">
        <f>_xlfn.TEXTJOIN(",",TRUE,Regions!$C$3:'Regions'!$AD$3)</f>
        <v>IE,IE-CW,IE-D,IE-KE,IE-KK,IE-LS,IE-LD,IE-LH,IE-MH,IE-OY,IE-WH,IE-WX,IE-WW,IE-CE,IE-CO,IE-KY,IE-LK,IE-TA,IE-WD,IE-G,IE-LM,IE-MO,IE-RN,IE-SO,IE-CN,IE-DL,IE-MN</v>
      </c>
      <c r="C61" s="110" t="str">
        <f t="shared" ref="C61:C69" si="86">C8</f>
        <v>T-CAR-ICE_GSL00</v>
      </c>
      <c r="D61" s="386">
        <v>15</v>
      </c>
      <c r="E61" s="535">
        <v>1.0145072391774981</v>
      </c>
      <c r="AI61" s="429"/>
      <c r="AJ61" s="429"/>
      <c r="AK61" s="429"/>
      <c r="AL61" s="429"/>
      <c r="AM61" s="429"/>
      <c r="AN61" s="429"/>
      <c r="AO61" s="429"/>
      <c r="AP61" s="429"/>
      <c r="AQ61" s="429"/>
      <c r="AR61" s="429"/>
      <c r="AS61" s="429"/>
      <c r="AT61" s="429"/>
      <c r="AU61" s="429"/>
      <c r="AV61" s="429"/>
      <c r="AW61" s="429"/>
      <c r="AX61" s="429"/>
      <c r="AY61" s="429"/>
      <c r="AZ61" s="429"/>
      <c r="BA61" s="429"/>
      <c r="BB61" s="429"/>
      <c r="BC61" s="429"/>
      <c r="BD61" s="429"/>
      <c r="BE61" s="429"/>
      <c r="BF61" s="429"/>
      <c r="BG61" s="429"/>
      <c r="BH61" s="429"/>
      <c r="BI61" s="429"/>
      <c r="BJ61" s="429"/>
      <c r="BK61" s="429"/>
    </row>
    <row r="62" spans="1:93" s="201" customFormat="1">
      <c r="A62" s="548"/>
      <c r="B62" s="110" t="str">
        <f>_xlfn.TEXTJOIN(",",TRUE,Regions!$C$3:'Regions'!$AD$3)</f>
        <v>IE,IE-CW,IE-D,IE-KE,IE-KK,IE-LS,IE-LD,IE-LH,IE-MH,IE-OY,IE-WH,IE-WX,IE-WW,IE-CE,IE-CO,IE-KY,IE-LK,IE-TA,IE-WD,IE-G,IE-LM,IE-MO,IE-RN,IE-SO,IE-CN,IE-DL,IE-MN</v>
      </c>
      <c r="C62" s="110" t="str">
        <f t="shared" si="86"/>
        <v>T-CAR-ICE_DST00</v>
      </c>
      <c r="D62" s="386">
        <v>15</v>
      </c>
      <c r="E62" s="535">
        <v>1.0145072391774981</v>
      </c>
      <c r="AI62" s="429"/>
      <c r="AJ62" s="429"/>
      <c r="AK62" s="429"/>
      <c r="AL62" s="429"/>
      <c r="AM62" s="429"/>
      <c r="AN62" s="429"/>
      <c r="AO62" s="429"/>
      <c r="AP62" s="429"/>
      <c r="AQ62" s="429"/>
      <c r="AR62" s="429"/>
      <c r="AS62" s="429"/>
      <c r="AT62" s="429"/>
      <c r="AU62" s="429"/>
      <c r="AV62" s="429"/>
      <c r="AW62" s="429"/>
      <c r="AX62" s="429"/>
      <c r="AY62" s="429"/>
      <c r="AZ62" s="429"/>
      <c r="BA62" s="429"/>
      <c r="BB62" s="429"/>
      <c r="BC62" s="429"/>
      <c r="BD62" s="429"/>
      <c r="BE62" s="429"/>
      <c r="BF62" s="429"/>
      <c r="BG62" s="429"/>
      <c r="BH62" s="429"/>
      <c r="BI62" s="429"/>
      <c r="BJ62" s="429"/>
      <c r="BK62" s="429"/>
    </row>
    <row r="63" spans="1:93" s="201" customFormat="1">
      <c r="A63" s="548"/>
      <c r="B63" s="110" t="str">
        <f>_xlfn.TEXTJOIN(",",TRUE,Regions!$C$3:'Regions'!$AD$3)</f>
        <v>IE,IE-CW,IE-D,IE-KE,IE-KK,IE-LS,IE-LD,IE-LH,IE-MH,IE-OY,IE-WH,IE-WX,IE-WW,IE-CE,IE-CO,IE-KY,IE-LK,IE-TA,IE-WD,IE-G,IE-LM,IE-MO,IE-RN,IE-SO,IE-CN,IE-DL,IE-MN</v>
      </c>
      <c r="C63" s="110" t="str">
        <f t="shared" si="86"/>
        <v>T-CAR-ICE_DF00</v>
      </c>
      <c r="D63" s="386">
        <v>15</v>
      </c>
      <c r="E63" s="535">
        <v>1.0145072391774981</v>
      </c>
      <c r="AJ63" s="429"/>
      <c r="AK63" s="429"/>
      <c r="AL63" s="429"/>
      <c r="AM63" s="429"/>
      <c r="AN63" s="429"/>
      <c r="AO63" s="429"/>
      <c r="AP63" s="429"/>
      <c r="AQ63" s="429"/>
      <c r="AR63" s="429"/>
      <c r="AS63" s="429"/>
      <c r="AT63" s="429"/>
      <c r="AU63" s="429"/>
      <c r="AV63" s="429"/>
      <c r="AW63" s="429"/>
      <c r="AX63" s="429"/>
      <c r="AY63" s="429"/>
      <c r="AZ63" s="429"/>
      <c r="BA63" s="429"/>
      <c r="BB63" s="429"/>
      <c r="BC63" s="429"/>
      <c r="BD63" s="429"/>
      <c r="BE63" s="429"/>
      <c r="BF63" s="429"/>
      <c r="BG63" s="429"/>
      <c r="BH63" s="429"/>
      <c r="BI63" s="429"/>
      <c r="BJ63" s="429"/>
      <c r="BK63" s="429"/>
    </row>
    <row r="64" spans="1:93" s="201" customFormat="1">
      <c r="A64" s="548"/>
      <c r="B64" s="110" t="str">
        <f>_xlfn.TEXTJOIN(",",TRUE,Regions!$C$3:'Regions'!$AD$3)</f>
        <v>IE,IE-CW,IE-D,IE-KE,IE-KK,IE-LS,IE-LD,IE-LH,IE-MH,IE-OY,IE-WH,IE-WX,IE-WW,IE-CE,IE-CO,IE-KY,IE-LK,IE-TA,IE-WD,IE-G,IE-LM,IE-MO,IE-RN,IE-SO,IE-CN,IE-DL,IE-MN</v>
      </c>
      <c r="C64" s="110" t="str">
        <f t="shared" si="86"/>
        <v>T-CAR-ICE_E8500</v>
      </c>
      <c r="D64" s="386">
        <v>15</v>
      </c>
      <c r="E64" s="535">
        <v>1.0145072391774981</v>
      </c>
    </row>
    <row r="65" spans="1:62" s="201" customFormat="1">
      <c r="A65" s="548"/>
      <c r="B65" s="110" t="str">
        <f>_xlfn.TEXTJOIN(",",TRUE,Regions!$C$3:'Regions'!$AD$3)</f>
        <v>IE,IE-CW,IE-D,IE-KE,IE-KK,IE-LS,IE-LD,IE-LH,IE-MH,IE-OY,IE-WH,IE-WX,IE-WW,IE-CE,IE-CO,IE-KY,IE-LK,IE-TA,IE-WD,IE-G,IE-LM,IE-MO,IE-RN,IE-SO,IE-CN,IE-DL,IE-MN</v>
      </c>
      <c r="C65" s="110" t="str">
        <f t="shared" si="86"/>
        <v>T-CAR-HEV_GSL00</v>
      </c>
      <c r="D65" s="386">
        <v>15</v>
      </c>
      <c r="E65" s="535">
        <v>1.0145072391774981</v>
      </c>
    </row>
    <row r="66" spans="1:62" s="201" customFormat="1">
      <c r="A66" s="548"/>
      <c r="B66" s="110" t="str">
        <f>_xlfn.TEXTJOIN(",",TRUE,Regions!$C$3:'Regions'!$AD$3)</f>
        <v>IE,IE-CW,IE-D,IE-KE,IE-KK,IE-LS,IE-LD,IE-LH,IE-MH,IE-OY,IE-WH,IE-WX,IE-WW,IE-CE,IE-CO,IE-KY,IE-LK,IE-TA,IE-WD,IE-G,IE-LM,IE-MO,IE-RN,IE-SO,IE-CN,IE-DL,IE-MN</v>
      </c>
      <c r="C66" s="110" t="str">
        <f t="shared" si="86"/>
        <v>T-CAR-HEV_DST00</v>
      </c>
      <c r="D66" s="386">
        <v>15</v>
      </c>
      <c r="E66" s="535">
        <v>1.0145072391774981</v>
      </c>
    </row>
    <row r="67" spans="1:62" s="201" customFormat="1">
      <c r="A67" s="548"/>
      <c r="B67" s="110" t="str">
        <f>_xlfn.TEXTJOIN(",",TRUE,Regions!$C$3:'Regions'!$AD$3)</f>
        <v>IE,IE-CW,IE-D,IE-KE,IE-KK,IE-LS,IE-LD,IE-LH,IE-MH,IE-OY,IE-WH,IE-WX,IE-WW,IE-CE,IE-CO,IE-KY,IE-LK,IE-TA,IE-WD,IE-G,IE-LM,IE-MO,IE-RN,IE-SO,IE-CN,IE-DL,IE-MN</v>
      </c>
      <c r="C67" s="110" t="str">
        <f t="shared" si="86"/>
        <v>T-CAR-PHEV_GSL00</v>
      </c>
      <c r="D67" s="386">
        <v>15</v>
      </c>
      <c r="E67" s="535">
        <v>1.0145072391774981</v>
      </c>
    </row>
    <row r="68" spans="1:62" s="201" customFormat="1">
      <c r="A68" s="548"/>
      <c r="B68" s="110" t="str">
        <f>_xlfn.TEXTJOIN(",",TRUE,Regions!$C$3:'Regions'!$AD$3)</f>
        <v>IE,IE-CW,IE-D,IE-KE,IE-KK,IE-LS,IE-LD,IE-LH,IE-MH,IE-OY,IE-WH,IE-WX,IE-WW,IE-CE,IE-CO,IE-KY,IE-LK,IE-TA,IE-WD,IE-G,IE-LM,IE-MO,IE-RN,IE-SO,IE-CN,IE-DL,IE-MN</v>
      </c>
      <c r="C68" s="110" t="str">
        <f t="shared" si="86"/>
        <v>T-CAR-PHEV_DST00</v>
      </c>
      <c r="D68" s="386">
        <v>15</v>
      </c>
      <c r="E68" s="535">
        <v>1.0145072391774981</v>
      </c>
      <c r="AI68" s="429" t="s">
        <v>1027</v>
      </c>
    </row>
    <row r="69" spans="1:62" s="201" customFormat="1">
      <c r="A69" s="548"/>
      <c r="B69" s="110" t="str">
        <f>_xlfn.TEXTJOIN(",",TRUE,Regions!$C$3:'Regions'!$AD$3)</f>
        <v>IE,IE-CW,IE-D,IE-KE,IE-KK,IE-LS,IE-LD,IE-LH,IE-MH,IE-OY,IE-WH,IE-WX,IE-WW,IE-CE,IE-CO,IE-KY,IE-LK,IE-TA,IE-WD,IE-G,IE-LM,IE-MO,IE-RN,IE-SO,IE-CN,IE-DL,IE-MN</v>
      </c>
      <c r="C69" s="110" t="str">
        <f t="shared" si="86"/>
        <v>T-CAR-BEV_ELC00</v>
      </c>
      <c r="D69" s="386">
        <v>15</v>
      </c>
      <c r="E69" s="535">
        <v>1.0145072391774981</v>
      </c>
      <c r="AI69" s="431" t="s">
        <v>346</v>
      </c>
      <c r="AJ69" s="431" t="str">
        <f t="shared" ref="AJ69:BJ69" si="87">AJ33</f>
        <v>IE</v>
      </c>
      <c r="AK69" s="431" t="str">
        <f t="shared" si="87"/>
        <v>IE-CW</v>
      </c>
      <c r="AL69" s="431" t="str">
        <f t="shared" si="87"/>
        <v>IE-D</v>
      </c>
      <c r="AM69" s="431" t="str">
        <f t="shared" si="87"/>
        <v>IE-KE</v>
      </c>
      <c r="AN69" s="431" t="str">
        <f t="shared" si="87"/>
        <v>IE-KK</v>
      </c>
      <c r="AO69" s="431" t="str">
        <f t="shared" si="87"/>
        <v>IE-LS</v>
      </c>
      <c r="AP69" s="431" t="str">
        <f t="shared" si="87"/>
        <v>IE-LD</v>
      </c>
      <c r="AQ69" s="431" t="str">
        <f t="shared" si="87"/>
        <v>IE-LH</v>
      </c>
      <c r="AR69" s="431" t="str">
        <f t="shared" si="87"/>
        <v>IE-MH</v>
      </c>
      <c r="AS69" s="431" t="str">
        <f t="shared" si="87"/>
        <v>IE-OY</v>
      </c>
      <c r="AT69" s="431" t="str">
        <f t="shared" si="87"/>
        <v>IE-WH</v>
      </c>
      <c r="AU69" s="431" t="str">
        <f t="shared" si="87"/>
        <v>IE-WX</v>
      </c>
      <c r="AV69" s="431" t="str">
        <f t="shared" si="87"/>
        <v>IE-WW</v>
      </c>
      <c r="AW69" s="431" t="str">
        <f t="shared" si="87"/>
        <v>IE-CE</v>
      </c>
      <c r="AX69" s="431" t="str">
        <f t="shared" si="87"/>
        <v>IE-CO</v>
      </c>
      <c r="AY69" s="431" t="str">
        <f t="shared" si="87"/>
        <v>IE-KY</v>
      </c>
      <c r="AZ69" s="431" t="str">
        <f t="shared" si="87"/>
        <v>IE-LK</v>
      </c>
      <c r="BA69" s="431" t="str">
        <f t="shared" si="87"/>
        <v>IE-TA</v>
      </c>
      <c r="BB69" s="431" t="str">
        <f t="shared" si="87"/>
        <v>IE-WD</v>
      </c>
      <c r="BC69" s="431" t="str">
        <f t="shared" si="87"/>
        <v>IE-G</v>
      </c>
      <c r="BD69" s="431" t="str">
        <f t="shared" si="87"/>
        <v>IE-LM</v>
      </c>
      <c r="BE69" s="431" t="str">
        <f t="shared" si="87"/>
        <v>IE-MO</v>
      </c>
      <c r="BF69" s="431" t="str">
        <f t="shared" si="87"/>
        <v>IE-RN</v>
      </c>
      <c r="BG69" s="431" t="str">
        <f t="shared" si="87"/>
        <v>IE-SO</v>
      </c>
      <c r="BH69" s="431" t="str">
        <f t="shared" si="87"/>
        <v>IE-CN</v>
      </c>
      <c r="BI69" s="431" t="str">
        <f t="shared" si="87"/>
        <v>IE-DL</v>
      </c>
      <c r="BJ69" s="431" t="str">
        <f t="shared" si="87"/>
        <v>IE-MN</v>
      </c>
    </row>
    <row r="70" spans="1:62" s="201" customFormat="1" ht="15.6">
      <c r="A70" s="548"/>
      <c r="B70" s="531" t="str">
        <f>C17</f>
        <v>*Small sevice vehicle</v>
      </c>
      <c r="C70" s="197"/>
      <c r="D70" s="312"/>
      <c r="E70" s="531"/>
      <c r="AI70" s="429"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548"/>
      <c r="B71" s="110" t="str">
        <f>_xlfn.TEXTJOIN(",",TRUE,Regions!$C$3:'Regions'!$AD$3)</f>
        <v>IE,IE-CW,IE-D,IE-KE,IE-KK,IE-LS,IE-LD,IE-LH,IE-MH,IE-OY,IE-WH,IE-WX,IE-WW,IE-CE,IE-CO,IE-KY,IE-LK,IE-TA,IE-WD,IE-G,IE-LM,IE-MO,IE-RN,IE-SO,IE-CN,IE-DL,IE-MN</v>
      </c>
      <c r="C71" s="110" t="str">
        <f>C18</f>
        <v>T-TAX-ICE_GSL00</v>
      </c>
      <c r="D71" s="386">
        <v>10</v>
      </c>
      <c r="E71" s="535">
        <v>1.0145072391774981</v>
      </c>
      <c r="AI71" s="429"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548"/>
      <c r="B72" s="110" t="str">
        <f>_xlfn.TEXTJOIN(",",TRUE,Regions!$C$3:'Regions'!$AD$3)</f>
        <v>IE,IE-CW,IE-D,IE-KE,IE-KK,IE-LS,IE-LD,IE-LH,IE-MH,IE-OY,IE-WH,IE-WX,IE-WW,IE-CE,IE-CO,IE-KY,IE-LK,IE-TA,IE-WD,IE-G,IE-LM,IE-MO,IE-RN,IE-SO,IE-CN,IE-DL,IE-MN</v>
      </c>
      <c r="C72" s="110" t="str">
        <f>C19</f>
        <v>T-TAX-ICE_DST00</v>
      </c>
      <c r="D72" s="386">
        <v>10</v>
      </c>
      <c r="E72" s="535">
        <v>1.0145072391774981</v>
      </c>
      <c r="AI72" s="429"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548"/>
      <c r="B73" s="110" t="str">
        <f>_xlfn.TEXTJOIN(",",TRUE,Regions!$C$3:'Regions'!$AD$3)</f>
        <v>IE,IE-CW,IE-D,IE-KE,IE-KK,IE-LS,IE-LD,IE-LH,IE-MH,IE-OY,IE-WH,IE-WX,IE-WW,IE-CE,IE-CO,IE-KY,IE-LK,IE-TA,IE-WD,IE-G,IE-LM,IE-MO,IE-RN,IE-SO,IE-CN,IE-DL,IE-MN</v>
      </c>
      <c r="C73" s="110" t="str">
        <f>C20</f>
        <v>T-TAX-HEV_GSL00</v>
      </c>
      <c r="D73" s="386">
        <v>10</v>
      </c>
      <c r="E73" s="535">
        <v>1.0145072391774981</v>
      </c>
      <c r="AI73" s="429"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548"/>
      <c r="B74" s="531" t="str">
        <f>C21</f>
        <v>*Large sevice vehicle</v>
      </c>
      <c r="C74" s="197"/>
      <c r="D74" s="361"/>
      <c r="E74" s="531"/>
      <c r="AI74" s="429"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548"/>
      <c r="B75" s="110" t="str">
        <f>_xlfn.TEXTJOIN(",",TRUE,Regions!$C$3:'Regions'!$AD$3)</f>
        <v>IE,IE-CW,IE-D,IE-KE,IE-KK,IE-LS,IE-LD,IE-LH,IE-MH,IE-OY,IE-WH,IE-WX,IE-WW,IE-CE,IE-CO,IE-KY,IE-LK,IE-TA,IE-WD,IE-G,IE-LM,IE-MO,IE-RN,IE-SO,IE-CN,IE-DL,IE-MN</v>
      </c>
      <c r="C75" s="110" t="str">
        <f>C22</f>
        <v>T-BUS-ICE_DST00</v>
      </c>
      <c r="D75" s="386">
        <v>15</v>
      </c>
      <c r="E75" s="535">
        <v>5.4979500000000003</v>
      </c>
      <c r="AI75" s="429"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548"/>
      <c r="B76" s="531" t="str">
        <f>C23</f>
        <v>*Rail</v>
      </c>
      <c r="C76" s="197"/>
      <c r="D76" s="532"/>
      <c r="E76" s="531"/>
      <c r="AI76" s="480" t="s">
        <v>16</v>
      </c>
      <c r="AJ76" s="486">
        <f t="shared" ref="AJ76:BJ76" si="88">SUM(AJ70:AJ75)</f>
        <v>9.0579199372469734</v>
      </c>
      <c r="AK76" s="486">
        <f t="shared" si="88"/>
        <v>0.1250173903291093</v>
      </c>
      <c r="AL76" s="486">
        <f t="shared" si="88"/>
        <v>2.2578796214259493</v>
      </c>
      <c r="AM76" s="486">
        <f t="shared" si="88"/>
        <v>0.44641260943468231</v>
      </c>
      <c r="AN76" s="486">
        <f t="shared" si="88"/>
        <v>0.21172033298934936</v>
      </c>
      <c r="AO76" s="486">
        <f t="shared" si="88"/>
        <v>0.15945777945817216</v>
      </c>
      <c r="AP76" s="486">
        <f t="shared" si="88"/>
        <v>8.2067060412220116E-2</v>
      </c>
      <c r="AQ76" s="486">
        <f t="shared" si="88"/>
        <v>0.221840938880425</v>
      </c>
      <c r="AR76" s="486">
        <f t="shared" si="88"/>
        <v>0.38490438203956606</v>
      </c>
      <c r="AS76" s="486">
        <f t="shared" si="88"/>
        <v>0.16254011832421078</v>
      </c>
      <c r="AT76" s="486">
        <f t="shared" si="88"/>
        <v>0.18377321042832961</v>
      </c>
      <c r="AU76" s="486">
        <f t="shared" si="88"/>
        <v>0.32536156106320419</v>
      </c>
      <c r="AV76" s="486">
        <f t="shared" si="88"/>
        <v>0.27626604276303141</v>
      </c>
      <c r="AW76" s="486">
        <f t="shared" si="88"/>
        <v>0.25069330465526313</v>
      </c>
      <c r="AX76" s="486">
        <f t="shared" si="88"/>
        <v>1.0134900097492325</v>
      </c>
      <c r="AY76" s="486">
        <f t="shared" si="88"/>
        <v>0.33167680292763357</v>
      </c>
      <c r="AZ76" s="486">
        <f t="shared" si="88"/>
        <v>0.37382311688544145</v>
      </c>
      <c r="BA76" s="486">
        <f t="shared" si="88"/>
        <v>0.36173920782796343</v>
      </c>
      <c r="BB76" s="486">
        <f t="shared" si="88"/>
        <v>0.22839629867832109</v>
      </c>
      <c r="BC76" s="486">
        <f t="shared" si="88"/>
        <v>0.51233224603153271</v>
      </c>
      <c r="BD76" s="486">
        <f t="shared" si="88"/>
        <v>6.6996230924596181E-2</v>
      </c>
      <c r="BE76" s="486">
        <f t="shared" si="88"/>
        <v>0.28326513066178971</v>
      </c>
      <c r="BF76" s="486">
        <f t="shared" si="88"/>
        <v>0.15248077881166913</v>
      </c>
      <c r="BG76" s="486">
        <f t="shared" si="88"/>
        <v>0.12446935910671386</v>
      </c>
      <c r="BH76" s="486">
        <f t="shared" si="88"/>
        <v>0.13527846230146151</v>
      </c>
      <c r="BI76" s="486">
        <f t="shared" si="88"/>
        <v>0.24922565747082737</v>
      </c>
      <c r="BJ76" s="486">
        <f t="shared" si="88"/>
        <v>0.13681228366627909</v>
      </c>
    </row>
    <row r="77" spans="1:62" s="201" customFormat="1">
      <c r="A77" s="548"/>
      <c r="B77" s="110" t="str">
        <f>_xlfn.TEXTJOIN(",",TRUE,Regions!$C$3:'Regions'!$AD$3)</f>
        <v>IE,IE-CW,IE-D,IE-KE,IE-KK,IE-LS,IE-LD,IE-LH,IE-MH,IE-OY,IE-WH,IE-WX,IE-WW,IE-CE,IE-CO,IE-KY,IE-LK,IE-TA,IE-WD,IE-G,IE-LM,IE-MO,IE-RN,IE-SO,IE-CN,IE-DL,IE-MN</v>
      </c>
      <c r="C77" s="110" t="str">
        <f>C24</f>
        <v>T-LPT-BEV_ELC00</v>
      </c>
      <c r="D77" s="386">
        <v>30</v>
      </c>
      <c r="E77" s="535">
        <v>11.579167779363422</v>
      </c>
    </row>
    <row r="78" spans="1:62" s="201" customFormat="1">
      <c r="A78" s="548"/>
      <c r="B78" s="110" t="str">
        <f>_xlfn.TEXTJOIN(",",TRUE,Regions!$C$3:'Regions'!$AD$3)</f>
        <v>IE,IE-CW,IE-D,IE-KE,IE-KK,IE-LS,IE-LD,IE-LH,IE-MH,IE-OY,IE-WH,IE-WX,IE-WW,IE-CE,IE-CO,IE-KY,IE-LK,IE-TA,IE-WD,IE-G,IE-LM,IE-MO,IE-RN,IE-SO,IE-CN,IE-DL,IE-MN</v>
      </c>
      <c r="C78" s="110" t="str">
        <f>C25</f>
        <v>T-HPT-BEV_ELC00</v>
      </c>
      <c r="D78" s="386">
        <v>30</v>
      </c>
      <c r="E78" s="535">
        <v>46.776118711690231</v>
      </c>
    </row>
    <row r="79" spans="1:62" s="201" customFormat="1">
      <c r="A79" s="548"/>
      <c r="B79" s="110" t="str">
        <f>_xlfn.TEXTJOIN(",",TRUE,Regions!$C$3:'Regions'!$AD$3)</f>
        <v>IE,IE-CW,IE-D,IE-KE,IE-KK,IE-LS,IE-LD,IE-LH,IE-MH,IE-OY,IE-WH,IE-WX,IE-WW,IE-CE,IE-CO,IE-KY,IE-LK,IE-TA,IE-WD,IE-G,IE-LM,IE-MO,IE-RN,IE-SO,IE-CN,IE-DL,IE-MN</v>
      </c>
      <c r="C79" s="110" t="str">
        <f>C26</f>
        <v>T-HPT-ICE_DST00</v>
      </c>
      <c r="D79" s="386">
        <v>30</v>
      </c>
      <c r="E79" s="535">
        <v>49.463575487765617</v>
      </c>
    </row>
    <row r="80" spans="1:62" s="201" customFormat="1" ht="15.6">
      <c r="A80" s="548"/>
      <c r="B80" s="531" t="str">
        <f>C27</f>
        <v>*Goods vehicle</v>
      </c>
      <c r="C80" s="197"/>
      <c r="D80" s="532"/>
      <c r="E80" s="531"/>
      <c r="AH80"/>
    </row>
    <row r="81" spans="1:62" s="201" customFormat="1">
      <c r="A81" s="548"/>
      <c r="B81" s="110" t="str">
        <f>_xlfn.TEXTJOIN(",",TRUE,Regions!$C$3:'Regions'!$AD$3)</f>
        <v>IE,IE-CW,IE-D,IE-KE,IE-KK,IE-LS,IE-LD,IE-LH,IE-MH,IE-OY,IE-WH,IE-WX,IE-WW,IE-CE,IE-CO,IE-KY,IE-LK,IE-TA,IE-WD,IE-G,IE-LM,IE-MO,IE-RN,IE-SO,IE-CN,IE-DL,IE-MN</v>
      </c>
      <c r="C81" s="110" t="str">
        <f>C28</f>
        <v>T-LGT-ICE_GSL00</v>
      </c>
      <c r="D81" s="386">
        <v>20</v>
      </c>
      <c r="E81" s="536">
        <v>0.50484614131470373</v>
      </c>
      <c r="AH81"/>
      <c r="AI81" s="429" t="s">
        <v>1025</v>
      </c>
      <c r="AJ81" s="429"/>
      <c r="AK81" s="429"/>
      <c r="AL81" s="429"/>
      <c r="AM81" s="429"/>
      <c r="AN81" s="429"/>
      <c r="AO81" s="429"/>
      <c r="AP81" s="429"/>
      <c r="AQ81" s="429"/>
      <c r="AR81" s="429"/>
      <c r="AS81" s="429"/>
      <c r="AT81" s="429"/>
      <c r="AU81" s="429"/>
      <c r="AV81" s="429"/>
      <c r="AW81" s="429"/>
      <c r="AX81" s="429"/>
      <c r="AY81" s="429"/>
      <c r="AZ81" s="429"/>
      <c r="BA81" s="429"/>
      <c r="BB81" s="429"/>
      <c r="BC81" s="429"/>
      <c r="BD81" s="429"/>
      <c r="BE81" s="429"/>
      <c r="BF81" s="429"/>
      <c r="BG81" s="429"/>
      <c r="BH81" s="429"/>
      <c r="BI81" s="429"/>
      <c r="BJ81" s="429"/>
    </row>
    <row r="82" spans="1:62" s="201" customFormat="1">
      <c r="A82" s="548"/>
      <c r="B82" s="110" t="str">
        <f>_xlfn.TEXTJOIN(",",TRUE,Regions!$C$3:'Regions'!$AD$3)</f>
        <v>IE,IE-CW,IE-D,IE-KE,IE-KK,IE-LS,IE-LD,IE-LH,IE-MH,IE-OY,IE-WH,IE-WX,IE-WW,IE-CE,IE-CO,IE-KY,IE-LK,IE-TA,IE-WD,IE-G,IE-LM,IE-MO,IE-RN,IE-SO,IE-CN,IE-DL,IE-MN</v>
      </c>
      <c r="C82" s="110" t="str">
        <f>C29</f>
        <v>T-LGT-ICE_DST00</v>
      </c>
      <c r="D82" s="386">
        <v>20</v>
      </c>
      <c r="E82" s="536">
        <v>0.50484614131470373</v>
      </c>
      <c r="AH82"/>
      <c r="AI82" s="431" t="s">
        <v>346</v>
      </c>
      <c r="AJ82" s="431" t="str">
        <f>AJ69</f>
        <v>IE</v>
      </c>
      <c r="AK82" s="431" t="str">
        <f t="shared" ref="AK82:BJ82" si="89">AK69</f>
        <v>IE-CW</v>
      </c>
      <c r="AL82" s="431" t="str">
        <f t="shared" si="89"/>
        <v>IE-D</v>
      </c>
      <c r="AM82" s="431" t="str">
        <f t="shared" si="89"/>
        <v>IE-KE</v>
      </c>
      <c r="AN82" s="431" t="str">
        <f t="shared" si="89"/>
        <v>IE-KK</v>
      </c>
      <c r="AO82" s="431" t="str">
        <f t="shared" si="89"/>
        <v>IE-LS</v>
      </c>
      <c r="AP82" s="431" t="str">
        <f t="shared" si="89"/>
        <v>IE-LD</v>
      </c>
      <c r="AQ82" s="431" t="str">
        <f t="shared" si="89"/>
        <v>IE-LH</v>
      </c>
      <c r="AR82" s="431" t="str">
        <f t="shared" si="89"/>
        <v>IE-MH</v>
      </c>
      <c r="AS82" s="431" t="str">
        <f t="shared" si="89"/>
        <v>IE-OY</v>
      </c>
      <c r="AT82" s="431" t="str">
        <f t="shared" si="89"/>
        <v>IE-WH</v>
      </c>
      <c r="AU82" s="431" t="str">
        <f t="shared" si="89"/>
        <v>IE-WX</v>
      </c>
      <c r="AV82" s="431" t="str">
        <f t="shared" si="89"/>
        <v>IE-WW</v>
      </c>
      <c r="AW82" s="431" t="str">
        <f t="shared" si="89"/>
        <v>IE-CE</v>
      </c>
      <c r="AX82" s="431" t="str">
        <f t="shared" si="89"/>
        <v>IE-CO</v>
      </c>
      <c r="AY82" s="431" t="str">
        <f t="shared" si="89"/>
        <v>IE-KY</v>
      </c>
      <c r="AZ82" s="431" t="str">
        <f t="shared" si="89"/>
        <v>IE-LK</v>
      </c>
      <c r="BA82" s="431" t="str">
        <f t="shared" si="89"/>
        <v>IE-TA</v>
      </c>
      <c r="BB82" s="431" t="str">
        <f t="shared" si="89"/>
        <v>IE-WD</v>
      </c>
      <c r="BC82" s="431" t="str">
        <f t="shared" si="89"/>
        <v>IE-G</v>
      </c>
      <c r="BD82" s="431" t="str">
        <f t="shared" si="89"/>
        <v>IE-LM</v>
      </c>
      <c r="BE82" s="431" t="str">
        <f t="shared" si="89"/>
        <v>IE-MO</v>
      </c>
      <c r="BF82" s="431" t="str">
        <f t="shared" si="89"/>
        <v>IE-RN</v>
      </c>
      <c r="BG82" s="431" t="str">
        <f t="shared" si="89"/>
        <v>IE-SO</v>
      </c>
      <c r="BH82" s="431" t="str">
        <f t="shared" si="89"/>
        <v>IE-CN</v>
      </c>
      <c r="BI82" s="431" t="str">
        <f t="shared" si="89"/>
        <v>IE-DL</v>
      </c>
      <c r="BJ82" s="431" t="str">
        <f t="shared" si="89"/>
        <v>IE-MN</v>
      </c>
    </row>
    <row r="83" spans="1:62" s="201" customFormat="1">
      <c r="A83" s="548"/>
      <c r="B83" s="110" t="str">
        <f>_xlfn.TEXTJOIN(",",TRUE,Regions!$C$3:'Regions'!$AD$3)</f>
        <v>IE,IE-CW,IE-D,IE-KE,IE-KK,IE-LS,IE-LD,IE-LH,IE-MH,IE-OY,IE-WH,IE-WX,IE-WW,IE-CE,IE-CO,IE-KY,IE-LK,IE-TA,IE-WD,IE-G,IE-LM,IE-MO,IE-RN,IE-SO,IE-CN,IE-DL,IE-MN</v>
      </c>
      <c r="C83" s="110" t="str">
        <f>C30</f>
        <v>T-MGT-ICE_DST00</v>
      </c>
      <c r="D83" s="386">
        <v>20</v>
      </c>
      <c r="E83" s="536">
        <v>0.50484614131470373</v>
      </c>
      <c r="AH83"/>
      <c r="AI83" s="429"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548"/>
      <c r="B84" s="110" t="str">
        <f>_xlfn.TEXTJOIN(",",TRUE,Regions!$C$3:'Regions'!$AD$3)</f>
        <v>IE,IE-CW,IE-D,IE-KE,IE-KK,IE-LS,IE-LD,IE-LH,IE-MH,IE-OY,IE-WH,IE-WX,IE-WW,IE-CE,IE-CO,IE-KY,IE-LK,IE-TA,IE-WD,IE-G,IE-LM,IE-MO,IE-RN,IE-SO,IE-CN,IE-DL,IE-MN</v>
      </c>
      <c r="C84" s="110" t="str">
        <f>C31</f>
        <v>T-HGT-ICE_DST00</v>
      </c>
      <c r="D84" s="386">
        <v>20</v>
      </c>
      <c r="E84" s="536">
        <v>0.50484614131470373</v>
      </c>
      <c r="AH84"/>
      <c r="AI84" s="429"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548"/>
      <c r="B85" s="371" t="str">
        <f>_xlfn.TEXTJOIN(",",TRUE,Regions!$C$3:'Regions'!$AD$3)</f>
        <v>IE,IE-CW,IE-D,IE-KE,IE-KK,IE-LS,IE-LD,IE-LH,IE-MH,IE-OY,IE-WH,IE-WX,IE-WW,IE-CE,IE-CO,IE-KY,IE-LK,IE-TA,IE-WD,IE-G,IE-LM,IE-MO,IE-RN,IE-SO,IE-CN,IE-DL,IE-MN</v>
      </c>
      <c r="C85" s="371" t="str">
        <f>C32</f>
        <v>T-GTR-ICE_DST00</v>
      </c>
      <c r="D85" s="849">
        <v>30</v>
      </c>
      <c r="E85" s="534">
        <v>0.50484614131470373</v>
      </c>
      <c r="AH85"/>
      <c r="AI85" s="429"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548"/>
      <c r="B86" s="548"/>
      <c r="AH86"/>
      <c r="AI86" s="429"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548"/>
      <c r="B87" s="548"/>
      <c r="AH87"/>
      <c r="AI87" s="429"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548"/>
      <c r="B88" s="548"/>
      <c r="AH88"/>
      <c r="AI88" s="429"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548"/>
      <c r="B89" s="548"/>
      <c r="AH89"/>
      <c r="AI89" s="480" t="s">
        <v>16</v>
      </c>
      <c r="AJ89" s="486">
        <f t="shared" ref="AJ89:BJ89" si="90">SUM(AJ83:AJ88)</f>
        <v>31.276118540280983</v>
      </c>
      <c r="AK89" s="486">
        <f t="shared" si="90"/>
        <v>0.43519149385547129</v>
      </c>
      <c r="AL89" s="486">
        <f t="shared" si="90"/>
        <v>7.621153644998925</v>
      </c>
      <c r="AM89" s="486">
        <f t="shared" si="90"/>
        <v>1.5519093827676476</v>
      </c>
      <c r="AN89" s="486">
        <f t="shared" si="90"/>
        <v>0.73703191607760732</v>
      </c>
      <c r="AO89" s="486">
        <f t="shared" si="90"/>
        <v>0.55451713599955721</v>
      </c>
      <c r="AP89" s="486">
        <f t="shared" si="90"/>
        <v>0.28568437258778689</v>
      </c>
      <c r="AQ89" s="486">
        <f t="shared" si="90"/>
        <v>0.76950577172521428</v>
      </c>
      <c r="AR89" s="486">
        <f t="shared" si="90"/>
        <v>1.3359499798250476</v>
      </c>
      <c r="AS89" s="486">
        <f t="shared" si="90"/>
        <v>0.56616320344762305</v>
      </c>
      <c r="AT89" s="486">
        <f t="shared" si="90"/>
        <v>0.63911185847443019</v>
      </c>
      <c r="AU89" s="486">
        <f t="shared" si="90"/>
        <v>1.1334816009734383</v>
      </c>
      <c r="AV89" s="486">
        <f t="shared" si="90"/>
        <v>0.96185938421931261</v>
      </c>
      <c r="AW89" s="486">
        <f t="shared" si="90"/>
        <v>0.87235861089184219</v>
      </c>
      <c r="AX89" s="486">
        <f t="shared" si="90"/>
        <v>3.5254749048173282</v>
      </c>
      <c r="AY89" s="486">
        <f t="shared" si="90"/>
        <v>1.1538869884003555</v>
      </c>
      <c r="AZ89" s="486">
        <f t="shared" si="90"/>
        <v>1.2995736671311429</v>
      </c>
      <c r="BA89" s="486">
        <f t="shared" si="90"/>
        <v>1.2604324784412986</v>
      </c>
      <c r="BB89" s="486">
        <f t="shared" si="90"/>
        <v>0.79517788054022265</v>
      </c>
      <c r="BC89" s="486">
        <f t="shared" si="90"/>
        <v>1.7803554187858515</v>
      </c>
      <c r="BD89" s="486">
        <f t="shared" si="90"/>
        <v>0.23333731031609195</v>
      </c>
      <c r="BE89" s="486">
        <f t="shared" si="90"/>
        <v>0.98601597898071303</v>
      </c>
      <c r="BF89" s="486">
        <f t="shared" si="90"/>
        <v>0.53090140271719211</v>
      </c>
      <c r="BG89" s="486">
        <f t="shared" si="90"/>
        <v>0.43310682655274857</v>
      </c>
      <c r="BH89" s="486">
        <f t="shared" si="90"/>
        <v>0.47060177269376963</v>
      </c>
      <c r="BI89" s="486">
        <f t="shared" si="90"/>
        <v>0.86668930093951158</v>
      </c>
      <c r="BJ89" s="486">
        <f t="shared" si="90"/>
        <v>0.47664625412085693</v>
      </c>
    </row>
    <row r="90" spans="1:62" s="201" customFormat="1">
      <c r="A90" s="548"/>
      <c r="B90" s="548"/>
      <c r="AH90"/>
    </row>
    <row r="91" spans="1:62" s="201" customFormat="1">
      <c r="A91" s="548"/>
      <c r="B91" s="548"/>
      <c r="AH91"/>
    </row>
    <row r="92" spans="1:62" s="201" customFormat="1">
      <c r="A92" s="548"/>
      <c r="B92" s="548"/>
      <c r="AH92"/>
    </row>
    <row r="93" spans="1:62" s="429" customFormat="1" ht="21">
      <c r="A93" s="548"/>
      <c r="B93" s="548"/>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548"/>
      <c r="B94" s="548"/>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29" t="s">
        <v>1026</v>
      </c>
      <c r="AJ94" s="429"/>
      <c r="AK94" s="429"/>
      <c r="AL94" s="429"/>
      <c r="AM94" s="429"/>
      <c r="AN94" s="429"/>
      <c r="AO94" s="429"/>
      <c r="AP94" s="429"/>
      <c r="AQ94" s="429"/>
      <c r="AR94" s="429"/>
      <c r="AS94" s="429"/>
      <c r="AT94" s="429"/>
      <c r="AU94" s="429"/>
      <c r="AV94" s="429"/>
      <c r="AW94" s="429"/>
      <c r="AX94" s="429"/>
      <c r="AY94" s="429"/>
      <c r="AZ94" s="429"/>
      <c r="BA94" s="429"/>
      <c r="BB94" s="429"/>
      <c r="BC94" s="429"/>
      <c r="BD94" s="429"/>
      <c r="BE94" s="429"/>
      <c r="BF94" s="429"/>
      <c r="BG94" s="429"/>
      <c r="BH94" s="429"/>
      <c r="BI94" s="429"/>
      <c r="BJ94" s="429"/>
    </row>
    <row r="95" spans="1:62" s="429" customFormat="1">
      <c r="A95" s="548"/>
      <c r="B95" s="548"/>
      <c r="C95" s="201"/>
      <c r="D95" s="201"/>
      <c r="E95" s="986" t="s">
        <v>1137</v>
      </c>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201"/>
      <c r="AH95"/>
      <c r="AI95" s="431" t="s">
        <v>346</v>
      </c>
      <c r="AJ95" s="431" t="str">
        <f>AJ82</f>
        <v>IE</v>
      </c>
      <c r="AK95" s="431" t="str">
        <f t="shared" ref="AK95:BJ95" si="91">AK82</f>
        <v>IE-CW</v>
      </c>
      <c r="AL95" s="431" t="str">
        <f t="shared" si="91"/>
        <v>IE-D</v>
      </c>
      <c r="AM95" s="431" t="str">
        <f t="shared" si="91"/>
        <v>IE-KE</v>
      </c>
      <c r="AN95" s="431" t="str">
        <f t="shared" si="91"/>
        <v>IE-KK</v>
      </c>
      <c r="AO95" s="431" t="str">
        <f t="shared" si="91"/>
        <v>IE-LS</v>
      </c>
      <c r="AP95" s="431" t="str">
        <f t="shared" si="91"/>
        <v>IE-LD</v>
      </c>
      <c r="AQ95" s="431" t="str">
        <f t="shared" si="91"/>
        <v>IE-LH</v>
      </c>
      <c r="AR95" s="431" t="str">
        <f t="shared" si="91"/>
        <v>IE-MH</v>
      </c>
      <c r="AS95" s="431" t="str">
        <f t="shared" si="91"/>
        <v>IE-OY</v>
      </c>
      <c r="AT95" s="431" t="str">
        <f t="shared" si="91"/>
        <v>IE-WH</v>
      </c>
      <c r="AU95" s="431" t="str">
        <f t="shared" si="91"/>
        <v>IE-WX</v>
      </c>
      <c r="AV95" s="431" t="str">
        <f t="shared" si="91"/>
        <v>IE-WW</v>
      </c>
      <c r="AW95" s="431" t="str">
        <f t="shared" si="91"/>
        <v>IE-CE</v>
      </c>
      <c r="AX95" s="431" t="str">
        <f t="shared" si="91"/>
        <v>IE-CO</v>
      </c>
      <c r="AY95" s="431" t="str">
        <f t="shared" si="91"/>
        <v>IE-KY</v>
      </c>
      <c r="AZ95" s="431" t="str">
        <f t="shared" si="91"/>
        <v>IE-LK</v>
      </c>
      <c r="BA95" s="431" t="str">
        <f t="shared" si="91"/>
        <v>IE-TA</v>
      </c>
      <c r="BB95" s="431" t="str">
        <f t="shared" si="91"/>
        <v>IE-WD</v>
      </c>
      <c r="BC95" s="431" t="str">
        <f t="shared" si="91"/>
        <v>IE-G</v>
      </c>
      <c r="BD95" s="431" t="str">
        <f t="shared" si="91"/>
        <v>IE-LM</v>
      </c>
      <c r="BE95" s="431" t="str">
        <f t="shared" si="91"/>
        <v>IE-MO</v>
      </c>
      <c r="BF95" s="431" t="str">
        <f t="shared" si="91"/>
        <v>IE-RN</v>
      </c>
      <c r="BG95" s="431" t="str">
        <f t="shared" si="91"/>
        <v>IE-SO</v>
      </c>
      <c r="BH95" s="431" t="str">
        <f t="shared" si="91"/>
        <v>IE-CN</v>
      </c>
      <c r="BI95" s="431" t="str">
        <f t="shared" si="91"/>
        <v>IE-DL</v>
      </c>
      <c r="BJ95" s="431" t="str">
        <f t="shared" si="91"/>
        <v>IE-MN</v>
      </c>
    </row>
    <row r="96" spans="1:62" s="201" customFormat="1">
      <c r="A96" s="548"/>
      <c r="B96" s="548"/>
      <c r="C96" s="169" t="s">
        <v>69</v>
      </c>
      <c r="D96" s="169" t="s">
        <v>76</v>
      </c>
      <c r="E96" s="169" t="s">
        <v>64</v>
      </c>
      <c r="F96" s="169" t="str">
        <f>Regions!C3</f>
        <v>IE</v>
      </c>
      <c r="G96" s="169" t="str">
        <f>Regions!E3</f>
        <v>IE-CW</v>
      </c>
      <c r="H96" s="169" t="str">
        <f>Regions!F3</f>
        <v>IE-D</v>
      </c>
      <c r="I96" s="169" t="str">
        <f>Regions!G3</f>
        <v>IE-KE</v>
      </c>
      <c r="J96" s="169" t="str">
        <f>Regions!H3</f>
        <v>IE-KK</v>
      </c>
      <c r="K96" s="169" t="str">
        <f>Regions!I3</f>
        <v>IE-LS</v>
      </c>
      <c r="L96" s="169" t="str">
        <f>Regions!J3</f>
        <v>IE-LD</v>
      </c>
      <c r="M96" s="169" t="str">
        <f>Regions!K3</f>
        <v>IE-LH</v>
      </c>
      <c r="N96" s="169" t="str">
        <f>Regions!L3</f>
        <v>IE-MH</v>
      </c>
      <c r="O96" s="169" t="str">
        <f>Regions!M3</f>
        <v>IE-OY</v>
      </c>
      <c r="P96" s="169" t="str">
        <f>Regions!N3</f>
        <v>IE-WH</v>
      </c>
      <c r="Q96" s="169" t="str">
        <f>Regions!O3</f>
        <v>IE-WX</v>
      </c>
      <c r="R96" s="169" t="str">
        <f>Regions!P3</f>
        <v>IE-WW</v>
      </c>
      <c r="S96" s="169" t="str">
        <f>Regions!Q3</f>
        <v>IE-CE</v>
      </c>
      <c r="T96" s="169" t="str">
        <f>Regions!R3</f>
        <v>IE-CO</v>
      </c>
      <c r="U96" s="169" t="str">
        <f>Regions!S3</f>
        <v>IE-KY</v>
      </c>
      <c r="V96" s="169" t="str">
        <f>Regions!T3</f>
        <v>IE-LK</v>
      </c>
      <c r="W96" s="169" t="str">
        <f>Regions!U3</f>
        <v>IE-TA</v>
      </c>
      <c r="X96" s="169" t="str">
        <f>Regions!V3</f>
        <v>IE-WD</v>
      </c>
      <c r="Y96" s="169" t="str">
        <f>Regions!W3</f>
        <v>IE-G</v>
      </c>
      <c r="Z96" s="169" t="str">
        <f>Regions!X3</f>
        <v>IE-LM</v>
      </c>
      <c r="AA96" s="169" t="str">
        <f>Regions!Y3</f>
        <v>IE-MO</v>
      </c>
      <c r="AB96" s="169" t="str">
        <f>Regions!Z3</f>
        <v>IE-RN</v>
      </c>
      <c r="AC96" s="169" t="str">
        <f>Regions!AA3</f>
        <v>IE-SO</v>
      </c>
      <c r="AD96" s="169" t="str">
        <f>Regions!AB3</f>
        <v>IE-CN</v>
      </c>
      <c r="AE96" s="169" t="str">
        <f>Regions!AC3</f>
        <v>IE-DL</v>
      </c>
      <c r="AF96" s="169" t="str">
        <f>Regions!AD3</f>
        <v>IE-MN</v>
      </c>
      <c r="AH96"/>
      <c r="AI96" s="429"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29" customFormat="1">
      <c r="A97" s="548"/>
      <c r="B97" s="548"/>
      <c r="C97" s="213" t="str">
        <f>Processes!D17</f>
        <v>T-CAR-PHEV_GSL00</v>
      </c>
      <c r="D97" s="213" t="str">
        <f>Commodities!C15</f>
        <v>TRAELC</v>
      </c>
      <c r="E97" s="28" t="s">
        <v>956</v>
      </c>
      <c r="F97" s="214">
        <v>0.4</v>
      </c>
      <c r="G97" s="214">
        <v>0.4</v>
      </c>
      <c r="H97" s="214">
        <v>0.4</v>
      </c>
      <c r="I97" s="214">
        <v>0.4</v>
      </c>
      <c r="J97" s="214">
        <v>0.4</v>
      </c>
      <c r="K97" s="214">
        <v>0.4</v>
      </c>
      <c r="L97" s="214">
        <v>0.4</v>
      </c>
      <c r="M97" s="214">
        <v>0.4</v>
      </c>
      <c r="N97" s="214">
        <v>0.4</v>
      </c>
      <c r="O97" s="214">
        <v>0.4</v>
      </c>
      <c r="P97" s="214">
        <v>0.4</v>
      </c>
      <c r="Q97" s="214">
        <v>0.4</v>
      </c>
      <c r="R97" s="214">
        <v>0.4</v>
      </c>
      <c r="S97" s="214">
        <v>0.4</v>
      </c>
      <c r="T97" s="214">
        <v>0.4</v>
      </c>
      <c r="U97" s="214">
        <v>0.4</v>
      </c>
      <c r="V97" s="214">
        <v>0.4</v>
      </c>
      <c r="W97" s="214">
        <v>0.4</v>
      </c>
      <c r="X97" s="214">
        <v>0.4</v>
      </c>
      <c r="Y97" s="214">
        <v>0.4</v>
      </c>
      <c r="Z97" s="214">
        <v>0.4</v>
      </c>
      <c r="AA97" s="214">
        <v>0.4</v>
      </c>
      <c r="AB97" s="214">
        <v>0.4</v>
      </c>
      <c r="AC97" s="214">
        <v>0.4</v>
      </c>
      <c r="AD97" s="214">
        <v>0.4</v>
      </c>
      <c r="AE97" s="214">
        <v>0.4</v>
      </c>
      <c r="AF97" s="214">
        <v>0.4</v>
      </c>
      <c r="AG97" s="201"/>
      <c r="AH97"/>
      <c r="AI97" s="429"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548"/>
      <c r="B98" s="548"/>
      <c r="C98" s="213"/>
      <c r="D98" s="213" t="str">
        <f>D97</f>
        <v>TRAELC</v>
      </c>
      <c r="E98" s="28" t="s">
        <v>957</v>
      </c>
      <c r="F98" s="214">
        <v>0.3</v>
      </c>
      <c r="G98" s="214">
        <v>0.3</v>
      </c>
      <c r="H98" s="214">
        <v>0.3</v>
      </c>
      <c r="I98" s="214">
        <v>0.3</v>
      </c>
      <c r="J98" s="214">
        <v>0.3</v>
      </c>
      <c r="K98" s="214">
        <v>0.3</v>
      </c>
      <c r="L98" s="214">
        <v>0.3</v>
      </c>
      <c r="M98" s="214">
        <v>0.3</v>
      </c>
      <c r="N98" s="214">
        <v>0.3</v>
      </c>
      <c r="O98" s="214">
        <v>0.3</v>
      </c>
      <c r="P98" s="214">
        <v>0.3</v>
      </c>
      <c r="Q98" s="214">
        <v>0.3</v>
      </c>
      <c r="R98" s="214">
        <v>0.3</v>
      </c>
      <c r="S98" s="214">
        <v>0.3</v>
      </c>
      <c r="T98" s="214">
        <v>0.3</v>
      </c>
      <c r="U98" s="214">
        <v>0.3</v>
      </c>
      <c r="V98" s="214">
        <v>0.3</v>
      </c>
      <c r="W98" s="214">
        <v>0.3</v>
      </c>
      <c r="X98" s="214">
        <v>0.3</v>
      </c>
      <c r="Y98" s="214">
        <v>0.3</v>
      </c>
      <c r="Z98" s="214">
        <v>0.3</v>
      </c>
      <c r="AA98" s="214">
        <v>0.3</v>
      </c>
      <c r="AB98" s="214">
        <v>0.3</v>
      </c>
      <c r="AC98" s="214">
        <v>0.3</v>
      </c>
      <c r="AD98" s="214">
        <v>0.3</v>
      </c>
      <c r="AE98" s="214">
        <v>0.3</v>
      </c>
      <c r="AF98" s="214">
        <v>0.3</v>
      </c>
      <c r="AG98" s="429"/>
      <c r="AH98"/>
      <c r="AI98" s="429"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548"/>
      <c r="B99" s="548"/>
      <c r="C99" s="213" t="str">
        <f>Processes!D18</f>
        <v>T-CAR-PHEV_DST00</v>
      </c>
      <c r="D99" s="213" t="str">
        <f>Commodities!C15</f>
        <v>TRAELC</v>
      </c>
      <c r="E99" s="28" t="s">
        <v>956</v>
      </c>
      <c r="F99" s="214">
        <v>0.4</v>
      </c>
      <c r="G99" s="214">
        <v>0.4</v>
      </c>
      <c r="H99" s="214">
        <v>0.4</v>
      </c>
      <c r="I99" s="214">
        <v>0.4</v>
      </c>
      <c r="J99" s="214">
        <v>0.4</v>
      </c>
      <c r="K99" s="214">
        <v>0.4</v>
      </c>
      <c r="L99" s="214">
        <v>0.4</v>
      </c>
      <c r="M99" s="214">
        <v>0.4</v>
      </c>
      <c r="N99" s="214">
        <v>0.4</v>
      </c>
      <c r="O99" s="214">
        <v>0.4</v>
      </c>
      <c r="P99" s="214">
        <v>0.4</v>
      </c>
      <c r="Q99" s="214">
        <v>0.4</v>
      </c>
      <c r="R99" s="214">
        <v>0.4</v>
      </c>
      <c r="S99" s="214">
        <v>0.4</v>
      </c>
      <c r="T99" s="214">
        <v>0.4</v>
      </c>
      <c r="U99" s="214">
        <v>0.4</v>
      </c>
      <c r="V99" s="214">
        <v>0.4</v>
      </c>
      <c r="W99" s="214">
        <v>0.4</v>
      </c>
      <c r="X99" s="214">
        <v>0.4</v>
      </c>
      <c r="Y99" s="214">
        <v>0.4</v>
      </c>
      <c r="Z99" s="214">
        <v>0.4</v>
      </c>
      <c r="AA99" s="214">
        <v>0.4</v>
      </c>
      <c r="AB99" s="214">
        <v>0.4</v>
      </c>
      <c r="AC99" s="214">
        <v>0.4</v>
      </c>
      <c r="AD99" s="214">
        <v>0.4</v>
      </c>
      <c r="AE99" s="214">
        <v>0.4</v>
      </c>
      <c r="AF99" s="214">
        <v>0.4</v>
      </c>
      <c r="AH99"/>
      <c r="AI99" s="429"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548"/>
      <c r="B100" s="548"/>
      <c r="C100" s="213"/>
      <c r="D100" s="213" t="str">
        <f>D99</f>
        <v>TRAELC</v>
      </c>
      <c r="E100" s="28" t="s">
        <v>957</v>
      </c>
      <c r="F100" s="214">
        <v>0.3</v>
      </c>
      <c r="G100" s="214">
        <v>0.3</v>
      </c>
      <c r="H100" s="214">
        <v>0.3</v>
      </c>
      <c r="I100" s="214">
        <v>0.3</v>
      </c>
      <c r="J100" s="214">
        <v>0.3</v>
      </c>
      <c r="K100" s="214">
        <v>0.3</v>
      </c>
      <c r="L100" s="214">
        <v>0.3</v>
      </c>
      <c r="M100" s="214">
        <v>0.3</v>
      </c>
      <c r="N100" s="214">
        <v>0.3</v>
      </c>
      <c r="O100" s="214">
        <v>0.3</v>
      </c>
      <c r="P100" s="214">
        <v>0.3</v>
      </c>
      <c r="Q100" s="214">
        <v>0.3</v>
      </c>
      <c r="R100" s="214">
        <v>0.3</v>
      </c>
      <c r="S100" s="214">
        <v>0.3</v>
      </c>
      <c r="T100" s="214">
        <v>0.3</v>
      </c>
      <c r="U100" s="214">
        <v>0.3</v>
      </c>
      <c r="V100" s="214">
        <v>0.3</v>
      </c>
      <c r="W100" s="214">
        <v>0.3</v>
      </c>
      <c r="X100" s="214">
        <v>0.3</v>
      </c>
      <c r="Y100" s="214">
        <v>0.3</v>
      </c>
      <c r="Z100" s="214">
        <v>0.3</v>
      </c>
      <c r="AA100" s="214">
        <v>0.3</v>
      </c>
      <c r="AB100" s="214">
        <v>0.3</v>
      </c>
      <c r="AC100" s="214">
        <v>0.3</v>
      </c>
      <c r="AD100" s="214">
        <v>0.3</v>
      </c>
      <c r="AE100" s="214">
        <v>0.3</v>
      </c>
      <c r="AF100" s="214">
        <v>0.3</v>
      </c>
      <c r="AG100" s="429"/>
      <c r="AH100"/>
      <c r="AI100" s="429"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548"/>
      <c r="B101" s="548"/>
      <c r="C101" s="213" t="str">
        <f>Processes!D13</f>
        <v>T-CAR-ICE_DF00</v>
      </c>
      <c r="D101" s="213" t="str">
        <f>Commodities!C13</f>
        <v>TRACNG</v>
      </c>
      <c r="E101" s="28" t="s">
        <v>956</v>
      </c>
      <c r="F101" s="214">
        <v>0.5</v>
      </c>
      <c r="G101" s="214">
        <v>0.5</v>
      </c>
      <c r="H101" s="214">
        <v>0.5</v>
      </c>
      <c r="I101" s="214">
        <v>0.5</v>
      </c>
      <c r="J101" s="214">
        <v>0.5</v>
      </c>
      <c r="K101" s="214">
        <v>0.5</v>
      </c>
      <c r="L101" s="214">
        <v>0.5</v>
      </c>
      <c r="M101" s="214">
        <v>0.5</v>
      </c>
      <c r="N101" s="214">
        <v>0.5</v>
      </c>
      <c r="O101" s="214">
        <v>0.5</v>
      </c>
      <c r="P101" s="214">
        <v>0.5</v>
      </c>
      <c r="Q101" s="214">
        <v>0.5</v>
      </c>
      <c r="R101" s="214">
        <v>0.5</v>
      </c>
      <c r="S101" s="214">
        <v>0.5</v>
      </c>
      <c r="T101" s="214">
        <v>0.5</v>
      </c>
      <c r="U101" s="214">
        <v>0.5</v>
      </c>
      <c r="V101" s="214">
        <v>0.5</v>
      </c>
      <c r="W101" s="214">
        <v>0.5</v>
      </c>
      <c r="X101" s="214">
        <v>0.5</v>
      </c>
      <c r="Y101" s="214">
        <v>0.5</v>
      </c>
      <c r="Z101" s="214">
        <v>0.5</v>
      </c>
      <c r="AA101" s="214">
        <v>0.5</v>
      </c>
      <c r="AB101" s="214">
        <v>0.5</v>
      </c>
      <c r="AC101" s="214">
        <v>0.5</v>
      </c>
      <c r="AD101" s="214">
        <v>0.5</v>
      </c>
      <c r="AE101" s="214">
        <v>0.5</v>
      </c>
      <c r="AF101" s="214">
        <v>0.5</v>
      </c>
      <c r="AH101"/>
      <c r="AI101" s="429"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548"/>
      <c r="B102" s="548"/>
      <c r="C102" s="213"/>
      <c r="D102" s="213" t="str">
        <f>D101</f>
        <v>TRACNG</v>
      </c>
      <c r="E102" s="28" t="s">
        <v>957</v>
      </c>
      <c r="F102" s="214">
        <v>0.4</v>
      </c>
      <c r="G102" s="214">
        <v>0.4</v>
      </c>
      <c r="H102" s="214">
        <v>0.4</v>
      </c>
      <c r="I102" s="214">
        <v>0.4</v>
      </c>
      <c r="J102" s="214">
        <v>0.4</v>
      </c>
      <c r="K102" s="214">
        <v>0.4</v>
      </c>
      <c r="L102" s="214">
        <v>0.4</v>
      </c>
      <c r="M102" s="214">
        <v>0.4</v>
      </c>
      <c r="N102" s="214">
        <v>0.4</v>
      </c>
      <c r="O102" s="214">
        <v>0.4</v>
      </c>
      <c r="P102" s="214">
        <v>0.4</v>
      </c>
      <c r="Q102" s="214">
        <v>0.4</v>
      </c>
      <c r="R102" s="214">
        <v>0.4</v>
      </c>
      <c r="S102" s="214">
        <v>0.4</v>
      </c>
      <c r="T102" s="214">
        <v>0.4</v>
      </c>
      <c r="U102" s="214">
        <v>0.4</v>
      </c>
      <c r="V102" s="214">
        <v>0.4</v>
      </c>
      <c r="W102" s="214">
        <v>0.4</v>
      </c>
      <c r="X102" s="214">
        <v>0.4</v>
      </c>
      <c r="Y102" s="214">
        <v>0.4</v>
      </c>
      <c r="Z102" s="214">
        <v>0.4</v>
      </c>
      <c r="AA102" s="214">
        <v>0.4</v>
      </c>
      <c r="AB102" s="214">
        <v>0.4</v>
      </c>
      <c r="AC102" s="214">
        <v>0.4</v>
      </c>
      <c r="AD102" s="214">
        <v>0.4</v>
      </c>
      <c r="AE102" s="214">
        <v>0.4</v>
      </c>
      <c r="AF102" s="214">
        <v>0.4</v>
      </c>
      <c r="AG102" s="429"/>
      <c r="AH102"/>
      <c r="AI102" s="480" t="s">
        <v>16</v>
      </c>
      <c r="AJ102" s="486">
        <f t="shared" ref="AJ102:BJ102" si="92">SUM(AJ96:AJ101)</f>
        <v>27.131577542973641</v>
      </c>
      <c r="AK102" s="486">
        <f t="shared" si="92"/>
        <v>0.373897486374975</v>
      </c>
      <c r="AL102" s="486">
        <f t="shared" si="92"/>
        <v>6.6607449340349936</v>
      </c>
      <c r="AM102" s="486">
        <f t="shared" si="92"/>
        <v>1.3457957919305059</v>
      </c>
      <c r="AN102" s="486">
        <f t="shared" si="92"/>
        <v>0.64805463087287241</v>
      </c>
      <c r="AO102" s="486">
        <f t="shared" si="92"/>
        <v>0.48149946813234051</v>
      </c>
      <c r="AP102" s="486">
        <f t="shared" si="92"/>
        <v>0.24792998248868528</v>
      </c>
      <c r="AQ102" s="486">
        <f t="shared" si="92"/>
        <v>0.6736874578715788</v>
      </c>
      <c r="AR102" s="486">
        <f t="shared" si="92"/>
        <v>1.1456149031137848</v>
      </c>
      <c r="AS102" s="486">
        <f t="shared" si="92"/>
        <v>0.49378011021821827</v>
      </c>
      <c r="AT102" s="486">
        <f t="shared" si="92"/>
        <v>0.54722173482691427</v>
      </c>
      <c r="AU102" s="486">
        <f t="shared" si="92"/>
        <v>0.97262646758485327</v>
      </c>
      <c r="AV102" s="486">
        <f t="shared" si="92"/>
        <v>0.83286416374941885</v>
      </c>
      <c r="AW102" s="486">
        <f t="shared" si="92"/>
        <v>0.74674766413249027</v>
      </c>
      <c r="AX102" s="486">
        <f t="shared" si="92"/>
        <v>3.0449422514531723</v>
      </c>
      <c r="AY102" s="486">
        <f t="shared" si="92"/>
        <v>1.0126394376791288</v>
      </c>
      <c r="AZ102" s="486">
        <f t="shared" si="92"/>
        <v>1.1217784798314177</v>
      </c>
      <c r="BA102" s="486">
        <f t="shared" si="92"/>
        <v>1.0852427647392462</v>
      </c>
      <c r="BB102" s="486">
        <f t="shared" si="92"/>
        <v>0.68342924139985861</v>
      </c>
      <c r="BC102" s="486">
        <f t="shared" si="92"/>
        <v>1.5527405180508134</v>
      </c>
      <c r="BD102" s="486">
        <f t="shared" si="92"/>
        <v>0.20031586047476846</v>
      </c>
      <c r="BE102" s="486">
        <f t="shared" si="92"/>
        <v>0.86102306186829447</v>
      </c>
      <c r="BF102" s="486">
        <f t="shared" si="92"/>
        <v>0.4513160972888865</v>
      </c>
      <c r="BG102" s="486">
        <f t="shared" si="92"/>
        <v>0.37617525772313692</v>
      </c>
      <c r="BH102" s="486">
        <f t="shared" si="92"/>
        <v>0.40231788404487251</v>
      </c>
      <c r="BI102" s="486">
        <f t="shared" si="92"/>
        <v>0.74109890371757148</v>
      </c>
      <c r="BJ102" s="486">
        <f t="shared" si="92"/>
        <v>0.42809298937083867</v>
      </c>
    </row>
    <row r="103" spans="1:62" s="201" customFormat="1">
      <c r="A103" s="548"/>
      <c r="B103" s="548"/>
      <c r="C103" s="86" t="str">
        <f>Processes!D40</f>
        <v>T-OTH_CON00</v>
      </c>
      <c r="D103" s="2" t="str">
        <f>Commodities!C13</f>
        <v>TRACNG</v>
      </c>
      <c r="E103" s="28" t="s">
        <v>957</v>
      </c>
      <c r="F103" s="473">
        <f>'EB2018'!AA55/'EB2018'!AQ55</f>
        <v>4.3302610301174861E-2</v>
      </c>
      <c r="G103" s="474">
        <f>F103</f>
        <v>4.3302610301174861E-2</v>
      </c>
      <c r="H103" s="474">
        <f t="shared" ref="H103:AF103" si="93">G103</f>
        <v>4.3302610301174861E-2</v>
      </c>
      <c r="I103" s="474">
        <f t="shared" si="93"/>
        <v>4.3302610301174861E-2</v>
      </c>
      <c r="J103" s="474">
        <f t="shared" si="93"/>
        <v>4.3302610301174861E-2</v>
      </c>
      <c r="K103" s="474">
        <f t="shared" si="93"/>
        <v>4.3302610301174861E-2</v>
      </c>
      <c r="L103" s="474">
        <f t="shared" si="93"/>
        <v>4.3302610301174861E-2</v>
      </c>
      <c r="M103" s="474">
        <f t="shared" si="93"/>
        <v>4.3302610301174861E-2</v>
      </c>
      <c r="N103" s="474">
        <f t="shared" si="93"/>
        <v>4.3302610301174861E-2</v>
      </c>
      <c r="O103" s="474">
        <f t="shared" si="93"/>
        <v>4.3302610301174861E-2</v>
      </c>
      <c r="P103" s="474">
        <f t="shared" si="93"/>
        <v>4.3302610301174861E-2</v>
      </c>
      <c r="Q103" s="474">
        <f t="shared" si="93"/>
        <v>4.3302610301174861E-2</v>
      </c>
      <c r="R103" s="474">
        <f t="shared" si="93"/>
        <v>4.3302610301174861E-2</v>
      </c>
      <c r="S103" s="474">
        <f t="shared" si="93"/>
        <v>4.3302610301174861E-2</v>
      </c>
      <c r="T103" s="474">
        <f t="shared" si="93"/>
        <v>4.3302610301174861E-2</v>
      </c>
      <c r="U103" s="474">
        <f t="shared" si="93"/>
        <v>4.3302610301174861E-2</v>
      </c>
      <c r="V103" s="474">
        <f t="shared" si="93"/>
        <v>4.3302610301174861E-2</v>
      </c>
      <c r="W103" s="474">
        <f t="shared" si="93"/>
        <v>4.3302610301174861E-2</v>
      </c>
      <c r="X103" s="474">
        <f t="shared" si="93"/>
        <v>4.3302610301174861E-2</v>
      </c>
      <c r="Y103" s="474">
        <f t="shared" si="93"/>
        <v>4.3302610301174861E-2</v>
      </c>
      <c r="Z103" s="474">
        <f t="shared" si="93"/>
        <v>4.3302610301174861E-2</v>
      </c>
      <c r="AA103" s="474">
        <f t="shared" si="93"/>
        <v>4.3302610301174861E-2</v>
      </c>
      <c r="AB103" s="474">
        <f t="shared" si="93"/>
        <v>4.3302610301174861E-2</v>
      </c>
      <c r="AC103" s="474">
        <f t="shared" si="93"/>
        <v>4.3302610301174861E-2</v>
      </c>
      <c r="AD103" s="474">
        <f t="shared" si="93"/>
        <v>4.3302610301174861E-2</v>
      </c>
      <c r="AE103" s="474">
        <f t="shared" si="93"/>
        <v>4.3302610301174861E-2</v>
      </c>
      <c r="AF103" s="474">
        <f t="shared" si="93"/>
        <v>4.3302610301174861E-2</v>
      </c>
      <c r="AH103"/>
    </row>
    <row r="104" spans="1:62" s="201" customFormat="1">
      <c r="A104" s="548"/>
      <c r="B104" s="548"/>
      <c r="C104" s="86" t="str">
        <f>Processes!D40</f>
        <v>T-OTH_CON00</v>
      </c>
      <c r="D104" s="2" t="e">
        <f>Commodities!#REF!</f>
        <v>#REF!</v>
      </c>
      <c r="E104" s="424" t="s">
        <v>956</v>
      </c>
      <c r="F104" s="473">
        <f>('EB2018'!U55+(0.5*'EB2018'!AI55))/'EB2018'!AQ55</f>
        <v>0.66344702549297729</v>
      </c>
      <c r="G104" s="474">
        <f>F104</f>
        <v>0.66344702549297729</v>
      </c>
      <c r="H104" s="474">
        <f t="shared" ref="H104:AF104" si="94">G104</f>
        <v>0.66344702549297729</v>
      </c>
      <c r="I104" s="474">
        <f t="shared" si="94"/>
        <v>0.66344702549297729</v>
      </c>
      <c r="J104" s="474">
        <f t="shared" si="94"/>
        <v>0.66344702549297729</v>
      </c>
      <c r="K104" s="474">
        <f t="shared" si="94"/>
        <v>0.66344702549297729</v>
      </c>
      <c r="L104" s="474">
        <f t="shared" si="94"/>
        <v>0.66344702549297729</v>
      </c>
      <c r="M104" s="474">
        <f t="shared" si="94"/>
        <v>0.66344702549297729</v>
      </c>
      <c r="N104" s="474">
        <f t="shared" si="94"/>
        <v>0.66344702549297729</v>
      </c>
      <c r="O104" s="474">
        <f t="shared" si="94"/>
        <v>0.66344702549297729</v>
      </c>
      <c r="P104" s="474">
        <f t="shared" si="94"/>
        <v>0.66344702549297729</v>
      </c>
      <c r="Q104" s="474">
        <f t="shared" si="94"/>
        <v>0.66344702549297729</v>
      </c>
      <c r="R104" s="474">
        <f t="shared" si="94"/>
        <v>0.66344702549297729</v>
      </c>
      <c r="S104" s="474">
        <f t="shared" si="94"/>
        <v>0.66344702549297729</v>
      </c>
      <c r="T104" s="474">
        <f t="shared" si="94"/>
        <v>0.66344702549297729</v>
      </c>
      <c r="U104" s="474">
        <f t="shared" si="94"/>
        <v>0.66344702549297729</v>
      </c>
      <c r="V104" s="474">
        <f t="shared" si="94"/>
        <v>0.66344702549297729</v>
      </c>
      <c r="W104" s="474">
        <f t="shared" si="94"/>
        <v>0.66344702549297729</v>
      </c>
      <c r="X104" s="474">
        <f t="shared" si="94"/>
        <v>0.66344702549297729</v>
      </c>
      <c r="Y104" s="474">
        <f t="shared" si="94"/>
        <v>0.66344702549297729</v>
      </c>
      <c r="Z104" s="474">
        <f t="shared" si="94"/>
        <v>0.66344702549297729</v>
      </c>
      <c r="AA104" s="474">
        <f t="shared" si="94"/>
        <v>0.66344702549297729</v>
      </c>
      <c r="AB104" s="474">
        <f t="shared" si="94"/>
        <v>0.66344702549297729</v>
      </c>
      <c r="AC104" s="474">
        <f t="shared" si="94"/>
        <v>0.66344702549297729</v>
      </c>
      <c r="AD104" s="474">
        <f t="shared" si="94"/>
        <v>0.66344702549297729</v>
      </c>
      <c r="AE104" s="474">
        <f t="shared" si="94"/>
        <v>0.66344702549297729</v>
      </c>
      <c r="AF104" s="474">
        <f t="shared" si="94"/>
        <v>0.66344702549297729</v>
      </c>
      <c r="AH104"/>
    </row>
    <row r="105" spans="1:62" s="429" customFormat="1">
      <c r="A105" s="548"/>
      <c r="B105" s="548"/>
      <c r="C105" s="475" t="str">
        <f>Processes!D40</f>
        <v>T-OTH_CON00</v>
      </c>
      <c r="D105" s="200" t="e">
        <f>Commodities!#REF!</f>
        <v>#REF!</v>
      </c>
      <c r="E105" s="112" t="s">
        <v>957</v>
      </c>
      <c r="F105" s="506">
        <f>1-F104-F103</f>
        <v>0.29325036420584782</v>
      </c>
      <c r="G105" s="506">
        <f t="shared" ref="G105:AF105" si="95">1-G104-G103</f>
        <v>0.29325036420584782</v>
      </c>
      <c r="H105" s="506">
        <f t="shared" si="95"/>
        <v>0.29325036420584782</v>
      </c>
      <c r="I105" s="506">
        <f t="shared" si="95"/>
        <v>0.29325036420584782</v>
      </c>
      <c r="J105" s="506">
        <f t="shared" si="95"/>
        <v>0.29325036420584782</v>
      </c>
      <c r="K105" s="506">
        <f t="shared" si="95"/>
        <v>0.29325036420584782</v>
      </c>
      <c r="L105" s="506">
        <f t="shared" si="95"/>
        <v>0.29325036420584782</v>
      </c>
      <c r="M105" s="506">
        <f t="shared" si="95"/>
        <v>0.29325036420584782</v>
      </c>
      <c r="N105" s="506">
        <f t="shared" si="95"/>
        <v>0.29325036420584782</v>
      </c>
      <c r="O105" s="506">
        <f t="shared" si="95"/>
        <v>0.29325036420584782</v>
      </c>
      <c r="P105" s="506">
        <f t="shared" si="95"/>
        <v>0.29325036420584782</v>
      </c>
      <c r="Q105" s="506">
        <f t="shared" si="95"/>
        <v>0.29325036420584782</v>
      </c>
      <c r="R105" s="506">
        <f t="shared" si="95"/>
        <v>0.29325036420584782</v>
      </c>
      <c r="S105" s="506">
        <f t="shared" si="95"/>
        <v>0.29325036420584782</v>
      </c>
      <c r="T105" s="506">
        <f t="shared" si="95"/>
        <v>0.29325036420584782</v>
      </c>
      <c r="U105" s="506">
        <f t="shared" si="95"/>
        <v>0.29325036420584782</v>
      </c>
      <c r="V105" s="506">
        <f t="shared" si="95"/>
        <v>0.29325036420584782</v>
      </c>
      <c r="W105" s="506">
        <f t="shared" si="95"/>
        <v>0.29325036420584782</v>
      </c>
      <c r="X105" s="506">
        <f t="shared" si="95"/>
        <v>0.29325036420584782</v>
      </c>
      <c r="Y105" s="506">
        <f t="shared" si="95"/>
        <v>0.29325036420584782</v>
      </c>
      <c r="Z105" s="506">
        <f t="shared" si="95"/>
        <v>0.29325036420584782</v>
      </c>
      <c r="AA105" s="506">
        <f t="shared" si="95"/>
        <v>0.29325036420584782</v>
      </c>
      <c r="AB105" s="506">
        <f t="shared" si="95"/>
        <v>0.29325036420584782</v>
      </c>
      <c r="AC105" s="506">
        <f t="shared" si="95"/>
        <v>0.29325036420584782</v>
      </c>
      <c r="AD105" s="506">
        <f t="shared" si="95"/>
        <v>0.29325036420584782</v>
      </c>
      <c r="AE105" s="506">
        <f t="shared" si="95"/>
        <v>0.29325036420584782</v>
      </c>
      <c r="AF105" s="506">
        <f t="shared" si="95"/>
        <v>0.29325036420584782</v>
      </c>
      <c r="AG105" s="474"/>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548"/>
      <c r="B106" s="548"/>
      <c r="C106" s="86"/>
      <c r="D106" s="2"/>
      <c r="E106" s="424"/>
      <c r="F106" s="473"/>
      <c r="G106" s="474"/>
      <c r="H106" s="474"/>
      <c r="I106" s="474"/>
      <c r="J106" s="474"/>
      <c r="K106" s="474"/>
      <c r="L106" s="474"/>
      <c r="M106" s="474"/>
      <c r="N106" s="474"/>
      <c r="O106" s="474"/>
      <c r="P106" s="474"/>
      <c r="Q106" s="474"/>
      <c r="R106" s="474"/>
      <c r="S106" s="474"/>
      <c r="T106" s="474"/>
      <c r="U106" s="474"/>
      <c r="V106" s="474"/>
      <c r="W106" s="474"/>
      <c r="X106" s="474"/>
      <c r="Y106" s="474"/>
      <c r="Z106" s="474"/>
      <c r="AA106" s="474"/>
      <c r="AB106" s="474"/>
      <c r="AC106" s="474"/>
      <c r="AD106" s="474"/>
      <c r="AE106" s="474"/>
      <c r="AF106" s="474"/>
      <c r="AH106"/>
      <c r="AI106" s="429" t="s">
        <v>1028</v>
      </c>
      <c r="AJ106" s="429"/>
      <c r="AK106" s="429"/>
      <c r="AL106" s="429"/>
      <c r="AM106" s="429"/>
      <c r="AN106" s="429"/>
      <c r="AO106" s="429"/>
      <c r="AP106" s="429"/>
      <c r="AQ106" s="429"/>
      <c r="AR106" s="429"/>
      <c r="AS106" s="429"/>
      <c r="AT106" s="429"/>
      <c r="AU106" s="429"/>
      <c r="AV106" s="429"/>
      <c r="AW106" s="429"/>
      <c r="AX106" s="429"/>
      <c r="AY106" s="429"/>
      <c r="AZ106" s="429"/>
      <c r="BA106" s="429"/>
      <c r="BB106" s="429"/>
      <c r="BC106" s="429"/>
      <c r="BD106" s="429"/>
      <c r="BE106" s="429"/>
      <c r="BF106" s="429"/>
      <c r="BG106" s="429"/>
      <c r="BH106" s="429"/>
      <c r="BI106" s="429"/>
      <c r="BJ106" s="429"/>
    </row>
    <row r="107" spans="1:62" s="429" customFormat="1">
      <c r="A107" s="548"/>
      <c r="B107" s="548"/>
      <c r="C107" s="201"/>
      <c r="E107" s="987" t="s">
        <v>1138</v>
      </c>
      <c r="F107" s="201"/>
      <c r="H107" s="474"/>
      <c r="I107" s="474"/>
      <c r="J107" s="474"/>
      <c r="K107" s="474"/>
      <c r="L107" s="474"/>
      <c r="M107" s="474"/>
      <c r="N107" s="474"/>
      <c r="O107" s="474"/>
      <c r="P107" s="474"/>
      <c r="Q107" s="474"/>
      <c r="R107" s="474"/>
      <c r="S107" s="474"/>
      <c r="T107" s="474"/>
      <c r="U107" s="474"/>
      <c r="V107" s="474"/>
      <c r="W107" s="474"/>
      <c r="X107" s="474"/>
      <c r="Y107" s="474"/>
      <c r="Z107" s="474"/>
      <c r="AA107" s="474"/>
      <c r="AB107" s="474"/>
      <c r="AC107" s="474"/>
      <c r="AD107" s="474"/>
      <c r="AE107" s="474"/>
      <c r="AF107" s="474"/>
      <c r="AG107" s="201"/>
      <c r="AH107"/>
      <c r="AI107" s="431" t="s">
        <v>346</v>
      </c>
      <c r="AJ107" s="431" t="str">
        <f>AJ95</f>
        <v>IE</v>
      </c>
      <c r="AK107" s="431" t="str">
        <f t="shared" ref="AK107:BJ107" si="96">AK95</f>
        <v>IE-CW</v>
      </c>
      <c r="AL107" s="431" t="str">
        <f t="shared" si="96"/>
        <v>IE-D</v>
      </c>
      <c r="AM107" s="431" t="str">
        <f t="shared" si="96"/>
        <v>IE-KE</v>
      </c>
      <c r="AN107" s="431" t="str">
        <f t="shared" si="96"/>
        <v>IE-KK</v>
      </c>
      <c r="AO107" s="431" t="str">
        <f t="shared" si="96"/>
        <v>IE-LS</v>
      </c>
      <c r="AP107" s="431" t="str">
        <f t="shared" si="96"/>
        <v>IE-LD</v>
      </c>
      <c r="AQ107" s="431" t="str">
        <f t="shared" si="96"/>
        <v>IE-LH</v>
      </c>
      <c r="AR107" s="431" t="str">
        <f t="shared" si="96"/>
        <v>IE-MH</v>
      </c>
      <c r="AS107" s="431" t="str">
        <f t="shared" si="96"/>
        <v>IE-OY</v>
      </c>
      <c r="AT107" s="431" t="str">
        <f t="shared" si="96"/>
        <v>IE-WH</v>
      </c>
      <c r="AU107" s="431" t="str">
        <f t="shared" si="96"/>
        <v>IE-WX</v>
      </c>
      <c r="AV107" s="431" t="str">
        <f t="shared" si="96"/>
        <v>IE-WW</v>
      </c>
      <c r="AW107" s="431" t="str">
        <f t="shared" si="96"/>
        <v>IE-CE</v>
      </c>
      <c r="AX107" s="431" t="str">
        <f t="shared" si="96"/>
        <v>IE-CO</v>
      </c>
      <c r="AY107" s="431" t="str">
        <f t="shared" si="96"/>
        <v>IE-KY</v>
      </c>
      <c r="AZ107" s="431" t="str">
        <f t="shared" si="96"/>
        <v>IE-LK</v>
      </c>
      <c r="BA107" s="431" t="str">
        <f t="shared" si="96"/>
        <v>IE-TA</v>
      </c>
      <c r="BB107" s="431" t="str">
        <f t="shared" si="96"/>
        <v>IE-WD</v>
      </c>
      <c r="BC107" s="431" t="str">
        <f t="shared" si="96"/>
        <v>IE-G</v>
      </c>
      <c r="BD107" s="431" t="str">
        <f t="shared" si="96"/>
        <v>IE-LM</v>
      </c>
      <c r="BE107" s="431" t="str">
        <f t="shared" si="96"/>
        <v>IE-MO</v>
      </c>
      <c r="BF107" s="431" t="str">
        <f t="shared" si="96"/>
        <v>IE-RN</v>
      </c>
      <c r="BG107" s="431" t="str">
        <f t="shared" si="96"/>
        <v>IE-SO</v>
      </c>
      <c r="BH107" s="431" t="str">
        <f t="shared" si="96"/>
        <v>IE-CN</v>
      </c>
      <c r="BI107" s="431" t="str">
        <f t="shared" si="96"/>
        <v>IE-DL</v>
      </c>
      <c r="BJ107" s="431" t="str">
        <f t="shared" si="96"/>
        <v>IE-MN</v>
      </c>
    </row>
    <row r="108" spans="1:62" s="201" customFormat="1">
      <c r="A108" s="548"/>
      <c r="B108" s="169" t="s">
        <v>793</v>
      </c>
      <c r="C108" s="169" t="s">
        <v>69</v>
      </c>
      <c r="D108" s="169" t="s">
        <v>76</v>
      </c>
      <c r="E108" s="169" t="s">
        <v>64</v>
      </c>
      <c r="F108" s="169" t="s">
        <v>932</v>
      </c>
      <c r="H108" s="474"/>
      <c r="I108" s="474"/>
      <c r="J108" s="474"/>
      <c r="K108" s="474"/>
      <c r="L108" s="474"/>
      <c r="M108" s="474"/>
      <c r="N108" s="474"/>
      <c r="O108" s="474"/>
      <c r="P108" s="474"/>
      <c r="Q108" s="474"/>
      <c r="R108" s="474"/>
      <c r="S108" s="474"/>
      <c r="T108" s="474"/>
      <c r="U108" s="474"/>
      <c r="V108" s="474"/>
      <c r="W108" s="474"/>
      <c r="X108" s="474"/>
      <c r="Y108" s="474"/>
      <c r="Z108" s="474"/>
      <c r="AA108" s="474"/>
      <c r="AB108" s="474"/>
      <c r="AC108" s="474"/>
      <c r="AD108" s="474"/>
      <c r="AE108" s="474"/>
      <c r="AF108" s="474"/>
      <c r="AH108"/>
      <c r="AI108" s="429" t="s">
        <v>355</v>
      </c>
      <c r="AJ108" s="11">
        <f>SUM(AK108:BJ108)</f>
        <v>-2.1006370000001035E-4</v>
      </c>
      <c r="AK108" s="11">
        <f t="shared" ref="AK108:BJ108" si="97">AK34-AK70-AK83-AK96</f>
        <v>5.3309409999999962E-4</v>
      </c>
      <c r="AL108" s="11">
        <f>AL34-AL70-AL83-AL96</f>
        <v>1.4295247999999913E-3</v>
      </c>
      <c r="AM108" s="11">
        <f t="shared" si="97"/>
        <v>-9.4265600000000699E-5</v>
      </c>
      <c r="AN108" s="11">
        <f t="shared" si="97"/>
        <v>3.4379839999999946E-4</v>
      </c>
      <c r="AO108" s="11">
        <f t="shared" si="97"/>
        <v>4.2925299999999999E-4</v>
      </c>
      <c r="AP108" s="488">
        <f t="shared" si="97"/>
        <v>-4.7465330000000022E-4</v>
      </c>
      <c r="AQ108" s="11">
        <f t="shared" si="97"/>
        <v>3.938989999999992E-4</v>
      </c>
      <c r="AR108" s="11">
        <f t="shared" si="97"/>
        <v>-4.5776719999999962E-4</v>
      </c>
      <c r="AS108" s="11">
        <f t="shared" si="97"/>
        <v>-2.4544960000000022E-4</v>
      </c>
      <c r="AT108" s="11">
        <f t="shared" si="97"/>
        <v>-4.0213360000000069E-4</v>
      </c>
      <c r="AU108" s="11">
        <f t="shared" si="97"/>
        <v>1.5862000000001035E-6</v>
      </c>
      <c r="AV108" s="11">
        <f t="shared" si="97"/>
        <v>2.4956800000000036E-4</v>
      </c>
      <c r="AW108" s="11">
        <f t="shared" si="97"/>
        <v>-5.292935999999999E-4</v>
      </c>
      <c r="AX108" s="11">
        <f t="shared" si="97"/>
        <v>-3.7952639999999649E-4</v>
      </c>
      <c r="AY108" s="11">
        <f t="shared" si="97"/>
        <v>-1.6922399999999994E-4</v>
      </c>
      <c r="AZ108" s="11">
        <f t="shared" si="97"/>
        <v>2.2330000000000527E-5</v>
      </c>
      <c r="BA108" s="11">
        <f t="shared" si="97"/>
        <v>-2.1567920000000037E-4</v>
      </c>
      <c r="BB108" s="11">
        <f t="shared" si="97"/>
        <v>4.6625039999999979E-4</v>
      </c>
      <c r="BC108" s="11">
        <f t="shared" si="97"/>
        <v>-6.8136200000001694E-5</v>
      </c>
      <c r="BD108" s="11">
        <f t="shared" si="97"/>
        <v>-6.2040000000000012E-4</v>
      </c>
      <c r="BE108" s="11">
        <f t="shared" si="97"/>
        <v>-3.9117100000000027E-4</v>
      </c>
      <c r="BF108" s="11">
        <f t="shared" si="97"/>
        <v>-2.1443950000000014E-4</v>
      </c>
      <c r="BG108" s="11">
        <f t="shared" si="97"/>
        <v>6.512E-5</v>
      </c>
      <c r="BH108" s="11">
        <f t="shared" si="97"/>
        <v>2.3598079999999984E-4</v>
      </c>
      <c r="BI108" s="11">
        <f t="shared" si="97"/>
        <v>6.1212799999999998E-5</v>
      </c>
      <c r="BJ108" s="11">
        <f t="shared" si="97"/>
        <v>-1.795420000000002E-4</v>
      </c>
    </row>
    <row r="109" spans="1:62" s="429" customFormat="1">
      <c r="A109" s="548"/>
      <c r="B109" s="548" t="str">
        <f>_xlfn.TEXTJOIN(",",TRUE,Regions!$C$3:'Regions'!$AD$3)</f>
        <v>IE,IE-CW,IE-D,IE-KE,IE-KK,IE-LS,IE-LD,IE-LH,IE-MH,IE-OY,IE-WH,IE-WX,IE-WW,IE-CE,IE-CO,IE-KY,IE-LK,IE-TA,IE-WD,IE-G,IE-LM,IE-MO,IE-RN,IE-SO,IE-CN,IE-DL,IE-MN</v>
      </c>
      <c r="C109" s="201" t="str">
        <f>C97</f>
        <v>T-CAR-PHEV_GSL00</v>
      </c>
      <c r="D109" s="429" t="str">
        <f>D97</f>
        <v>TRAELC</v>
      </c>
      <c r="E109" s="201" t="s">
        <v>956</v>
      </c>
      <c r="F109" s="429">
        <v>5</v>
      </c>
      <c r="H109" s="474"/>
      <c r="I109" s="474"/>
      <c r="J109" s="474"/>
      <c r="K109" s="474"/>
      <c r="L109" s="474"/>
      <c r="M109" s="474"/>
      <c r="N109" s="474"/>
      <c r="O109" s="474"/>
      <c r="P109" s="474"/>
      <c r="Q109" s="474"/>
      <c r="R109" s="474"/>
      <c r="S109" s="474"/>
      <c r="T109" s="474"/>
      <c r="U109" s="474"/>
      <c r="V109" s="474"/>
      <c r="W109" s="474"/>
      <c r="X109" s="474"/>
      <c r="Y109" s="474"/>
      <c r="Z109" s="474"/>
      <c r="AA109" s="474"/>
      <c r="AB109" s="474"/>
      <c r="AC109" s="474"/>
      <c r="AD109" s="474"/>
      <c r="AE109" s="474"/>
      <c r="AF109" s="474"/>
      <c r="AG109" s="201"/>
      <c r="AH109"/>
      <c r="AI109" s="429" t="s">
        <v>354</v>
      </c>
      <c r="AJ109" s="11">
        <f t="shared" ref="AJ109:AJ113" si="98">SUM(AK109:BJ109)</f>
        <v>0.12345540428824375</v>
      </c>
      <c r="AK109" s="11">
        <f t="shared" ref="AK109:BJ109" si="99">AK35-AK71-AK84-AK97</f>
        <v>3.8998346384927496E-4</v>
      </c>
      <c r="AL109" s="11">
        <f t="shared" si="99"/>
        <v>-0.27613494420699514</v>
      </c>
      <c r="AM109" s="11">
        <f t="shared" si="99"/>
        <v>-1.8982995394005719E-2</v>
      </c>
      <c r="AN109" s="11">
        <f t="shared" si="99"/>
        <v>3.5205306947200032E-2</v>
      </c>
      <c r="AO109" s="11">
        <f t="shared" si="99"/>
        <v>2.7368653688593092E-3</v>
      </c>
      <c r="AP109" s="11">
        <f t="shared" si="99"/>
        <v>2.2192535981343048E-2</v>
      </c>
      <c r="AQ109" s="11">
        <f t="shared" si="99"/>
        <v>-1.0564990289604781E-2</v>
      </c>
      <c r="AR109" s="11">
        <f t="shared" si="99"/>
        <v>-1.8210606392831008E-2</v>
      </c>
      <c r="AS109" s="11">
        <f t="shared" si="99"/>
        <v>-2.2999805227897907E-3</v>
      </c>
      <c r="AT109" s="11">
        <f t="shared" si="99"/>
        <v>3.993358396776836E-3</v>
      </c>
      <c r="AU109" s="11">
        <f t="shared" si="99"/>
        <v>-3.8043652971792019E-3</v>
      </c>
      <c r="AV109" s="11">
        <f t="shared" si="99"/>
        <v>-8.4899782482507069E-3</v>
      </c>
      <c r="AW109" s="11">
        <f t="shared" si="99"/>
        <v>4.7212466622714722E-4</v>
      </c>
      <c r="AX109" s="11">
        <f t="shared" si="99"/>
        <v>1.0604361489668701E-2</v>
      </c>
      <c r="AY109" s="11">
        <f t="shared" si="99"/>
        <v>2.7686395446515411E-2</v>
      </c>
      <c r="AZ109" s="11">
        <f t="shared" si="99"/>
        <v>-1.9529207384409997E-2</v>
      </c>
      <c r="BA109" s="11">
        <f t="shared" si="99"/>
        <v>-6.7388834005140952E-3</v>
      </c>
      <c r="BB109" s="11">
        <f t="shared" si="99"/>
        <v>3.0465651846757202E-3</v>
      </c>
      <c r="BC109" s="11">
        <f t="shared" si="99"/>
        <v>0.32724868525931194</v>
      </c>
      <c r="BD109" s="11">
        <f t="shared" si="99"/>
        <v>7.1862541035659921E-3</v>
      </c>
      <c r="BE109" s="11">
        <f t="shared" si="99"/>
        <v>8.3174957481649825E-3</v>
      </c>
      <c r="BF109" s="11">
        <f t="shared" si="99"/>
        <v>4.0246787026639863E-3</v>
      </c>
      <c r="BG109" s="11">
        <f t="shared" si="99"/>
        <v>8.8197873953682615E-4</v>
      </c>
      <c r="BH109" s="11">
        <f t="shared" si="99"/>
        <v>8.6282727963016281E-4</v>
      </c>
      <c r="BI109" s="11">
        <f t="shared" si="99"/>
        <v>1.5998362115630105E-3</v>
      </c>
      <c r="BJ109" s="11">
        <f t="shared" si="99"/>
        <v>3.1762102435271833E-2</v>
      </c>
    </row>
    <row r="110" spans="1:62" s="201" customFormat="1">
      <c r="A110" s="548"/>
      <c r="B110" s="548"/>
      <c r="C110" s="429"/>
      <c r="D110" s="429" t="str">
        <f>D109</f>
        <v>TRAELC</v>
      </c>
      <c r="E110" s="429" t="s">
        <v>957</v>
      </c>
      <c r="F110" s="429">
        <v>5</v>
      </c>
      <c r="H110" s="474"/>
      <c r="I110" s="474"/>
      <c r="J110" s="474"/>
      <c r="K110" s="474"/>
      <c r="L110" s="474"/>
      <c r="M110" s="474"/>
      <c r="N110" s="474"/>
      <c r="O110" s="474"/>
      <c r="P110" s="474"/>
      <c r="Q110" s="474"/>
      <c r="R110" s="474"/>
      <c r="S110" s="474"/>
      <c r="T110" s="474"/>
      <c r="U110" s="474"/>
      <c r="V110" s="474"/>
      <c r="W110" s="474"/>
      <c r="X110" s="474"/>
      <c r="Y110" s="474"/>
      <c r="Z110" s="474"/>
      <c r="AA110" s="474"/>
      <c r="AB110" s="474"/>
      <c r="AC110" s="474"/>
      <c r="AD110" s="474"/>
      <c r="AE110" s="474"/>
      <c r="AF110" s="474"/>
      <c r="AG110" s="429"/>
      <c r="AH110"/>
      <c r="AI110" s="429" t="s">
        <v>351</v>
      </c>
      <c r="AJ110" s="11">
        <f t="shared" si="98"/>
        <v>2.7904121704018336E-3</v>
      </c>
      <c r="AK110" s="11">
        <f t="shared" ref="AK110:BJ110" si="100">AK36-AK72-AK85-AK98</f>
        <v>1.1918590887485597E-3</v>
      </c>
      <c r="AL110" s="11">
        <f t="shared" si="100"/>
        <v>-7.8285844604120136E-6</v>
      </c>
      <c r="AM110" s="11">
        <f t="shared" si="100"/>
        <v>-1.5969446932317943E-4</v>
      </c>
      <c r="AN110" s="11">
        <f t="shared" si="100"/>
        <v>-5.1810100130308782E-5</v>
      </c>
      <c r="AO110" s="11">
        <f t="shared" si="100"/>
        <v>5.7187608060896202E-4</v>
      </c>
      <c r="AP110" s="11">
        <f t="shared" si="100"/>
        <v>-8.1217647245308095E-5</v>
      </c>
      <c r="AQ110" s="11">
        <f t="shared" si="100"/>
        <v>-7.558963058003753E-4</v>
      </c>
      <c r="AR110" s="11">
        <f t="shared" si="100"/>
        <v>6.6850769889666498E-4</v>
      </c>
      <c r="AS110" s="11">
        <f t="shared" si="100"/>
        <v>4.5266286792323539E-4</v>
      </c>
      <c r="AT110" s="11">
        <f t="shared" si="100"/>
        <v>-3.3710209944540128E-4</v>
      </c>
      <c r="AU110" s="11">
        <f t="shared" si="100"/>
        <v>-9.0229247642055477E-4</v>
      </c>
      <c r="AV110" s="11">
        <f t="shared" si="100"/>
        <v>-3.4298659289144599E-4</v>
      </c>
      <c r="AW110" s="11">
        <f t="shared" si="100"/>
        <v>-5.9711793155221675E-5</v>
      </c>
      <c r="AX110" s="11">
        <f t="shared" si="100"/>
        <v>-1.4366429752186646E-4</v>
      </c>
      <c r="AY110" s="11">
        <f t="shared" si="100"/>
        <v>1.6534471696013752E-4</v>
      </c>
      <c r="AZ110" s="11">
        <f t="shared" si="100"/>
        <v>-1.2589876711837696E-3</v>
      </c>
      <c r="BA110" s="11">
        <f t="shared" si="100"/>
        <v>3.478699466056721E-4</v>
      </c>
      <c r="BB110" s="11">
        <f t="shared" si="100"/>
        <v>1.163479537572793E-3</v>
      </c>
      <c r="BC110" s="11">
        <f t="shared" si="100"/>
        <v>9.4865971851556229E-4</v>
      </c>
      <c r="BD110" s="11">
        <f t="shared" si="100"/>
        <v>-3.0857782315191792E-4</v>
      </c>
      <c r="BE110" s="11">
        <f t="shared" si="100"/>
        <v>1.7778212501445758E-4</v>
      </c>
      <c r="BF110" s="11">
        <f t="shared" si="100"/>
        <v>1.885589242438656E-4</v>
      </c>
      <c r="BG110" s="11">
        <f t="shared" si="100"/>
        <v>9.4877460340283062E-4</v>
      </c>
      <c r="BH110" s="11">
        <f t="shared" si="100"/>
        <v>3.0956105874546018E-4</v>
      </c>
      <c r="BI110" s="11">
        <f t="shared" si="100"/>
        <v>-2.9761153845911641E-4</v>
      </c>
      <c r="BJ110" s="11">
        <f t="shared" si="100"/>
        <v>3.6285720235251047E-4</v>
      </c>
    </row>
    <row r="111" spans="1:62" s="201" customFormat="1">
      <c r="A111" s="548"/>
      <c r="B111" s="548" t="str">
        <f>_xlfn.TEXTJOIN(",",TRUE,Regions!$C$3:'Regions'!$AD$3)</f>
        <v>IE,IE-CW,IE-D,IE-KE,IE-KK,IE-LS,IE-LD,IE-LH,IE-MH,IE-OY,IE-WH,IE-WX,IE-WW,IE-CE,IE-CO,IE-KY,IE-LK,IE-TA,IE-WD,IE-G,IE-LM,IE-MO,IE-RN,IE-SO,IE-CN,IE-DL,IE-MN</v>
      </c>
      <c r="C111" s="429" t="str">
        <f>C99</f>
        <v>T-CAR-PHEV_DST00</v>
      </c>
      <c r="D111" s="429" t="str">
        <f>D99</f>
        <v>TRAELC</v>
      </c>
      <c r="E111" s="429" t="s">
        <v>956</v>
      </c>
      <c r="F111" s="429">
        <v>5</v>
      </c>
      <c r="H111" s="474"/>
      <c r="I111" s="474"/>
      <c r="J111" s="474"/>
      <c r="K111" s="474"/>
      <c r="L111" s="474"/>
      <c r="M111" s="474"/>
      <c r="N111" s="474"/>
      <c r="O111" s="474"/>
      <c r="P111" s="474"/>
      <c r="Q111" s="474"/>
      <c r="R111" s="474"/>
      <c r="S111" s="474"/>
      <c r="T111" s="474"/>
      <c r="U111" s="474"/>
      <c r="V111" s="474"/>
      <c r="W111" s="474"/>
      <c r="X111" s="474"/>
      <c r="Y111" s="474"/>
      <c r="Z111" s="474"/>
      <c r="AA111" s="474"/>
      <c r="AB111" s="474"/>
      <c r="AC111" s="474"/>
      <c r="AD111" s="474"/>
      <c r="AE111" s="474"/>
      <c r="AF111" s="474"/>
      <c r="AH111"/>
      <c r="AI111" s="429" t="s">
        <v>573</v>
      </c>
      <c r="AJ111" s="11">
        <f>SUM(AK111:BJ111)</f>
        <v>0.70332718656916882</v>
      </c>
      <c r="AK111" s="11">
        <f t="shared" ref="AK111:BJ111" si="101">AK37-AK73-AK86-AK99</f>
        <v>9.0883109999999878E-3</v>
      </c>
      <c r="AL111" s="11">
        <f t="shared" si="101"/>
        <v>-6.6439314999999777E-3</v>
      </c>
      <c r="AM111" s="11">
        <f t="shared" si="101"/>
        <v>-1.0555042250000007E-2</v>
      </c>
      <c r="AN111" s="11">
        <f t="shared" si="101"/>
        <v>-7.3324300000000286E-3</v>
      </c>
      <c r="AO111" s="11">
        <f t="shared" si="101"/>
        <v>1.3124417499999999E-2</v>
      </c>
      <c r="AP111" s="11">
        <f t="shared" si="101"/>
        <v>2.6711812500000084E-3</v>
      </c>
      <c r="AQ111" s="11">
        <f t="shared" si="101"/>
        <v>1.092670500000005E-2</v>
      </c>
      <c r="AR111" s="11">
        <f t="shared" si="101"/>
        <v>1.3492019999999938E-3</v>
      </c>
      <c r="AS111" s="11">
        <f t="shared" si="101"/>
        <v>-7.8562022499999995E-3</v>
      </c>
      <c r="AT111" s="11">
        <f t="shared" si="101"/>
        <v>4.7654800000000094E-3</v>
      </c>
      <c r="AU111" s="11">
        <f t="shared" si="101"/>
        <v>-5.3872705000000271E-3</v>
      </c>
      <c r="AV111" s="11">
        <f t="shared" si="101"/>
        <v>-4.100934250000049E-3</v>
      </c>
      <c r="AW111" s="11">
        <f t="shared" si="101"/>
        <v>9.7362614999999819E-3</v>
      </c>
      <c r="AX111" s="11">
        <f t="shared" si="101"/>
        <v>1.3690945000000565E-3</v>
      </c>
      <c r="AY111" s="11">
        <f t="shared" si="101"/>
        <v>9.3792320000000151E-3</v>
      </c>
      <c r="AZ111" s="11">
        <f t="shared" si="101"/>
        <v>-2.9164584999999965E-3</v>
      </c>
      <c r="BA111" s="11">
        <f t="shared" si="101"/>
        <v>-8.6951479999999581E-3</v>
      </c>
      <c r="BB111" s="11">
        <f t="shared" si="101"/>
        <v>-1.2026351500000004E-2</v>
      </c>
      <c r="BC111" s="11">
        <f t="shared" si="101"/>
        <v>-2.2233820000000515E-3</v>
      </c>
      <c r="BD111" s="11">
        <f t="shared" si="101"/>
        <v>5.3360950000000025E-3</v>
      </c>
      <c r="BE111" s="11">
        <f t="shared" si="101"/>
        <v>-5.8649630000000008E-3</v>
      </c>
      <c r="BF111" s="11">
        <f t="shared" si="101"/>
        <v>-3.2972500000000987E-4</v>
      </c>
      <c r="BG111" s="11">
        <f t="shared" si="101"/>
        <v>4.1979170000000163E-3</v>
      </c>
      <c r="BH111" s="11">
        <f t="shared" si="101"/>
        <v>0.16102028382015729</v>
      </c>
      <c r="BI111" s="11">
        <f t="shared" si="101"/>
        <v>0.54423985424901145</v>
      </c>
      <c r="BJ111" s="11">
        <f t="shared" si="101"/>
        <v>5.499050000003225E-5</v>
      </c>
    </row>
    <row r="112" spans="1:62" s="201" customFormat="1">
      <c r="A112" s="548"/>
      <c r="B112" s="548"/>
      <c r="C112" s="429"/>
      <c r="D112" s="429" t="str">
        <f>D111</f>
        <v>TRAELC</v>
      </c>
      <c r="E112" s="429" t="s">
        <v>957</v>
      </c>
      <c r="F112" s="429">
        <v>5</v>
      </c>
      <c r="H112" s="474"/>
      <c r="I112" s="474"/>
      <c r="J112" s="474"/>
      <c r="K112" s="474"/>
      <c r="L112" s="474"/>
      <c r="M112" s="474"/>
      <c r="N112" s="474"/>
      <c r="O112" s="474"/>
      <c r="P112" s="474"/>
      <c r="Q112" s="474"/>
      <c r="R112" s="474"/>
      <c r="S112" s="474"/>
      <c r="T112" s="474"/>
      <c r="U112" s="474"/>
      <c r="V112" s="474"/>
      <c r="W112" s="474"/>
      <c r="X112" s="474"/>
      <c r="Y112" s="474"/>
      <c r="Z112" s="474"/>
      <c r="AA112" s="474"/>
      <c r="AB112" s="474"/>
      <c r="AC112" s="474"/>
      <c r="AD112" s="474"/>
      <c r="AE112" s="474"/>
      <c r="AF112" s="474"/>
      <c r="AG112" s="429"/>
      <c r="AH112"/>
      <c r="AI112" s="429" t="s">
        <v>560</v>
      </c>
      <c r="AJ112" s="488">
        <f t="shared" si="98"/>
        <v>-2.8086984416308969E-6</v>
      </c>
      <c r="AK112" s="487">
        <f t="shared" ref="AK112:BJ112" si="102">AK38-AK74-AK87-AK100</f>
        <v>0</v>
      </c>
      <c r="AL112" s="487">
        <f t="shared" si="102"/>
        <v>-2.8086984416308969E-6</v>
      </c>
      <c r="AM112" s="487">
        <f t="shared" si="102"/>
        <v>0</v>
      </c>
      <c r="AN112" s="487">
        <f t="shared" si="102"/>
        <v>0</v>
      </c>
      <c r="AO112" s="487">
        <f t="shared" si="102"/>
        <v>0</v>
      </c>
      <c r="AP112" s="487">
        <f t="shared" si="102"/>
        <v>0</v>
      </c>
      <c r="AQ112" s="487">
        <f t="shared" si="102"/>
        <v>0</v>
      </c>
      <c r="AR112" s="487">
        <f t="shared" si="102"/>
        <v>0</v>
      </c>
      <c r="AS112" s="487">
        <f t="shared" si="102"/>
        <v>0</v>
      </c>
      <c r="AT112" s="487">
        <f t="shared" si="102"/>
        <v>0</v>
      </c>
      <c r="AU112" s="487">
        <f t="shared" si="102"/>
        <v>0</v>
      </c>
      <c r="AV112" s="487">
        <f t="shared" si="102"/>
        <v>0</v>
      </c>
      <c r="AW112" s="487">
        <f t="shared" si="102"/>
        <v>0</v>
      </c>
      <c r="AX112" s="487">
        <f t="shared" si="102"/>
        <v>0</v>
      </c>
      <c r="AY112" s="487">
        <f t="shared" si="102"/>
        <v>0</v>
      </c>
      <c r="AZ112" s="487">
        <f t="shared" si="102"/>
        <v>0</v>
      </c>
      <c r="BA112" s="487">
        <f t="shared" si="102"/>
        <v>0</v>
      </c>
      <c r="BB112" s="487">
        <f t="shared" si="102"/>
        <v>0</v>
      </c>
      <c r="BC112" s="487">
        <f t="shared" si="102"/>
        <v>0</v>
      </c>
      <c r="BD112" s="487">
        <f t="shared" si="102"/>
        <v>0</v>
      </c>
      <c r="BE112" s="487">
        <f t="shared" si="102"/>
        <v>0</v>
      </c>
      <c r="BF112" s="487">
        <f t="shared" si="102"/>
        <v>0</v>
      </c>
      <c r="BG112" s="487">
        <f t="shared" si="102"/>
        <v>0</v>
      </c>
      <c r="BH112" s="487">
        <f t="shared" si="102"/>
        <v>0</v>
      </c>
      <c r="BI112" s="487">
        <f t="shared" si="102"/>
        <v>0</v>
      </c>
      <c r="BJ112" s="487">
        <f t="shared" si="102"/>
        <v>0</v>
      </c>
    </row>
    <row r="113" spans="1:62" s="201" customFormat="1">
      <c r="A113" s="548"/>
      <c r="B113" s="548" t="str">
        <f>_xlfn.TEXTJOIN(",",TRUE,Regions!$C$3:'Regions'!$AD$3)</f>
        <v>IE,IE-CW,IE-D,IE-KE,IE-KK,IE-LS,IE-LD,IE-LH,IE-MH,IE-OY,IE-WH,IE-WX,IE-WW,IE-CE,IE-CO,IE-KY,IE-LK,IE-TA,IE-WD,IE-G,IE-LM,IE-MO,IE-RN,IE-SO,IE-CN,IE-DL,IE-MN</v>
      </c>
      <c r="C113" s="429" t="str">
        <f>C101</f>
        <v>T-CAR-ICE_DF00</v>
      </c>
      <c r="D113" s="429" t="str">
        <f>D101</f>
        <v>TRACNG</v>
      </c>
      <c r="E113" s="429" t="s">
        <v>956</v>
      </c>
      <c r="F113" s="429">
        <v>5</v>
      </c>
      <c r="H113" s="474"/>
      <c r="I113" s="474"/>
      <c r="J113" s="474"/>
      <c r="K113" s="474"/>
      <c r="L113" s="474"/>
      <c r="M113" s="474"/>
      <c r="N113" s="474"/>
      <c r="O113" s="474"/>
      <c r="P113" s="474"/>
      <c r="Q113" s="474"/>
      <c r="R113" s="474"/>
      <c r="S113" s="474"/>
      <c r="T113" s="474"/>
      <c r="U113" s="474"/>
      <c r="V113" s="474"/>
      <c r="W113" s="474"/>
      <c r="X113" s="474"/>
      <c r="Y113" s="474"/>
      <c r="Z113" s="474"/>
      <c r="AA113" s="474"/>
      <c r="AB113" s="474"/>
      <c r="AC113" s="474"/>
      <c r="AD113" s="474"/>
      <c r="AE113" s="474"/>
      <c r="AF113" s="474"/>
      <c r="AH113"/>
      <c r="AI113" s="429" t="s">
        <v>353</v>
      </c>
      <c r="AJ113" s="11">
        <f t="shared" si="98"/>
        <v>-0.36142894386926988</v>
      </c>
      <c r="AK113" s="11">
        <f t="shared" ref="AK113:BJ113" si="103">AK39-AK75-AK88-AK101</f>
        <v>-1.2008036635091493E-2</v>
      </c>
      <c r="AL113" s="11">
        <f t="shared" si="103"/>
        <v>0.35875501486640993</v>
      </c>
      <c r="AM113" s="11">
        <f t="shared" si="103"/>
        <v>-4.6930306039738599E-2</v>
      </c>
      <c r="AN113" s="11">
        <f t="shared" si="103"/>
        <v>-2.0929907457552865E-2</v>
      </c>
      <c r="AO113" s="11">
        <f t="shared" si="103"/>
        <v>-1.7864200781324117E-2</v>
      </c>
      <c r="AP113" s="11">
        <f t="shared" si="103"/>
        <v>-8.6208895065357748E-3</v>
      </c>
      <c r="AQ113" s="11">
        <f t="shared" si="103"/>
        <v>-2.7184075628418687E-2</v>
      </c>
      <c r="AR113" s="11">
        <f t="shared" si="103"/>
        <v>-4.1138472167757775E-2</v>
      </c>
      <c r="AS113" s="11">
        <f t="shared" si="103"/>
        <v>-1.6443450855553439E-2</v>
      </c>
      <c r="AT113" s="11">
        <f t="shared" si="103"/>
        <v>-1.8723273591250478E-2</v>
      </c>
      <c r="AU113" s="11">
        <f t="shared" si="103"/>
        <v>-3.1579204332873756E-2</v>
      </c>
      <c r="AV113" s="11">
        <f t="shared" si="103"/>
        <v>-3.0040128886266178E-2</v>
      </c>
      <c r="AW113" s="11">
        <f t="shared" si="103"/>
        <v>-2.5060754740245661E-2</v>
      </c>
      <c r="AX113" s="11">
        <f t="shared" si="103"/>
        <v>-0.11450113876236298</v>
      </c>
      <c r="AY113" s="11">
        <f t="shared" si="103"/>
        <v>-3.1154202684948007E-2</v>
      </c>
      <c r="AZ113" s="11">
        <f t="shared" si="103"/>
        <v>-4.110788892262169E-2</v>
      </c>
      <c r="BA113" s="11">
        <f t="shared" si="103"/>
        <v>-3.3652748353101128E-2</v>
      </c>
      <c r="BB113" s="11">
        <f t="shared" si="103"/>
        <v>-2.4503717840904757E-2</v>
      </c>
      <c r="BC113" s="11">
        <f t="shared" si="103"/>
        <v>-5.442931774710956E-2</v>
      </c>
      <c r="BD113" s="11">
        <f t="shared" si="103"/>
        <v>-6.7586862561454311E-3</v>
      </c>
      <c r="BE113" s="11">
        <f t="shared" si="103"/>
        <v>-2.7526397055010983E-2</v>
      </c>
      <c r="BF113" s="11">
        <f t="shared" si="103"/>
        <v>-1.3613551545270587E-2</v>
      </c>
      <c r="BG113" s="11">
        <f t="shared" si="103"/>
        <v>-1.3822572206855916E-2</v>
      </c>
      <c r="BH113" s="11">
        <f t="shared" si="103"/>
        <v>-1.606696056198147E-2</v>
      </c>
      <c r="BI113" s="11">
        <f t="shared" si="103"/>
        <v>-3.3576606618658834E-2</v>
      </c>
      <c r="BJ113" s="11">
        <f t="shared" si="103"/>
        <v>-1.2947469558099604E-2</v>
      </c>
    </row>
    <row r="114" spans="1:62" s="201" customFormat="1">
      <c r="A114" s="548"/>
      <c r="B114" s="548"/>
      <c r="C114" s="429"/>
      <c r="D114" s="429" t="str">
        <f>D113</f>
        <v>TRACNG</v>
      </c>
      <c r="E114" s="429" t="s">
        <v>957</v>
      </c>
      <c r="F114" s="429">
        <v>5</v>
      </c>
      <c r="H114" s="474"/>
      <c r="I114" s="474"/>
      <c r="J114" s="474"/>
      <c r="K114" s="474"/>
      <c r="L114" s="474"/>
      <c r="M114" s="474"/>
      <c r="N114" s="474"/>
      <c r="O114" s="474"/>
      <c r="P114" s="474"/>
      <c r="Q114" s="474"/>
      <c r="R114" s="474"/>
      <c r="S114" s="474"/>
      <c r="T114" s="474"/>
      <c r="U114" s="474"/>
      <c r="V114" s="474"/>
      <c r="W114" s="474"/>
      <c r="X114" s="474"/>
      <c r="Y114" s="474"/>
      <c r="Z114" s="474"/>
      <c r="AA114" s="474"/>
      <c r="AB114" s="474"/>
      <c r="AC114" s="474"/>
      <c r="AD114" s="474"/>
      <c r="AE114" s="474"/>
      <c r="AF114" s="474"/>
      <c r="AG114" s="429"/>
      <c r="AH114"/>
      <c r="AI114" s="480" t="s">
        <v>16</v>
      </c>
      <c r="AJ114" s="489">
        <f t="shared" ref="AJ114:BJ114" si="104">SUM(AJ108:AJ113)</f>
        <v>0.46793118676010287</v>
      </c>
      <c r="AK114" s="489">
        <f t="shared" si="104"/>
        <v>-8.0478898249367048E-4</v>
      </c>
      <c r="AL114" s="489">
        <f t="shared" si="104"/>
        <v>7.7395026676512768E-2</v>
      </c>
      <c r="AM114" s="489">
        <f t="shared" si="104"/>
        <v>-7.6722303753067503E-2</v>
      </c>
      <c r="AN114" s="489">
        <f t="shared" si="104"/>
        <v>7.2349577895168306E-3</v>
      </c>
      <c r="AO114" s="489">
        <f t="shared" si="104"/>
        <v>-1.0017888318558481E-3</v>
      </c>
      <c r="AP114" s="489">
        <f t="shared" si="104"/>
        <v>1.5686956777561975E-2</v>
      </c>
      <c r="AQ114" s="489">
        <f t="shared" si="104"/>
        <v>-2.7184358223823792E-2</v>
      </c>
      <c r="AR114" s="489">
        <f t="shared" si="104"/>
        <v>-5.7789136061692128E-2</v>
      </c>
      <c r="AS114" s="489">
        <f t="shared" si="104"/>
        <v>-2.6392420360419992E-2</v>
      </c>
      <c r="AT114" s="489">
        <f t="shared" si="104"/>
        <v>-1.0703670893919034E-2</v>
      </c>
      <c r="AU114" s="489">
        <f t="shared" si="104"/>
        <v>-4.1671546406473539E-2</v>
      </c>
      <c r="AV114" s="489">
        <f t="shared" si="104"/>
        <v>-4.2724459977408383E-2</v>
      </c>
      <c r="AW114" s="489">
        <f t="shared" si="104"/>
        <v>-1.5441373967173754E-2</v>
      </c>
      <c r="AX114" s="489">
        <f t="shared" si="104"/>
        <v>-0.10305087347021609</v>
      </c>
      <c r="AY114" s="489">
        <f t="shared" si="104"/>
        <v>5.907545478527558E-3</v>
      </c>
      <c r="AZ114" s="489">
        <f t="shared" si="104"/>
        <v>-6.4790212478215453E-2</v>
      </c>
      <c r="BA114" s="489">
        <f t="shared" si="104"/>
        <v>-4.8954589007009511E-2</v>
      </c>
      <c r="BB114" s="489">
        <f t="shared" si="104"/>
        <v>-3.1853774218656247E-2</v>
      </c>
      <c r="BC114" s="489">
        <f t="shared" si="104"/>
        <v>0.27147650903071785</v>
      </c>
      <c r="BD114" s="489">
        <f t="shared" si="104"/>
        <v>4.8346850242686444E-3</v>
      </c>
      <c r="BE114" s="489">
        <f t="shared" si="104"/>
        <v>-2.5287253181831545E-2</v>
      </c>
      <c r="BF114" s="489">
        <f t="shared" si="104"/>
        <v>-9.9444784183627451E-3</v>
      </c>
      <c r="BG114" s="489">
        <f t="shared" si="104"/>
        <v>-7.7287818639162429E-3</v>
      </c>
      <c r="BH114" s="489">
        <f t="shared" si="104"/>
        <v>0.14636169239655142</v>
      </c>
      <c r="BI114" s="489">
        <f t="shared" si="104"/>
        <v>0.5120266851034565</v>
      </c>
      <c r="BJ114" s="489">
        <f t="shared" si="104"/>
        <v>1.9052938579524774E-2</v>
      </c>
    </row>
    <row r="115" spans="1:62" s="201" customFormat="1">
      <c r="A115" s="548"/>
      <c r="B115" s="549" t="str">
        <f>_xlfn.TEXTJOIN(",",TRUE,Regions!$C$3:'Regions'!$AD$3)</f>
        <v>IE,IE-CW,IE-D,IE-KE,IE-KK,IE-LS,IE-LD,IE-LH,IE-MH,IE-OY,IE-WH,IE-WX,IE-WW,IE-CE,IE-CO,IE-KY,IE-LK,IE-TA,IE-WD,IE-G,IE-LM,IE-MO,IE-RN,IE-SO,IE-CN,IE-DL,IE-MN</v>
      </c>
      <c r="C115" s="2" t="str">
        <f>C103</f>
        <v>T-OTH_CON00</v>
      </c>
      <c r="D115" s="2" t="str">
        <f>D103</f>
        <v>TRACNG</v>
      </c>
      <c r="E115" s="2" t="s">
        <v>957</v>
      </c>
      <c r="F115" s="2">
        <v>5</v>
      </c>
      <c r="H115" s="474"/>
      <c r="I115" s="474"/>
      <c r="J115" s="474"/>
      <c r="K115" s="474"/>
      <c r="L115" s="474"/>
      <c r="M115" s="474"/>
      <c r="N115" s="474"/>
      <c r="O115" s="474"/>
      <c r="P115" s="474"/>
      <c r="Q115" s="474"/>
      <c r="R115" s="474"/>
      <c r="S115" s="474"/>
      <c r="T115" s="474"/>
      <c r="U115" s="474"/>
      <c r="V115" s="474"/>
      <c r="W115" s="474"/>
      <c r="X115" s="474"/>
      <c r="Y115" s="474"/>
      <c r="Z115" s="474"/>
      <c r="AA115" s="474"/>
      <c r="AB115" s="474"/>
      <c r="AC115" s="474"/>
      <c r="AD115" s="474"/>
      <c r="AE115" s="474"/>
      <c r="AF115" s="474"/>
      <c r="AH115"/>
      <c r="AI115" s="193"/>
    </row>
    <row r="116" spans="1:62" s="201" customFormat="1">
      <c r="A116" s="548"/>
      <c r="B116" s="549" t="str">
        <f>_xlfn.TEXTJOIN(",",TRUE,Regions!$C$3:'Regions'!$AD$3)</f>
        <v>IE,IE-CW,IE-D,IE-KE,IE-KK,IE-LS,IE-LD,IE-LH,IE-MH,IE-OY,IE-WH,IE-WX,IE-WW,IE-CE,IE-CO,IE-KY,IE-LK,IE-TA,IE-WD,IE-G,IE-LM,IE-MO,IE-RN,IE-SO,IE-CN,IE-DL,IE-MN</v>
      </c>
      <c r="C116" s="2" t="str">
        <f>C104</f>
        <v>T-OTH_CON00</v>
      </c>
      <c r="D116" s="2" t="e">
        <f>D104</f>
        <v>#REF!</v>
      </c>
      <c r="E116" s="2" t="s">
        <v>956</v>
      </c>
      <c r="F116" s="2">
        <v>5</v>
      </c>
      <c r="H116" s="474"/>
      <c r="I116" s="474"/>
      <c r="J116" s="474"/>
      <c r="K116" s="474"/>
      <c r="L116" s="474"/>
      <c r="M116" s="474"/>
      <c r="N116" s="474"/>
      <c r="O116" s="474"/>
      <c r="P116" s="474"/>
      <c r="Q116" s="474"/>
      <c r="R116" s="474"/>
      <c r="S116" s="474"/>
      <c r="T116" s="474"/>
      <c r="U116" s="474"/>
      <c r="V116" s="474"/>
      <c r="W116" s="474"/>
      <c r="X116" s="474"/>
      <c r="Y116" s="474"/>
      <c r="Z116" s="474"/>
      <c r="AA116" s="474"/>
      <c r="AB116" s="474"/>
      <c r="AC116" s="474"/>
      <c r="AD116" s="474"/>
      <c r="AE116" s="474"/>
      <c r="AF116" s="474"/>
      <c r="AH116"/>
      <c r="AI116" s="193"/>
      <c r="AJ116" s="429"/>
      <c r="AK116" s="429"/>
      <c r="AL116" s="429"/>
      <c r="AM116" s="429"/>
      <c r="AN116" s="429"/>
      <c r="AO116" s="429"/>
      <c r="AP116" s="429"/>
      <c r="AQ116" s="429"/>
      <c r="AR116" s="429"/>
      <c r="AS116" s="429"/>
      <c r="AT116" s="429"/>
      <c r="AU116" s="429"/>
      <c r="AV116" s="429"/>
      <c r="AW116" s="429"/>
      <c r="AX116" s="429"/>
      <c r="AY116" s="429"/>
      <c r="AZ116" s="429"/>
      <c r="BA116" s="429"/>
      <c r="BB116" s="429"/>
      <c r="BC116" s="429"/>
      <c r="BD116" s="429"/>
      <c r="BE116" s="429"/>
      <c r="BF116" s="429"/>
      <c r="BG116" s="429"/>
      <c r="BH116" s="429"/>
      <c r="BI116" s="429"/>
      <c r="BJ116" s="429"/>
    </row>
    <row r="117" spans="1:62" s="201" customFormat="1">
      <c r="A117" s="548"/>
      <c r="B117" s="200" t="str">
        <f>_xlfn.TEXTJOIN(",",TRUE,Regions!$C$3:'Regions'!$AD$3)</f>
        <v>IE,IE-CW,IE-D,IE-KE,IE-KK,IE-LS,IE-LD,IE-LH,IE-MH,IE-OY,IE-WH,IE-WX,IE-WW,IE-CE,IE-CO,IE-KY,IE-LK,IE-TA,IE-WD,IE-G,IE-LM,IE-MO,IE-RN,IE-SO,IE-CN,IE-DL,IE-MN</v>
      </c>
      <c r="C117" s="475" t="str">
        <f>C116</f>
        <v>T-OTH_CON00</v>
      </c>
      <c r="D117" s="200" t="e">
        <f>D105</f>
        <v>#REF!</v>
      </c>
      <c r="E117" s="112" t="s">
        <v>957</v>
      </c>
      <c r="F117" s="505">
        <v>5</v>
      </c>
      <c r="H117" s="474"/>
      <c r="I117" s="474"/>
      <c r="J117" s="474"/>
      <c r="K117" s="474"/>
      <c r="L117" s="474"/>
      <c r="M117" s="474"/>
      <c r="N117" s="474"/>
      <c r="O117" s="474"/>
      <c r="P117" s="474"/>
      <c r="Q117" s="474"/>
      <c r="R117" s="474"/>
      <c r="S117" s="474"/>
      <c r="T117" s="474"/>
      <c r="U117" s="474"/>
      <c r="V117" s="474"/>
      <c r="W117" s="474"/>
      <c r="X117" s="474"/>
      <c r="Y117" s="474"/>
      <c r="Z117" s="474"/>
      <c r="AA117" s="474"/>
      <c r="AB117" s="474"/>
      <c r="AC117" s="474"/>
      <c r="AD117" s="474"/>
      <c r="AE117" s="474"/>
      <c r="AF117" s="474"/>
      <c r="AH117"/>
      <c r="AI117" s="429" t="s">
        <v>1029</v>
      </c>
      <c r="AJ117" s="429"/>
      <c r="AK117" s="429"/>
      <c r="AL117" s="429"/>
      <c r="AM117" s="429"/>
      <c r="AN117" s="429"/>
      <c r="AO117" s="429"/>
      <c r="AP117" s="429"/>
      <c r="AQ117" s="429"/>
      <c r="AR117" s="429"/>
      <c r="AS117" s="429"/>
      <c r="AT117" s="429"/>
      <c r="AU117" s="429"/>
      <c r="AV117" s="429"/>
      <c r="AW117" s="429"/>
      <c r="AX117" s="429"/>
      <c r="AY117" s="429"/>
      <c r="AZ117" s="429"/>
      <c r="BA117" s="429"/>
      <c r="BB117" s="429"/>
      <c r="BC117" s="429"/>
      <c r="BD117" s="429"/>
      <c r="BE117" s="429"/>
      <c r="BF117" s="429"/>
      <c r="BG117" s="429"/>
      <c r="BH117" s="429"/>
      <c r="BI117" s="429"/>
      <c r="BJ117" s="429"/>
    </row>
    <row r="118" spans="1:62" s="201" customFormat="1">
      <c r="A118" s="548"/>
      <c r="B118" s="548"/>
      <c r="C118" s="86"/>
      <c r="D118" s="2"/>
      <c r="E118" s="424"/>
      <c r="F118" s="473"/>
      <c r="G118" s="474"/>
      <c r="H118" s="474"/>
      <c r="I118" s="474"/>
      <c r="J118" s="474"/>
      <c r="K118" s="474"/>
      <c r="L118" s="548"/>
      <c r="M118" s="474"/>
      <c r="N118" s="474"/>
      <c r="O118" s="474"/>
      <c r="P118" s="474"/>
      <c r="Q118" s="474"/>
      <c r="R118" s="474"/>
      <c r="S118" s="474"/>
      <c r="T118" s="474"/>
      <c r="U118" s="474"/>
      <c r="V118" s="474"/>
      <c r="W118" s="474"/>
      <c r="X118" s="474"/>
      <c r="Y118" s="474"/>
      <c r="Z118" s="474"/>
      <c r="AA118" s="474"/>
      <c r="AB118" s="474"/>
      <c r="AC118" s="474"/>
      <c r="AD118" s="474"/>
      <c r="AE118" s="474"/>
      <c r="AF118" s="474"/>
      <c r="AH118"/>
      <c r="AI118" s="431" t="s">
        <v>346</v>
      </c>
      <c r="AJ118" s="431" t="str">
        <f>AJ107</f>
        <v>IE</v>
      </c>
      <c r="AK118" s="431" t="str">
        <f t="shared" ref="AK118:BJ118" si="105">AK107</f>
        <v>IE-CW</v>
      </c>
      <c r="AL118" s="431" t="str">
        <f t="shared" si="105"/>
        <v>IE-D</v>
      </c>
      <c r="AM118" s="431" t="str">
        <f t="shared" si="105"/>
        <v>IE-KE</v>
      </c>
      <c r="AN118" s="431" t="str">
        <f t="shared" si="105"/>
        <v>IE-KK</v>
      </c>
      <c r="AO118" s="431" t="str">
        <f t="shared" si="105"/>
        <v>IE-LS</v>
      </c>
      <c r="AP118" s="431" t="str">
        <f t="shared" si="105"/>
        <v>IE-LD</v>
      </c>
      <c r="AQ118" s="431" t="str">
        <f t="shared" si="105"/>
        <v>IE-LH</v>
      </c>
      <c r="AR118" s="431" t="str">
        <f t="shared" si="105"/>
        <v>IE-MH</v>
      </c>
      <c r="AS118" s="431" t="str">
        <f t="shared" si="105"/>
        <v>IE-OY</v>
      </c>
      <c r="AT118" s="431" t="str">
        <f t="shared" si="105"/>
        <v>IE-WH</v>
      </c>
      <c r="AU118" s="431" t="str">
        <f t="shared" si="105"/>
        <v>IE-WX</v>
      </c>
      <c r="AV118" s="431" t="str">
        <f t="shared" si="105"/>
        <v>IE-WW</v>
      </c>
      <c r="AW118" s="431" t="str">
        <f t="shared" si="105"/>
        <v>IE-CE</v>
      </c>
      <c r="AX118" s="431" t="str">
        <f t="shared" si="105"/>
        <v>IE-CO</v>
      </c>
      <c r="AY118" s="431" t="str">
        <f t="shared" si="105"/>
        <v>IE-KY</v>
      </c>
      <c r="AZ118" s="431" t="str">
        <f t="shared" si="105"/>
        <v>IE-LK</v>
      </c>
      <c r="BA118" s="431" t="str">
        <f t="shared" si="105"/>
        <v>IE-TA</v>
      </c>
      <c r="BB118" s="431" t="str">
        <f t="shared" si="105"/>
        <v>IE-WD</v>
      </c>
      <c r="BC118" s="431" t="str">
        <f t="shared" si="105"/>
        <v>IE-G</v>
      </c>
      <c r="BD118" s="431" t="str">
        <f t="shared" si="105"/>
        <v>IE-LM</v>
      </c>
      <c r="BE118" s="431" t="str">
        <f t="shared" si="105"/>
        <v>IE-MO</v>
      </c>
      <c r="BF118" s="431" t="str">
        <f t="shared" si="105"/>
        <v>IE-RN</v>
      </c>
      <c r="BG118" s="431" t="str">
        <f t="shared" si="105"/>
        <v>IE-SO</v>
      </c>
      <c r="BH118" s="431" t="str">
        <f t="shared" si="105"/>
        <v>IE-CN</v>
      </c>
      <c r="BI118" s="431" t="str">
        <f t="shared" si="105"/>
        <v>IE-DL</v>
      </c>
      <c r="BJ118" s="431" t="str">
        <f t="shared" si="105"/>
        <v>IE-MN</v>
      </c>
    </row>
    <row r="119" spans="1:62" s="201" customFormat="1">
      <c r="A119" s="548"/>
      <c r="B119" s="548"/>
      <c r="C119" s="86"/>
      <c r="D119" s="2"/>
      <c r="E119" s="424"/>
      <c r="F119" s="473"/>
      <c r="G119" s="474"/>
      <c r="H119" s="474"/>
      <c r="I119" s="474"/>
      <c r="J119" s="474"/>
      <c r="K119" s="474"/>
      <c r="L119" s="548"/>
      <c r="M119" s="548"/>
      <c r="N119" s="548"/>
      <c r="O119" s="548"/>
      <c r="P119" s="548"/>
      <c r="Q119" s="548"/>
      <c r="R119" s="548"/>
      <c r="S119" s="548"/>
      <c r="T119" s="548"/>
      <c r="U119" s="548"/>
      <c r="V119" s="548"/>
      <c r="W119" s="548"/>
      <c r="X119" s="548"/>
      <c r="Y119" s="548"/>
      <c r="Z119" s="548"/>
      <c r="AA119" s="548"/>
      <c r="AB119" s="548"/>
      <c r="AC119" s="548"/>
      <c r="AD119" s="548"/>
      <c r="AE119" s="548"/>
      <c r="AF119" s="548"/>
      <c r="AG119" s="548"/>
      <c r="AH119"/>
      <c r="AI119" s="429"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548"/>
      <c r="B120" s="548"/>
      <c r="C120" s="86"/>
      <c r="D120" s="2"/>
      <c r="E120" s="424"/>
      <c r="F120" s="473"/>
      <c r="G120" s="474"/>
      <c r="H120" s="474"/>
      <c r="I120" s="474"/>
      <c r="J120" s="474"/>
      <c r="K120" s="474"/>
      <c r="L120" s="548"/>
      <c r="M120" s="548"/>
      <c r="N120" s="548"/>
      <c r="O120" s="548"/>
      <c r="P120" s="548"/>
      <c r="Q120" s="548"/>
      <c r="R120" s="548"/>
      <c r="S120" s="548"/>
      <c r="T120" s="548"/>
      <c r="U120" s="548"/>
      <c r="V120" s="548"/>
      <c r="W120" s="548"/>
      <c r="X120" s="548"/>
      <c r="Y120" s="548"/>
      <c r="Z120" s="548"/>
      <c r="AA120" s="548"/>
      <c r="AB120" s="548"/>
      <c r="AC120" s="548"/>
      <c r="AD120" s="548"/>
      <c r="AE120" s="548"/>
      <c r="AF120" s="548"/>
      <c r="AG120" s="548"/>
      <c r="AH120"/>
      <c r="AI120" s="429"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548"/>
      <c r="B121" s="548"/>
      <c r="C121" s="548"/>
      <c r="D121" s="548"/>
      <c r="E121" s="835" t="s">
        <v>75</v>
      </c>
      <c r="F121" s="474"/>
      <c r="G121" s="10"/>
      <c r="H121" s="10"/>
      <c r="I121" s="10"/>
      <c r="J121" s="474"/>
      <c r="K121" s="474"/>
      <c r="L121" s="548"/>
      <c r="M121" s="548"/>
      <c r="N121" s="548"/>
      <c r="O121" s="548"/>
      <c r="P121" s="548"/>
      <c r="Q121" s="548"/>
      <c r="R121" s="548"/>
      <c r="S121" s="548"/>
      <c r="T121" s="548"/>
      <c r="U121" s="548"/>
      <c r="V121" s="548"/>
      <c r="W121" s="548"/>
      <c r="X121" s="548"/>
      <c r="Y121" s="548"/>
      <c r="Z121" s="548"/>
      <c r="AA121" s="548"/>
      <c r="AB121" s="548"/>
      <c r="AC121" s="548"/>
      <c r="AD121" s="548"/>
      <c r="AE121" s="548"/>
      <c r="AF121" s="548"/>
      <c r="AG121" s="548"/>
      <c r="AH121"/>
      <c r="AI121" s="429"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169" t="s">
        <v>793</v>
      </c>
      <c r="C122" s="169" t="s">
        <v>69</v>
      </c>
      <c r="D122" s="169" t="s">
        <v>76</v>
      </c>
      <c r="E122" s="1001" t="s">
        <v>64</v>
      </c>
      <c r="F122" s="1001" t="s">
        <v>951</v>
      </c>
      <c r="G122" s="1001" t="s">
        <v>952</v>
      </c>
      <c r="H122" s="1001" t="s">
        <v>953</v>
      </c>
      <c r="I122" s="1001" t="s">
        <v>1023</v>
      </c>
      <c r="K122" s="474"/>
      <c r="L122" s="548"/>
      <c r="M122" s="548"/>
      <c r="N122" s="548"/>
      <c r="O122" s="548"/>
      <c r="P122" s="548"/>
      <c r="Q122" s="548"/>
      <c r="R122" s="548"/>
      <c r="S122" s="548"/>
      <c r="T122" s="548"/>
      <c r="U122" s="548"/>
      <c r="V122" s="548"/>
      <c r="W122" s="548"/>
      <c r="X122" s="548"/>
      <c r="Y122" s="548"/>
      <c r="Z122" s="548"/>
      <c r="AA122" s="548"/>
      <c r="AB122" s="548"/>
      <c r="AC122" s="548"/>
      <c r="AD122" s="548"/>
      <c r="AE122" s="548"/>
      <c r="AF122" s="548"/>
      <c r="AG122" s="548"/>
      <c r="AI122" s="429"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88" t="str">
        <f>_xlfn.TEXTJOIN(",",TRUE,Regions!$C$3:'Regions'!$AD$3)</f>
        <v>IE,IE-CW,IE-D,IE-KE,IE-KK,IE-LS,IE-LD,IE-LH,IE-MH,IE-OY,IE-WH,IE-WX,IE-WW,IE-CE,IE-CO,IE-KY,IE-LK,IE-TA,IE-WD,IE-G,IE-LM,IE-MO,IE-RN,IE-SO,IE-CN,IE-DL,IE-MN</v>
      </c>
      <c r="C123" s="989" t="str">
        <f>C6</f>
        <v>T-MOT-ICE_GSL00</v>
      </c>
      <c r="D123" s="989" t="str">
        <f>Commodities!C8</f>
        <v>TRAGSL</v>
      </c>
      <c r="E123" s="990" t="s">
        <v>956</v>
      </c>
      <c r="F123" s="991">
        <f>'EB2018'!P48/('EB2018'!P48+'EB2018'!AJ48)</f>
        <v>0.96784365458672328</v>
      </c>
      <c r="G123" s="991">
        <v>1</v>
      </c>
      <c r="H123" s="991">
        <v>1</v>
      </c>
      <c r="I123" s="988">
        <v>5</v>
      </c>
      <c r="K123" s="474"/>
      <c r="L123" s="548"/>
      <c r="M123" s="548"/>
      <c r="N123" s="548"/>
      <c r="O123" s="548"/>
      <c r="P123" s="548"/>
      <c r="Q123" s="548"/>
      <c r="R123" s="548"/>
      <c r="S123" s="548"/>
      <c r="T123" s="548"/>
      <c r="U123" s="548"/>
      <c r="V123" s="548"/>
      <c r="W123" s="548"/>
      <c r="X123" s="548"/>
      <c r="Y123" s="548"/>
      <c r="Z123" s="548"/>
      <c r="AA123" s="548"/>
      <c r="AB123" s="548"/>
      <c r="AC123" s="548"/>
      <c r="AD123" s="548"/>
      <c r="AE123" s="548"/>
      <c r="AF123" s="548"/>
      <c r="AG123" s="548"/>
      <c r="AI123" s="429" t="s">
        <v>560</v>
      </c>
      <c r="AJ123" s="38">
        <f>(1000*(AJ74+AJ87+AJ100)/(G24*AF!D20))</f>
        <v>78.020092029331138</v>
      </c>
      <c r="AK123" s="38">
        <f>AJ123</f>
        <v>78.020092029331138</v>
      </c>
      <c r="AL123" s="11">
        <f>1000*(AL74+AL87+AL100)/(I24*AF!F20)</f>
        <v>78.020092029331138</v>
      </c>
      <c r="AM123" s="38">
        <f>AL123</f>
        <v>78.020092029331138</v>
      </c>
      <c r="AN123" s="38">
        <f t="shared" ref="AN123:BJ123" si="106">AM123</f>
        <v>78.020092029331138</v>
      </c>
      <c r="AO123" s="38">
        <f t="shared" si="106"/>
        <v>78.020092029331138</v>
      </c>
      <c r="AP123" s="38">
        <f t="shared" si="106"/>
        <v>78.020092029331138</v>
      </c>
      <c r="AQ123" s="38">
        <f t="shared" si="106"/>
        <v>78.020092029331138</v>
      </c>
      <c r="AR123" s="38">
        <f t="shared" si="106"/>
        <v>78.020092029331138</v>
      </c>
      <c r="AS123" s="38">
        <f t="shared" si="106"/>
        <v>78.020092029331138</v>
      </c>
      <c r="AT123" s="38">
        <f t="shared" si="106"/>
        <v>78.020092029331138</v>
      </c>
      <c r="AU123" s="38">
        <f t="shared" si="106"/>
        <v>78.020092029331138</v>
      </c>
      <c r="AV123" s="38">
        <f t="shared" si="106"/>
        <v>78.020092029331138</v>
      </c>
      <c r="AW123" s="38">
        <f t="shared" si="106"/>
        <v>78.020092029331138</v>
      </c>
      <c r="AX123" s="38">
        <f t="shared" si="106"/>
        <v>78.020092029331138</v>
      </c>
      <c r="AY123" s="38">
        <f t="shared" si="106"/>
        <v>78.020092029331138</v>
      </c>
      <c r="AZ123" s="38">
        <f t="shared" si="106"/>
        <v>78.020092029331138</v>
      </c>
      <c r="BA123" s="38">
        <f t="shared" si="106"/>
        <v>78.020092029331138</v>
      </c>
      <c r="BB123" s="38">
        <f t="shared" si="106"/>
        <v>78.020092029331138</v>
      </c>
      <c r="BC123" s="38">
        <f t="shared" si="106"/>
        <v>78.020092029331138</v>
      </c>
      <c r="BD123" s="38">
        <f t="shared" si="106"/>
        <v>78.020092029331138</v>
      </c>
      <c r="BE123" s="38">
        <f t="shared" si="106"/>
        <v>78.020092029331138</v>
      </c>
      <c r="BF123" s="38">
        <f t="shared" si="106"/>
        <v>78.020092029331138</v>
      </c>
      <c r="BG123" s="38">
        <f t="shared" si="106"/>
        <v>78.020092029331138</v>
      </c>
      <c r="BH123" s="38">
        <f t="shared" si="106"/>
        <v>78.020092029331138</v>
      </c>
      <c r="BI123" s="38">
        <f t="shared" si="106"/>
        <v>78.020092029331138</v>
      </c>
      <c r="BJ123" s="38">
        <f t="shared" si="106"/>
        <v>78.020092029331138</v>
      </c>
    </row>
    <row r="124" spans="1:62">
      <c r="B124" s="988" t="str">
        <f>_xlfn.TEXTJOIN(",",TRUE,Regions!$C$3:'Regions'!$AD$3)</f>
        <v>IE,IE-CW,IE-D,IE-KE,IE-KK,IE-LS,IE-LD,IE-LH,IE-MH,IE-OY,IE-WH,IE-WX,IE-WW,IE-CE,IE-CO,IE-KY,IE-LK,IE-TA,IE-WD,IE-G,IE-LM,IE-MO,IE-RN,IE-SO,IE-CN,IE-DL,IE-MN</v>
      </c>
      <c r="C124" s="989" t="str">
        <f>C123</f>
        <v>T-MOT-ICE_GSL00</v>
      </c>
      <c r="D124" s="989" t="str">
        <f>Commodities!C8</f>
        <v>TRAGSL</v>
      </c>
      <c r="E124" s="990" t="s">
        <v>957</v>
      </c>
      <c r="F124" s="991">
        <f>F123</f>
        <v>0.96784365458672328</v>
      </c>
      <c r="G124" s="991">
        <v>0.95</v>
      </c>
      <c r="H124" s="991">
        <v>0.9</v>
      </c>
      <c r="I124" s="988">
        <v>5</v>
      </c>
      <c r="K124" s="474"/>
      <c r="L124" s="548"/>
      <c r="M124" s="548"/>
      <c r="N124" s="548"/>
      <c r="O124" s="548"/>
      <c r="P124" s="548"/>
      <c r="Q124" s="548"/>
      <c r="R124" s="548"/>
      <c r="S124" s="548"/>
      <c r="T124" s="548"/>
      <c r="U124" s="548"/>
      <c r="V124" s="548"/>
      <c r="W124" s="548"/>
      <c r="X124" s="548"/>
      <c r="Y124" s="548"/>
      <c r="Z124" s="548"/>
      <c r="AA124" s="548"/>
      <c r="AB124" s="548"/>
      <c r="AC124" s="548"/>
      <c r="AD124" s="548"/>
      <c r="AE124" s="548"/>
      <c r="AF124" s="548"/>
      <c r="AG124" s="548"/>
      <c r="AI124" s="200" t="s">
        <v>353</v>
      </c>
      <c r="AJ124" s="377">
        <f>1000*(AJ75+AJ88+AJ101)/(SUMPRODUCT(G25:G26,AF!D21:D22))</f>
        <v>120.81976698364331</v>
      </c>
      <c r="AK124" s="377">
        <f>1000*(AK75+AK88+AK101)/(SUMPRODUCT(H25:H26,AF!E21:E22))</f>
        <v>214.40168597621496</v>
      </c>
      <c r="AL124" s="377">
        <f>1000*(AL75+AL88+AL101)/(SUMPRODUCT(I25:I26,AF!F21:F22))</f>
        <v>57.365621078947562</v>
      </c>
      <c r="AM124" s="377">
        <f>1000*(AM75+AM88+AM101)/(SUMPRODUCT(J25:J26,AF!G21:G22))</f>
        <v>214.40168597621496</v>
      </c>
      <c r="AN124" s="377">
        <f>1000*(AN75+AN88+AN101)/(SUMPRODUCT(K25:K26,AF!H21:H22))</f>
        <v>214.40168597621502</v>
      </c>
      <c r="AO124" s="377">
        <f>1000*(AO75+AO88+AO101)/(SUMPRODUCT(L25:L26,AF!I21:I22))</f>
        <v>214.40168597621502</v>
      </c>
      <c r="AP124" s="377">
        <f>1000*(AP75+AP88+AP101)/(SUMPRODUCT(M25:M26,AF!J21:J22))</f>
        <v>214.40168597621496</v>
      </c>
      <c r="AQ124" s="377">
        <f>1000*(AQ75+AQ88+AQ101)/(SUMPRODUCT(N25:N26,AF!K21:K22))</f>
        <v>214.40168597621496</v>
      </c>
      <c r="AR124" s="377">
        <f>1000*(AR75+AR88+AR101)/(SUMPRODUCT(O25:O26,AF!L21:L22))</f>
        <v>214.40168597621496</v>
      </c>
      <c r="AS124" s="377">
        <f>1000*(AS75+AS88+AS101)/(SUMPRODUCT(P25:P26,AF!M21:M22))</f>
        <v>214.40168597621499</v>
      </c>
      <c r="AT124" s="377">
        <f>1000*(AT75+AT88+AT101)/(SUMPRODUCT(Q25:Q26,AF!N21:N22))</f>
        <v>214.40168597621499</v>
      </c>
      <c r="AU124" s="377">
        <f>1000*(AU75+AU88+AU101)/(SUMPRODUCT(R25:R26,AF!O21:O22))</f>
        <v>214.40168597621496</v>
      </c>
      <c r="AV124" s="377">
        <f>1000*(AV75+AV88+AV101)/(SUMPRODUCT(S25:S26,AF!P21:P22))</f>
        <v>214.40168597621496</v>
      </c>
      <c r="AW124" s="377">
        <f>1000*(AW75+AW88+AW101)/(SUMPRODUCT(T25:T26,AF!Q21:Q22))</f>
        <v>214.40168597621499</v>
      </c>
      <c r="AX124" s="377">
        <f>1000*(AX75+AX88+AX101)/(SUMPRODUCT(U25:U26,AF!R21:R22))</f>
        <v>214.40168597621499</v>
      </c>
      <c r="AY124" s="377">
        <f>1000*(AY75+AY88+AY101)/(SUMPRODUCT(V25:V26,AF!S21:S22))</f>
        <v>214.40168597621499</v>
      </c>
      <c r="AZ124" s="377">
        <f>1000*(AZ75+AZ88+AZ101)/(SUMPRODUCT(W25:W26,AF!T21:T22))</f>
        <v>214.40168597621499</v>
      </c>
      <c r="BA124" s="377">
        <f>1000*(BA75+BA88+BA101)/(SUMPRODUCT(X25:X26,AF!U21:U22))</f>
        <v>214.40168597621496</v>
      </c>
      <c r="BB124" s="377">
        <f>1000*(BB75+BB88+BB101)/(SUMPRODUCT(Y25:Y26,AF!V21:V22))</f>
        <v>214.40168597621496</v>
      </c>
      <c r="BC124" s="377">
        <f>1000*(BC75+BC88+BC101)/(SUMPRODUCT(Z25:Z26,AF!W21:W22))</f>
        <v>214.40168597621496</v>
      </c>
      <c r="BD124" s="377">
        <f>1000*(BD75+BD88+BD101)/(SUMPRODUCT(AA25:AA26,AF!X21:X22))</f>
        <v>214.40168597621494</v>
      </c>
      <c r="BE124" s="377">
        <f>1000*(BE75+BE88+BE101)/(SUMPRODUCT(AB25:AB26,AF!Y21:Y22))</f>
        <v>214.40168597621494</v>
      </c>
      <c r="BF124" s="377">
        <f>1000*(BF75+BF88+BF101)/(SUMPRODUCT(AC25:AC26,AF!Z21:Z22))</f>
        <v>214.40168597621494</v>
      </c>
      <c r="BG124" s="377">
        <f>1000*(BG75+BG88+BG101)/(SUMPRODUCT(AD25:AD26,AF!AA21:AA22))</f>
        <v>214.40168597621494</v>
      </c>
      <c r="BH124" s="377">
        <f>1000*(BH75+BH88+BH101)/(SUMPRODUCT(AE25:AE26,AF!AB21:AB22))</f>
        <v>214.40168597621491</v>
      </c>
      <c r="BI124" s="377">
        <f>1000*(BI75+BI88+BI101)/(SUMPRODUCT(AF25:AF26,AF!AC21:AC22))</f>
        <v>214.40168597621494</v>
      </c>
      <c r="BJ124" s="377">
        <f>1000*(BJ75+BJ88+BJ101)/(SUMPRODUCT(AG25:AG26,AF!AD21:AD22))</f>
        <v>214.40168597621502</v>
      </c>
    </row>
    <row r="125" spans="1:62">
      <c r="B125" s="995" t="str">
        <f>_xlfn.TEXTJOIN(",",TRUE,Regions!$C$3:'Regions'!$AD$3)</f>
        <v>IE,IE-CW,IE-D,IE-KE,IE-KK,IE-LS,IE-LD,IE-LH,IE-MH,IE-OY,IE-WH,IE-WX,IE-WW,IE-CE,IE-CO,IE-KY,IE-LK,IE-TA,IE-WD,IE-G,IE-LM,IE-MO,IE-RN,IE-SO,IE-CN,IE-DL,IE-MN</v>
      </c>
      <c r="C125" s="995" t="str">
        <f>C8</f>
        <v>T-CAR-ICE_GSL00</v>
      </c>
      <c r="D125" s="995" t="str">
        <f>Commodities!C8</f>
        <v>TRAGSL</v>
      </c>
      <c r="E125" s="996" t="s">
        <v>956</v>
      </c>
      <c r="F125" s="997">
        <f>'EB2018'!P48/('EB2018'!P48+'EB2018'!AJ48)</f>
        <v>0.96784365458672328</v>
      </c>
      <c r="G125" s="998">
        <v>1</v>
      </c>
      <c r="H125" s="998">
        <v>1</v>
      </c>
      <c r="I125" s="995">
        <v>5</v>
      </c>
      <c r="K125" s="474"/>
      <c r="L125" s="548"/>
      <c r="M125" s="548"/>
      <c r="N125" s="548"/>
      <c r="O125" s="548"/>
      <c r="P125" s="548"/>
      <c r="Q125" s="548"/>
      <c r="R125" s="548"/>
      <c r="S125" s="548"/>
      <c r="T125" s="548"/>
      <c r="U125" s="548"/>
      <c r="V125" s="548"/>
      <c r="W125" s="548"/>
      <c r="X125" s="548"/>
      <c r="Y125" s="548"/>
      <c r="Z125" s="548"/>
      <c r="AA125" s="548"/>
      <c r="AB125" s="548"/>
      <c r="AC125" s="548"/>
      <c r="AD125" s="548"/>
      <c r="AE125" s="548"/>
      <c r="AF125" s="548"/>
      <c r="AG125" s="548"/>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95" t="str">
        <f>_xlfn.TEXTJOIN(",",TRUE,Regions!$C$3:'Regions'!$AD$3)</f>
        <v>IE,IE-CW,IE-D,IE-KE,IE-KK,IE-LS,IE-LD,IE-LH,IE-MH,IE-OY,IE-WH,IE-WX,IE-WW,IE-CE,IE-CO,IE-KY,IE-LK,IE-TA,IE-WD,IE-G,IE-LM,IE-MO,IE-RN,IE-SO,IE-CN,IE-DL,IE-MN</v>
      </c>
      <c r="C126" s="995" t="str">
        <f>C8</f>
        <v>T-CAR-ICE_GSL00</v>
      </c>
      <c r="D126" s="995" t="str">
        <f>Commodities!C8</f>
        <v>TRAGSL</v>
      </c>
      <c r="E126" s="996" t="s">
        <v>957</v>
      </c>
      <c r="F126" s="998">
        <f>F125</f>
        <v>0.96784365458672328</v>
      </c>
      <c r="G126" s="998">
        <v>0.95</v>
      </c>
      <c r="H126" s="998">
        <v>0.9</v>
      </c>
      <c r="I126" s="995">
        <v>5</v>
      </c>
      <c r="K126" s="474"/>
      <c r="L126" s="548"/>
      <c r="M126" s="548"/>
      <c r="N126" s="548"/>
      <c r="O126" s="548"/>
      <c r="P126" s="548"/>
      <c r="Q126" s="548"/>
      <c r="R126" s="548"/>
      <c r="S126" s="548"/>
      <c r="T126" s="548"/>
      <c r="U126" s="548"/>
      <c r="V126" s="548"/>
      <c r="W126" s="548"/>
      <c r="X126" s="548"/>
      <c r="Y126" s="548"/>
      <c r="Z126" s="548"/>
      <c r="AA126" s="548"/>
      <c r="AB126" s="548"/>
      <c r="AC126" s="548"/>
      <c r="AD126" s="548"/>
      <c r="AE126" s="548"/>
      <c r="AF126" s="548"/>
      <c r="AG126" s="548"/>
      <c r="AM126" s="116"/>
    </row>
    <row r="127" spans="1:62">
      <c r="B127" s="988" t="str">
        <f>_xlfn.TEXTJOIN(",",TRUE,Regions!$C$3:'Regions'!$AD$3)</f>
        <v>IE,IE-CW,IE-D,IE-KE,IE-KK,IE-LS,IE-LD,IE-LH,IE-MH,IE-OY,IE-WH,IE-WX,IE-WW,IE-CE,IE-CO,IE-KY,IE-LK,IE-TA,IE-WD,IE-G,IE-LM,IE-MO,IE-RN,IE-SO,IE-CN,IE-DL,IE-MN</v>
      </c>
      <c r="C127" s="988" t="str">
        <f>C9</f>
        <v>T-CAR-ICE_DST00</v>
      </c>
      <c r="D127" s="988" t="str">
        <f>Commodities!C9</f>
        <v>TRADST</v>
      </c>
      <c r="E127" s="990" t="s">
        <v>956</v>
      </c>
      <c r="F127" s="992">
        <f>'EB2018'!U48/('EB2018'!U48+'EB2018'!AI48)</f>
        <v>0.95903634682608185</v>
      </c>
      <c r="G127" s="991">
        <v>1</v>
      </c>
      <c r="H127" s="991">
        <v>1</v>
      </c>
      <c r="I127" s="988">
        <v>5</v>
      </c>
      <c r="K127" s="474"/>
      <c r="L127" s="548"/>
      <c r="M127" s="548"/>
      <c r="N127" s="548"/>
      <c r="O127" s="548"/>
      <c r="P127" s="548"/>
      <c r="Q127" s="548"/>
      <c r="R127" s="548"/>
      <c r="S127" s="548"/>
      <c r="T127" s="548"/>
      <c r="U127" s="548"/>
      <c r="V127" s="548"/>
      <c r="W127" s="548"/>
      <c r="X127" s="548"/>
      <c r="Y127" s="548"/>
      <c r="Z127" s="548"/>
      <c r="AA127" s="548"/>
      <c r="AB127" s="548"/>
      <c r="AC127" s="548"/>
      <c r="AD127" s="548"/>
      <c r="AE127" s="548"/>
      <c r="AF127" s="548"/>
      <c r="AG127" s="548"/>
    </row>
    <row r="128" spans="1:62">
      <c r="B128" s="988" t="str">
        <f>_xlfn.TEXTJOIN(",",TRUE,Regions!$C$3:'Regions'!$AD$3)</f>
        <v>IE,IE-CW,IE-D,IE-KE,IE-KK,IE-LS,IE-LD,IE-LH,IE-MH,IE-OY,IE-WH,IE-WX,IE-WW,IE-CE,IE-CO,IE-KY,IE-LK,IE-TA,IE-WD,IE-G,IE-LM,IE-MO,IE-RN,IE-SO,IE-CN,IE-DL,IE-MN</v>
      </c>
      <c r="C128" s="988" t="str">
        <f>C9</f>
        <v>T-CAR-ICE_DST00</v>
      </c>
      <c r="D128" s="988" t="str">
        <f>Commodities!C9</f>
        <v>TRADST</v>
      </c>
      <c r="E128" s="990" t="s">
        <v>957</v>
      </c>
      <c r="F128" s="991">
        <f>F127</f>
        <v>0.95903634682608185</v>
      </c>
      <c r="G128" s="991">
        <v>0.95</v>
      </c>
      <c r="H128" s="991">
        <v>0.9</v>
      </c>
      <c r="I128" s="988">
        <v>5</v>
      </c>
      <c r="K128" s="474"/>
      <c r="L128" s="548"/>
      <c r="M128" s="548"/>
      <c r="N128" s="548"/>
      <c r="O128" s="548"/>
      <c r="P128" s="548"/>
      <c r="Q128" s="548"/>
      <c r="R128" s="548"/>
      <c r="S128" s="548"/>
      <c r="T128" s="548"/>
      <c r="U128" s="548"/>
      <c r="V128" s="548"/>
      <c r="W128" s="548"/>
      <c r="X128" s="548"/>
      <c r="Y128" s="548"/>
      <c r="Z128" s="548"/>
      <c r="AA128" s="548"/>
      <c r="AB128" s="548"/>
      <c r="AC128" s="548"/>
      <c r="AD128" s="548"/>
      <c r="AE128" s="548"/>
      <c r="AF128" s="548"/>
      <c r="AG128" s="548"/>
    </row>
    <row r="129" spans="2:34">
      <c r="B129" s="995" t="str">
        <f>_xlfn.TEXTJOIN(",",TRUE,Regions!$C$3:'Regions'!$AD$3)</f>
        <v>IE,IE-CW,IE-D,IE-KE,IE-KK,IE-LS,IE-LD,IE-LH,IE-MH,IE-OY,IE-WH,IE-WX,IE-WW,IE-CE,IE-CO,IE-KY,IE-LK,IE-TA,IE-WD,IE-G,IE-LM,IE-MO,IE-RN,IE-SO,IE-CN,IE-DL,IE-MN</v>
      </c>
      <c r="C129" s="995" t="str">
        <f>C10</f>
        <v>T-CAR-ICE_DF00</v>
      </c>
      <c r="D129" s="995" t="str">
        <f>Commodities!C13</f>
        <v>TRACNG</v>
      </c>
      <c r="E129" s="996" t="s">
        <v>956</v>
      </c>
      <c r="F129" s="997">
        <v>0.5</v>
      </c>
      <c r="G129" s="997">
        <v>0.5</v>
      </c>
      <c r="H129" s="997">
        <v>0.8</v>
      </c>
      <c r="I129" s="995">
        <v>5</v>
      </c>
      <c r="K129" s="474"/>
      <c r="L129" s="548"/>
      <c r="M129" s="548"/>
      <c r="N129" s="548"/>
      <c r="O129" s="548"/>
      <c r="P129" s="548"/>
      <c r="Q129" s="548"/>
      <c r="R129" s="548"/>
      <c r="S129" s="548"/>
      <c r="T129" s="548"/>
      <c r="U129" s="548"/>
      <c r="V129" s="548"/>
      <c r="W129" s="548"/>
      <c r="X129" s="548"/>
      <c r="Y129" s="548"/>
      <c r="Z129" s="548"/>
      <c r="AA129" s="548"/>
      <c r="AB129" s="548"/>
      <c r="AC129" s="548"/>
      <c r="AD129" s="548"/>
      <c r="AE129" s="548"/>
      <c r="AF129" s="548"/>
      <c r="AG129" s="548"/>
    </row>
    <row r="130" spans="2:34" s="201" customFormat="1">
      <c r="B130" s="995" t="str">
        <f>_xlfn.TEXTJOIN(",",TRUE,Regions!$C$3:'Regions'!$AD$3)</f>
        <v>IE,IE-CW,IE-D,IE-KE,IE-KK,IE-LS,IE-LD,IE-LH,IE-MH,IE-OY,IE-WH,IE-WX,IE-WW,IE-CE,IE-CO,IE-KY,IE-LK,IE-TA,IE-WD,IE-G,IE-LM,IE-MO,IE-RN,IE-SO,IE-CN,IE-DL,IE-MN</v>
      </c>
      <c r="C130" s="995" t="str">
        <f>C129</f>
        <v>T-CAR-ICE_DF00</v>
      </c>
      <c r="D130" s="995" t="str">
        <f>Commodities!C13</f>
        <v>TRACNG</v>
      </c>
      <c r="E130" s="996" t="s">
        <v>957</v>
      </c>
      <c r="F130" s="997">
        <v>0.4</v>
      </c>
      <c r="G130" s="997">
        <v>0.4</v>
      </c>
      <c r="H130" s="997">
        <v>0.4</v>
      </c>
      <c r="I130" s="995">
        <v>5</v>
      </c>
      <c r="K130" s="474"/>
      <c r="L130" s="548"/>
      <c r="M130" s="548"/>
      <c r="N130" s="548"/>
      <c r="O130" s="548"/>
      <c r="P130" s="548"/>
      <c r="Q130" s="548"/>
      <c r="R130" s="548"/>
      <c r="S130" s="548"/>
      <c r="T130" s="548"/>
      <c r="U130" s="548"/>
      <c r="V130" s="548"/>
      <c r="W130" s="548"/>
      <c r="X130" s="548"/>
      <c r="Y130" s="548"/>
      <c r="Z130" s="548"/>
      <c r="AA130" s="548"/>
      <c r="AB130" s="548"/>
      <c r="AC130" s="548"/>
      <c r="AD130" s="548"/>
      <c r="AE130" s="548"/>
      <c r="AF130" s="548"/>
      <c r="AG130" s="548"/>
      <c r="AH130"/>
    </row>
    <row r="131" spans="2:34">
      <c r="B131" s="988" t="str">
        <f>_xlfn.TEXTJOIN(",",TRUE,Regions!$C$3:'Regions'!$AD$3)</f>
        <v>IE,IE-CW,IE-D,IE-KE,IE-KK,IE-LS,IE-LD,IE-LH,IE-MH,IE-OY,IE-WH,IE-WX,IE-WW,IE-CE,IE-CO,IE-KY,IE-LK,IE-TA,IE-WD,IE-G,IE-LM,IE-MO,IE-RN,IE-SO,IE-CN,IE-DL,IE-MN</v>
      </c>
      <c r="C131" s="988" t="str">
        <f>C11</f>
        <v>T-CAR-ICE_E8500</v>
      </c>
      <c r="D131" s="988" t="str">
        <f>Commodities!C10</f>
        <v>TRAETH</v>
      </c>
      <c r="E131" s="990" t="s">
        <v>956</v>
      </c>
      <c r="F131" s="992">
        <v>0.85</v>
      </c>
      <c r="G131" s="992">
        <v>0.85</v>
      </c>
      <c r="H131" s="992">
        <v>0.85</v>
      </c>
      <c r="I131" s="988">
        <v>5</v>
      </c>
      <c r="K131" s="474"/>
      <c r="L131" s="548"/>
      <c r="M131" s="548"/>
      <c r="N131" s="548"/>
      <c r="O131" s="548"/>
      <c r="P131" s="548"/>
      <c r="Q131" s="548"/>
      <c r="R131" s="548"/>
      <c r="S131" s="548"/>
      <c r="T131" s="548"/>
      <c r="U131" s="548"/>
      <c r="V131" s="548"/>
      <c r="W131" s="548"/>
      <c r="X131" s="548"/>
      <c r="Y131" s="548"/>
      <c r="Z131" s="548"/>
      <c r="AA131" s="548"/>
      <c r="AB131" s="548"/>
      <c r="AC131" s="548"/>
      <c r="AD131" s="548"/>
      <c r="AE131" s="548"/>
      <c r="AF131" s="548"/>
      <c r="AG131" s="548"/>
    </row>
    <row r="132" spans="2:34">
      <c r="B132" s="988" t="str">
        <f>_xlfn.TEXTJOIN(",",TRUE,Regions!$C$3:'Regions'!$AD$3)</f>
        <v>IE,IE-CW,IE-D,IE-KE,IE-KK,IE-LS,IE-LD,IE-LH,IE-MH,IE-OY,IE-WH,IE-WX,IE-WW,IE-CE,IE-CO,IE-KY,IE-LK,IE-TA,IE-WD,IE-G,IE-LM,IE-MO,IE-RN,IE-SO,IE-CN,IE-DL,IE-MN</v>
      </c>
      <c r="C132" s="988" t="str">
        <f>C131</f>
        <v>T-CAR-ICE_E8500</v>
      </c>
      <c r="D132" s="988" t="str">
        <f>Commodities!C10</f>
        <v>TRAETH</v>
      </c>
      <c r="E132" s="990" t="s">
        <v>957</v>
      </c>
      <c r="F132" s="992">
        <v>0</v>
      </c>
      <c r="G132" s="992">
        <v>0</v>
      </c>
      <c r="H132" s="992">
        <v>0</v>
      </c>
      <c r="I132" s="988">
        <v>5</v>
      </c>
      <c r="K132" s="474"/>
      <c r="L132" s="548"/>
      <c r="M132" s="548"/>
      <c r="N132" s="548"/>
      <c r="O132" s="548"/>
      <c r="P132" s="548"/>
      <c r="Q132" s="548"/>
      <c r="R132" s="548"/>
      <c r="S132" s="548"/>
      <c r="T132" s="548"/>
      <c r="U132" s="548"/>
      <c r="V132" s="548"/>
      <c r="W132" s="548"/>
      <c r="X132" s="548"/>
      <c r="Y132" s="548"/>
      <c r="Z132" s="548"/>
      <c r="AA132" s="548"/>
      <c r="AB132" s="548"/>
      <c r="AC132" s="548"/>
      <c r="AD132" s="548"/>
      <c r="AE132" s="548"/>
      <c r="AF132" s="548"/>
      <c r="AG132" s="548"/>
    </row>
    <row r="133" spans="2:34">
      <c r="B133" s="995" t="str">
        <f>_xlfn.TEXTJOIN(",",TRUE,Regions!$C$3:'Regions'!$AD$3)</f>
        <v>IE,IE-CW,IE-D,IE-KE,IE-KK,IE-LS,IE-LD,IE-LH,IE-MH,IE-OY,IE-WH,IE-WX,IE-WW,IE-CE,IE-CO,IE-KY,IE-LK,IE-TA,IE-WD,IE-G,IE-LM,IE-MO,IE-RN,IE-SO,IE-CN,IE-DL,IE-MN</v>
      </c>
      <c r="C133" s="995" t="str">
        <f>C65</f>
        <v>T-CAR-HEV_GSL00</v>
      </c>
      <c r="D133" s="995" t="str">
        <f>Commodities!C8</f>
        <v>TRAGSL</v>
      </c>
      <c r="E133" s="996" t="s">
        <v>956</v>
      </c>
      <c r="F133" s="997">
        <f>F125</f>
        <v>0.96784365458672328</v>
      </c>
      <c r="G133" s="997">
        <f t="shared" ref="G133:H133" si="107">G125</f>
        <v>1</v>
      </c>
      <c r="H133" s="997">
        <f t="shared" si="107"/>
        <v>1</v>
      </c>
      <c r="I133" s="995">
        <v>5</v>
      </c>
      <c r="K133" s="474"/>
      <c r="L133" s="548"/>
      <c r="M133" s="548"/>
      <c r="N133" s="548"/>
      <c r="O133" s="548"/>
      <c r="P133" s="548"/>
      <c r="Q133" s="548"/>
      <c r="R133" s="548"/>
      <c r="S133" s="548"/>
      <c r="T133" s="548"/>
      <c r="U133" s="548"/>
      <c r="V133" s="548"/>
      <c r="W133" s="548"/>
      <c r="X133" s="548"/>
      <c r="Y133" s="548"/>
      <c r="Z133" s="548"/>
      <c r="AA133" s="548"/>
      <c r="AB133" s="548"/>
      <c r="AC133" s="548"/>
      <c r="AD133" s="548"/>
      <c r="AE133" s="548"/>
      <c r="AF133" s="548"/>
      <c r="AG133" s="548"/>
    </row>
    <row r="134" spans="2:34">
      <c r="B134" s="995" t="str">
        <f>_xlfn.TEXTJOIN(",",TRUE,Regions!$C$3:'Regions'!$AD$3)</f>
        <v>IE,IE-CW,IE-D,IE-KE,IE-KK,IE-LS,IE-LD,IE-LH,IE-MH,IE-OY,IE-WH,IE-WX,IE-WW,IE-CE,IE-CO,IE-KY,IE-LK,IE-TA,IE-WD,IE-G,IE-LM,IE-MO,IE-RN,IE-SO,IE-CN,IE-DL,IE-MN</v>
      </c>
      <c r="C134" s="995" t="str">
        <f>C133</f>
        <v>T-CAR-HEV_GSL00</v>
      </c>
      <c r="D134" s="995" t="str">
        <f>Commodities!C8</f>
        <v>TRAGSL</v>
      </c>
      <c r="E134" s="996" t="s">
        <v>957</v>
      </c>
      <c r="F134" s="997">
        <f>F126</f>
        <v>0.96784365458672328</v>
      </c>
      <c r="G134" s="997">
        <f t="shared" ref="G134:H134" si="108">G126</f>
        <v>0.95</v>
      </c>
      <c r="H134" s="997">
        <f t="shared" si="108"/>
        <v>0.9</v>
      </c>
      <c r="I134" s="995">
        <v>5</v>
      </c>
      <c r="K134" s="474"/>
      <c r="L134" s="548"/>
      <c r="M134" s="548"/>
      <c r="N134" s="548"/>
      <c r="O134" s="548"/>
      <c r="P134" s="548"/>
      <c r="Q134" s="548"/>
      <c r="R134" s="548"/>
      <c r="S134" s="548"/>
      <c r="T134" s="548"/>
      <c r="U134" s="548"/>
      <c r="V134" s="548"/>
      <c r="W134" s="548"/>
      <c r="X134" s="548"/>
      <c r="Y134" s="548"/>
      <c r="Z134" s="548"/>
      <c r="AA134" s="548"/>
      <c r="AB134" s="548"/>
      <c r="AC134" s="548"/>
      <c r="AD134" s="548"/>
      <c r="AE134" s="548"/>
      <c r="AF134" s="548"/>
      <c r="AG134" s="548"/>
    </row>
    <row r="135" spans="2:34">
      <c r="B135" s="988" t="str">
        <f>_xlfn.TEXTJOIN(",",TRUE,Regions!$C$3:'Regions'!$AD$3)</f>
        <v>IE,IE-CW,IE-D,IE-KE,IE-KK,IE-LS,IE-LD,IE-LH,IE-MH,IE-OY,IE-WH,IE-WX,IE-WW,IE-CE,IE-CO,IE-KY,IE-LK,IE-TA,IE-WD,IE-G,IE-LM,IE-MO,IE-RN,IE-SO,IE-CN,IE-DL,IE-MN</v>
      </c>
      <c r="C135" s="988" t="str">
        <f>C66</f>
        <v>T-CAR-HEV_DST00</v>
      </c>
      <c r="D135" s="988" t="str">
        <f>Commodities!C9</f>
        <v>TRADST</v>
      </c>
      <c r="E135" s="990" t="s">
        <v>956</v>
      </c>
      <c r="F135" s="992">
        <f>F127</f>
        <v>0.95903634682608185</v>
      </c>
      <c r="G135" s="992">
        <f t="shared" ref="G135:H135" si="109">G127</f>
        <v>1</v>
      </c>
      <c r="H135" s="992">
        <f t="shared" si="109"/>
        <v>1</v>
      </c>
      <c r="I135" s="988">
        <v>5</v>
      </c>
      <c r="K135" s="474"/>
      <c r="L135" s="548"/>
      <c r="M135" s="548"/>
      <c r="N135" s="548"/>
      <c r="O135" s="548"/>
      <c r="P135" s="548"/>
      <c r="Q135" s="548"/>
      <c r="R135" s="548"/>
      <c r="S135" s="548"/>
      <c r="T135" s="548"/>
      <c r="U135" s="548"/>
      <c r="V135" s="548"/>
      <c r="W135" s="548"/>
      <c r="X135" s="548"/>
      <c r="Y135" s="548"/>
      <c r="Z135" s="548"/>
      <c r="AA135" s="548"/>
      <c r="AB135" s="548"/>
      <c r="AC135" s="548"/>
      <c r="AD135" s="548"/>
      <c r="AE135" s="548"/>
      <c r="AF135" s="548"/>
      <c r="AG135" s="548"/>
    </row>
    <row r="136" spans="2:34">
      <c r="B136" s="988" t="str">
        <f>_xlfn.TEXTJOIN(",",TRUE,Regions!$C$3:'Regions'!$AD$3)</f>
        <v>IE,IE-CW,IE-D,IE-KE,IE-KK,IE-LS,IE-LD,IE-LH,IE-MH,IE-OY,IE-WH,IE-WX,IE-WW,IE-CE,IE-CO,IE-KY,IE-LK,IE-TA,IE-WD,IE-G,IE-LM,IE-MO,IE-RN,IE-SO,IE-CN,IE-DL,IE-MN</v>
      </c>
      <c r="C136" s="988" t="str">
        <f>C135</f>
        <v>T-CAR-HEV_DST00</v>
      </c>
      <c r="D136" s="988" t="str">
        <f>Commodities!C9</f>
        <v>TRADST</v>
      </c>
      <c r="E136" s="990" t="s">
        <v>957</v>
      </c>
      <c r="F136" s="992">
        <f>F128</f>
        <v>0.95903634682608185</v>
      </c>
      <c r="G136" s="992">
        <f t="shared" ref="G136:H136" si="110">G128</f>
        <v>0.95</v>
      </c>
      <c r="H136" s="992">
        <f t="shared" si="110"/>
        <v>0.9</v>
      </c>
      <c r="I136" s="988">
        <v>5</v>
      </c>
      <c r="K136" s="474"/>
      <c r="L136" s="548"/>
      <c r="M136" s="548"/>
      <c r="N136" s="548"/>
      <c r="O136" s="548"/>
      <c r="P136" s="548"/>
      <c r="Q136" s="548"/>
      <c r="R136" s="548"/>
      <c r="S136" s="548"/>
      <c r="T136" s="548"/>
      <c r="U136" s="548"/>
      <c r="V136" s="548"/>
      <c r="W136" s="548"/>
      <c r="X136" s="548"/>
      <c r="Y136" s="548"/>
      <c r="Z136" s="548"/>
      <c r="AA136" s="548"/>
      <c r="AB136" s="548"/>
      <c r="AC136" s="548"/>
      <c r="AD136" s="548"/>
      <c r="AE136" s="548"/>
      <c r="AF136" s="548"/>
      <c r="AG136" s="548"/>
    </row>
    <row r="137" spans="2:34">
      <c r="B137" s="995" t="str">
        <f>_xlfn.TEXTJOIN(",",TRUE,Regions!$C$3:'Regions'!$AD$3)</f>
        <v>IE,IE-CW,IE-D,IE-KE,IE-KK,IE-LS,IE-LD,IE-LH,IE-MH,IE-OY,IE-WH,IE-WX,IE-WW,IE-CE,IE-CO,IE-KY,IE-LK,IE-TA,IE-WD,IE-G,IE-LM,IE-MO,IE-RN,IE-SO,IE-CN,IE-DL,IE-MN</v>
      </c>
      <c r="C137" s="995" t="str">
        <f>C67</f>
        <v>T-CAR-PHEV_GSL00</v>
      </c>
      <c r="D137" s="995" t="str">
        <f>Commodities!C15</f>
        <v>TRAELC</v>
      </c>
      <c r="E137" s="996" t="s">
        <v>956</v>
      </c>
      <c r="F137" s="997">
        <v>0.5</v>
      </c>
      <c r="G137" s="997">
        <v>0.6</v>
      </c>
      <c r="H137" s="997">
        <v>0.8</v>
      </c>
      <c r="I137" s="995">
        <v>5</v>
      </c>
      <c r="K137" s="474"/>
      <c r="L137" s="548"/>
      <c r="M137" s="548"/>
      <c r="N137" s="548"/>
      <c r="O137" s="548"/>
      <c r="P137" s="548"/>
      <c r="Q137" s="548"/>
      <c r="R137" s="548"/>
      <c r="S137" s="548"/>
      <c r="T137" s="548"/>
      <c r="U137" s="548"/>
      <c r="V137" s="548"/>
      <c r="W137" s="548"/>
      <c r="X137" s="548"/>
      <c r="Y137" s="548"/>
      <c r="Z137" s="548"/>
      <c r="AA137" s="548"/>
      <c r="AB137" s="548"/>
      <c r="AC137" s="548"/>
      <c r="AD137" s="548"/>
      <c r="AE137" s="548"/>
      <c r="AF137" s="548"/>
      <c r="AG137" s="548"/>
      <c r="AH137" s="193"/>
    </row>
    <row r="138" spans="2:34">
      <c r="B138" s="995" t="str">
        <f>_xlfn.TEXTJOIN(",",TRUE,Regions!$C$3:'Regions'!$AD$3)</f>
        <v>IE,IE-CW,IE-D,IE-KE,IE-KK,IE-LS,IE-LD,IE-LH,IE-MH,IE-OY,IE-WH,IE-WX,IE-WW,IE-CE,IE-CO,IE-KY,IE-LK,IE-TA,IE-WD,IE-G,IE-LM,IE-MO,IE-RN,IE-SO,IE-CN,IE-DL,IE-MN</v>
      </c>
      <c r="C138" s="995" t="str">
        <f>C137</f>
        <v>T-CAR-PHEV_GSL00</v>
      </c>
      <c r="D138" s="995" t="str">
        <f>Commodities!C15</f>
        <v>TRAELC</v>
      </c>
      <c r="E138" s="996" t="s">
        <v>957</v>
      </c>
      <c r="F138" s="997">
        <v>0.3</v>
      </c>
      <c r="G138" s="997">
        <v>0.3</v>
      </c>
      <c r="H138" s="997">
        <v>0.3</v>
      </c>
      <c r="I138" s="995">
        <v>5</v>
      </c>
      <c r="K138" s="474"/>
      <c r="L138" s="548"/>
      <c r="M138" s="548"/>
      <c r="N138" s="548"/>
      <c r="O138" s="548"/>
      <c r="P138" s="548"/>
      <c r="Q138" s="548"/>
      <c r="R138" s="548"/>
      <c r="S138" s="548"/>
      <c r="T138" s="548"/>
      <c r="U138" s="548"/>
      <c r="V138" s="548"/>
      <c r="W138" s="548"/>
      <c r="X138" s="548"/>
      <c r="Y138" s="548"/>
      <c r="Z138" s="548"/>
      <c r="AA138" s="548"/>
      <c r="AB138" s="548"/>
      <c r="AC138" s="548"/>
      <c r="AD138" s="548"/>
      <c r="AE138" s="548"/>
      <c r="AF138" s="548"/>
      <c r="AG138" s="548"/>
      <c r="AH138" s="193"/>
    </row>
    <row r="139" spans="2:34" s="201" customFormat="1">
      <c r="B139" s="988" t="str">
        <f>_xlfn.TEXTJOIN(",",TRUE,Regions!$C$3:'Regions'!$AD$3)</f>
        <v>IE,IE-CW,IE-D,IE-KE,IE-KK,IE-LS,IE-LD,IE-LH,IE-MH,IE-OY,IE-WH,IE-WX,IE-WW,IE-CE,IE-CO,IE-KY,IE-LK,IE-TA,IE-WD,IE-G,IE-LM,IE-MO,IE-RN,IE-SO,IE-CN,IE-DL,IE-MN</v>
      </c>
      <c r="C139" s="988" t="str">
        <f>C68</f>
        <v>T-CAR-PHEV_DST00</v>
      </c>
      <c r="D139" s="988" t="str">
        <f>Commodities!C15</f>
        <v>TRAELC</v>
      </c>
      <c r="E139" s="990" t="s">
        <v>956</v>
      </c>
      <c r="F139" s="992">
        <f>F137</f>
        <v>0.5</v>
      </c>
      <c r="G139" s="992">
        <f t="shared" ref="G139:H139" si="111">G137</f>
        <v>0.6</v>
      </c>
      <c r="H139" s="992">
        <f t="shared" si="111"/>
        <v>0.8</v>
      </c>
      <c r="I139" s="988">
        <v>5</v>
      </c>
      <c r="K139" s="474"/>
      <c r="L139" s="548"/>
      <c r="M139" s="548"/>
      <c r="N139" s="548"/>
      <c r="O139" s="548"/>
      <c r="P139" s="548"/>
      <c r="Q139" s="548"/>
      <c r="R139" s="548"/>
      <c r="S139" s="548"/>
      <c r="T139" s="548"/>
      <c r="U139" s="548"/>
      <c r="V139" s="548"/>
      <c r="W139" s="548"/>
      <c r="X139" s="548"/>
      <c r="Y139" s="548"/>
      <c r="Z139" s="548"/>
      <c r="AA139" s="548"/>
      <c r="AB139" s="548"/>
      <c r="AC139" s="548"/>
      <c r="AD139" s="548"/>
      <c r="AE139" s="548"/>
      <c r="AF139" s="548"/>
      <c r="AG139" s="548"/>
      <c r="AH139" s="193"/>
    </row>
    <row r="140" spans="2:34" s="201" customFormat="1">
      <c r="B140" s="988" t="str">
        <f>_xlfn.TEXTJOIN(",",TRUE,Regions!$C$3:'Regions'!$AD$3)</f>
        <v>IE,IE-CW,IE-D,IE-KE,IE-KK,IE-LS,IE-LD,IE-LH,IE-MH,IE-OY,IE-WH,IE-WX,IE-WW,IE-CE,IE-CO,IE-KY,IE-LK,IE-TA,IE-WD,IE-G,IE-LM,IE-MO,IE-RN,IE-SO,IE-CN,IE-DL,IE-MN</v>
      </c>
      <c r="C140" s="988" t="str">
        <f>C139</f>
        <v>T-CAR-PHEV_DST00</v>
      </c>
      <c r="D140" s="988" t="str">
        <f>Commodities!C15</f>
        <v>TRAELC</v>
      </c>
      <c r="E140" s="990" t="s">
        <v>957</v>
      </c>
      <c r="F140" s="992">
        <f>F138</f>
        <v>0.3</v>
      </c>
      <c r="G140" s="992">
        <f t="shared" ref="G140:H140" si="112">G138</f>
        <v>0.3</v>
      </c>
      <c r="H140" s="992">
        <f t="shared" si="112"/>
        <v>0.3</v>
      </c>
      <c r="I140" s="988">
        <v>5</v>
      </c>
      <c r="K140" s="474"/>
      <c r="L140" s="548"/>
      <c r="M140" s="548"/>
      <c r="N140" s="548"/>
      <c r="O140" s="548"/>
      <c r="P140" s="548"/>
      <c r="Q140" s="548"/>
      <c r="R140" s="548"/>
      <c r="S140" s="548"/>
      <c r="T140" s="548"/>
      <c r="U140" s="548"/>
      <c r="V140" s="548"/>
      <c r="W140" s="548"/>
      <c r="X140" s="548"/>
      <c r="Y140" s="548"/>
      <c r="Z140" s="548"/>
      <c r="AA140" s="548"/>
      <c r="AB140" s="548"/>
      <c r="AC140" s="548"/>
      <c r="AD140" s="548"/>
      <c r="AE140" s="548"/>
      <c r="AF140" s="548"/>
      <c r="AG140" s="548"/>
      <c r="AH140" s="193"/>
    </row>
    <row r="141" spans="2:34" s="548" customFormat="1">
      <c r="B141" s="995" t="str">
        <f>_xlfn.TEXTJOIN(",",TRUE,Regions!$C$3:'Regions'!$AD$3)</f>
        <v>IE,IE-CW,IE-D,IE-KE,IE-KK,IE-LS,IE-LD,IE-LH,IE-MH,IE-OY,IE-WH,IE-WX,IE-WW,IE-CE,IE-CO,IE-KY,IE-LK,IE-TA,IE-WD,IE-G,IE-LM,IE-MO,IE-RN,IE-SO,IE-CN,IE-DL,IE-MN</v>
      </c>
      <c r="C141" s="995" t="str">
        <f>C18</f>
        <v>T-TAX-ICE_GSL00</v>
      </c>
      <c r="D141" s="995" t="str">
        <f>Commodities!C8</f>
        <v>TRAGSL</v>
      </c>
      <c r="E141" s="996" t="s">
        <v>956</v>
      </c>
      <c r="F141" s="997">
        <f>F125</f>
        <v>0.96784365458672328</v>
      </c>
      <c r="G141" s="997">
        <f t="shared" ref="G141:H141" si="113">G125</f>
        <v>1</v>
      </c>
      <c r="H141" s="997">
        <f t="shared" si="113"/>
        <v>1</v>
      </c>
      <c r="I141" s="995">
        <v>5</v>
      </c>
      <c r="K141" s="474"/>
      <c r="AH141" s="193"/>
    </row>
    <row r="142" spans="2:34" s="548" customFormat="1">
      <c r="B142" s="995" t="str">
        <f>_xlfn.TEXTJOIN(",",TRUE,Regions!$C$3:'Regions'!$AD$3)</f>
        <v>IE,IE-CW,IE-D,IE-KE,IE-KK,IE-LS,IE-LD,IE-LH,IE-MH,IE-OY,IE-WH,IE-WX,IE-WW,IE-CE,IE-CO,IE-KY,IE-LK,IE-TA,IE-WD,IE-G,IE-LM,IE-MO,IE-RN,IE-SO,IE-CN,IE-DL,IE-MN</v>
      </c>
      <c r="C142" s="995" t="str">
        <f>C141</f>
        <v>T-TAX-ICE_GSL00</v>
      </c>
      <c r="D142" s="995" t="str">
        <f>Commodities!C8</f>
        <v>TRAGSL</v>
      </c>
      <c r="E142" s="996" t="s">
        <v>957</v>
      </c>
      <c r="F142" s="997">
        <f>F126</f>
        <v>0.96784365458672328</v>
      </c>
      <c r="G142" s="997">
        <f t="shared" ref="G142:H142" si="114">G126</f>
        <v>0.95</v>
      </c>
      <c r="H142" s="997">
        <f t="shared" si="114"/>
        <v>0.9</v>
      </c>
      <c r="I142" s="995">
        <v>5</v>
      </c>
      <c r="K142" s="474"/>
      <c r="AH142" s="193"/>
    </row>
    <row r="143" spans="2:34" s="548" customFormat="1">
      <c r="B143" s="988" t="str">
        <f>_xlfn.TEXTJOIN(",",TRUE,Regions!$C$3:'Regions'!$AD$3)</f>
        <v>IE,IE-CW,IE-D,IE-KE,IE-KK,IE-LS,IE-LD,IE-LH,IE-MH,IE-OY,IE-WH,IE-WX,IE-WW,IE-CE,IE-CO,IE-KY,IE-LK,IE-TA,IE-WD,IE-G,IE-LM,IE-MO,IE-RN,IE-SO,IE-CN,IE-DL,IE-MN</v>
      </c>
      <c r="C143" s="988" t="str">
        <f>C19</f>
        <v>T-TAX-ICE_DST00</v>
      </c>
      <c r="D143" s="988" t="str">
        <f>Commodities!C9</f>
        <v>TRADST</v>
      </c>
      <c r="E143" s="990" t="s">
        <v>956</v>
      </c>
      <c r="F143" s="992">
        <f>F127</f>
        <v>0.95903634682608185</v>
      </c>
      <c r="G143" s="992">
        <f t="shared" ref="G143:H143" si="115">G127</f>
        <v>1</v>
      </c>
      <c r="H143" s="992">
        <f t="shared" si="115"/>
        <v>1</v>
      </c>
      <c r="I143" s="988">
        <v>5</v>
      </c>
      <c r="K143" s="474"/>
      <c r="AH143" s="193"/>
    </row>
    <row r="144" spans="2:34" s="548" customFormat="1">
      <c r="B144" s="988" t="str">
        <f>_xlfn.TEXTJOIN(",",TRUE,Regions!$C$3:'Regions'!$AD$3)</f>
        <v>IE,IE-CW,IE-D,IE-KE,IE-KK,IE-LS,IE-LD,IE-LH,IE-MH,IE-OY,IE-WH,IE-WX,IE-WW,IE-CE,IE-CO,IE-KY,IE-LK,IE-TA,IE-WD,IE-G,IE-LM,IE-MO,IE-RN,IE-SO,IE-CN,IE-DL,IE-MN</v>
      </c>
      <c r="C144" s="988" t="str">
        <f>C143</f>
        <v>T-TAX-ICE_DST00</v>
      </c>
      <c r="D144" s="988" t="str">
        <f>Commodities!C9</f>
        <v>TRADST</v>
      </c>
      <c r="E144" s="990" t="s">
        <v>957</v>
      </c>
      <c r="F144" s="992">
        <f>F128</f>
        <v>0.95903634682608185</v>
      </c>
      <c r="G144" s="992">
        <f t="shared" ref="G144:H144" si="116">G128</f>
        <v>0.95</v>
      </c>
      <c r="H144" s="992">
        <f t="shared" si="116"/>
        <v>0.9</v>
      </c>
      <c r="I144" s="988">
        <v>5</v>
      </c>
      <c r="K144" s="474"/>
      <c r="AH144" s="193"/>
    </row>
    <row r="145" spans="2:34" s="548" customFormat="1">
      <c r="B145" s="995" t="str">
        <f>_xlfn.TEXTJOIN(",",TRUE,Regions!$C$3:'Regions'!$AD$3)</f>
        <v>IE,IE-CW,IE-D,IE-KE,IE-KK,IE-LS,IE-LD,IE-LH,IE-MH,IE-OY,IE-WH,IE-WX,IE-WW,IE-CE,IE-CO,IE-KY,IE-LK,IE-TA,IE-WD,IE-G,IE-LM,IE-MO,IE-RN,IE-SO,IE-CN,IE-DL,IE-MN</v>
      </c>
      <c r="C145" s="995" t="str">
        <f>C73</f>
        <v>T-TAX-HEV_GSL00</v>
      </c>
      <c r="D145" s="995" t="str">
        <f>Commodities!C8</f>
        <v>TRAGSL</v>
      </c>
      <c r="E145" s="996" t="s">
        <v>956</v>
      </c>
      <c r="F145" s="997">
        <f>F133</f>
        <v>0.96784365458672328</v>
      </c>
      <c r="G145" s="997">
        <f t="shared" ref="G145:H145" si="117">G133</f>
        <v>1</v>
      </c>
      <c r="H145" s="997">
        <f t="shared" si="117"/>
        <v>1</v>
      </c>
      <c r="I145" s="995">
        <v>5</v>
      </c>
      <c r="K145" s="474"/>
      <c r="AH145" s="193"/>
    </row>
    <row r="146" spans="2:34" s="548" customFormat="1">
      <c r="B146" s="995" t="str">
        <f>_xlfn.TEXTJOIN(",",TRUE,Regions!$C$3:'Regions'!$AD$3)</f>
        <v>IE,IE-CW,IE-D,IE-KE,IE-KK,IE-LS,IE-LD,IE-LH,IE-MH,IE-OY,IE-WH,IE-WX,IE-WW,IE-CE,IE-CO,IE-KY,IE-LK,IE-TA,IE-WD,IE-G,IE-LM,IE-MO,IE-RN,IE-SO,IE-CN,IE-DL,IE-MN</v>
      </c>
      <c r="C146" s="995" t="str">
        <f>C145</f>
        <v>T-TAX-HEV_GSL00</v>
      </c>
      <c r="D146" s="995" t="str">
        <f>Commodities!C8</f>
        <v>TRAGSL</v>
      </c>
      <c r="E146" s="996" t="s">
        <v>957</v>
      </c>
      <c r="F146" s="997">
        <f>F134</f>
        <v>0.96784365458672328</v>
      </c>
      <c r="G146" s="997">
        <f t="shared" ref="G146:H146" si="118">G134</f>
        <v>0.95</v>
      </c>
      <c r="H146" s="997">
        <f t="shared" si="118"/>
        <v>0.9</v>
      </c>
      <c r="I146" s="995">
        <v>5</v>
      </c>
      <c r="K146" s="474"/>
      <c r="AH146" s="193"/>
    </row>
    <row r="147" spans="2:34" s="548" customFormat="1">
      <c r="B147" s="988" t="str">
        <f>_xlfn.TEXTJOIN(",",TRUE,Regions!$C$3:'Regions'!$AD$3)</f>
        <v>IE,IE-CW,IE-D,IE-KE,IE-KK,IE-LS,IE-LD,IE-LH,IE-MH,IE-OY,IE-WH,IE-WX,IE-WW,IE-CE,IE-CO,IE-KY,IE-LK,IE-TA,IE-WD,IE-G,IE-LM,IE-MO,IE-RN,IE-SO,IE-CN,IE-DL,IE-MN</v>
      </c>
      <c r="C147" s="988" t="str">
        <f>C22</f>
        <v>T-BUS-ICE_DST00</v>
      </c>
      <c r="D147" s="988" t="str">
        <f>Commodities!C9</f>
        <v>TRADST</v>
      </c>
      <c r="E147" s="990" t="s">
        <v>956</v>
      </c>
      <c r="F147" s="992">
        <f>'EB2018'!U49/('EB2018'!U49+'EB2018'!AI49)</f>
        <v>0.95903634682608185</v>
      </c>
      <c r="G147" s="992">
        <v>1</v>
      </c>
      <c r="H147" s="992">
        <v>1</v>
      </c>
      <c r="I147" s="988">
        <v>5</v>
      </c>
      <c r="K147" s="474"/>
      <c r="AH147" s="193"/>
    </row>
    <row r="148" spans="2:34" s="548" customFormat="1">
      <c r="B148" s="988" t="str">
        <f>_xlfn.TEXTJOIN(",",TRUE,Regions!$C$3:'Regions'!$AD$3)</f>
        <v>IE,IE-CW,IE-D,IE-KE,IE-KK,IE-LS,IE-LD,IE-LH,IE-MH,IE-OY,IE-WH,IE-WX,IE-WW,IE-CE,IE-CO,IE-KY,IE-LK,IE-TA,IE-WD,IE-G,IE-LM,IE-MO,IE-RN,IE-SO,IE-CN,IE-DL,IE-MN</v>
      </c>
      <c r="C148" s="993" t="str">
        <f>C147</f>
        <v>T-BUS-ICE_DST00</v>
      </c>
      <c r="D148" s="993" t="str">
        <f>Commodities!C9</f>
        <v>TRADST</v>
      </c>
      <c r="E148" s="990" t="s">
        <v>957</v>
      </c>
      <c r="F148" s="992">
        <f>F147</f>
        <v>0.95903634682608185</v>
      </c>
      <c r="G148" s="992">
        <v>0.95</v>
      </c>
      <c r="H148" s="992">
        <v>0.9</v>
      </c>
      <c r="I148" s="988">
        <v>5</v>
      </c>
      <c r="K148" s="474"/>
      <c r="AH148" s="193"/>
    </row>
    <row r="149" spans="2:34" s="548" customFormat="1">
      <c r="B149" s="995" t="str">
        <f>_xlfn.TEXTJOIN(",",TRUE,Regions!$C$3:'Regions'!$AD$3)</f>
        <v>IE,IE-CW,IE-D,IE-KE,IE-KK,IE-LS,IE-LD,IE-LH,IE-MH,IE-OY,IE-WH,IE-WX,IE-WW,IE-CE,IE-CO,IE-KY,IE-LK,IE-TA,IE-WD,IE-G,IE-LM,IE-MO,IE-RN,IE-SO,IE-CN,IE-DL,IE-MN</v>
      </c>
      <c r="C149" s="995" t="str">
        <f>C26</f>
        <v>T-HPT-ICE_DST00</v>
      </c>
      <c r="D149" s="995" t="str">
        <f>Commodities!C9</f>
        <v>TRADST</v>
      </c>
      <c r="E149" s="996" t="s">
        <v>956</v>
      </c>
      <c r="F149" s="997">
        <f>'EB2018'!U50/('EB2018'!U50+'EB2018'!AI50)</f>
        <v>1</v>
      </c>
      <c r="G149" s="997">
        <f>F149</f>
        <v>1</v>
      </c>
      <c r="H149" s="997">
        <v>1</v>
      </c>
      <c r="I149" s="995">
        <v>5</v>
      </c>
      <c r="K149" s="474"/>
      <c r="AH149" s="193"/>
    </row>
    <row r="150" spans="2:34" s="548" customFormat="1">
      <c r="B150" s="995" t="str">
        <f>_xlfn.TEXTJOIN(",",TRUE,Regions!$C$3:'Regions'!$AD$3)</f>
        <v>IE,IE-CW,IE-D,IE-KE,IE-KK,IE-LS,IE-LD,IE-LH,IE-MH,IE-OY,IE-WH,IE-WX,IE-WW,IE-CE,IE-CO,IE-KY,IE-LK,IE-TA,IE-WD,IE-G,IE-LM,IE-MO,IE-RN,IE-SO,IE-CN,IE-DL,IE-MN</v>
      </c>
      <c r="C150" s="999" t="str">
        <f>C149</f>
        <v>T-HPT-ICE_DST00</v>
      </c>
      <c r="D150" s="999" t="str">
        <f>Commodities!C9</f>
        <v>TRADST</v>
      </c>
      <c r="E150" s="996" t="s">
        <v>957</v>
      </c>
      <c r="F150" s="997">
        <f>F149</f>
        <v>1</v>
      </c>
      <c r="G150" s="997">
        <f>G149</f>
        <v>1</v>
      </c>
      <c r="H150" s="997">
        <v>0.95</v>
      </c>
      <c r="I150" s="995">
        <v>5</v>
      </c>
      <c r="K150" s="474"/>
      <c r="AH150" s="193"/>
    </row>
    <row r="151" spans="2:34" s="548" customFormat="1">
      <c r="B151" s="988" t="str">
        <f>_xlfn.TEXTJOIN(",",TRUE,Regions!$C$3:'Regions'!$AD$3)</f>
        <v>IE,IE-CW,IE-D,IE-KE,IE-KK,IE-LS,IE-LD,IE-LH,IE-MH,IE-OY,IE-WH,IE-WX,IE-WW,IE-CE,IE-CO,IE-KY,IE-LK,IE-TA,IE-WD,IE-G,IE-LM,IE-MO,IE-RN,IE-SO,IE-CN,IE-DL,IE-MN</v>
      </c>
      <c r="C151" s="988" t="str">
        <f>C28</f>
        <v>T-LGT-ICE_GSL00</v>
      </c>
      <c r="D151" s="988" t="str">
        <f>Commodities!C8</f>
        <v>TRAGSL</v>
      </c>
      <c r="E151" s="990" t="s">
        <v>956</v>
      </c>
      <c r="F151" s="992">
        <f>F125</f>
        <v>0.96784365458672328</v>
      </c>
      <c r="G151" s="992">
        <f t="shared" ref="G151:H151" si="119">G125</f>
        <v>1</v>
      </c>
      <c r="H151" s="992">
        <f t="shared" si="119"/>
        <v>1</v>
      </c>
      <c r="I151" s="988">
        <v>5</v>
      </c>
      <c r="K151" s="474"/>
      <c r="AH151" s="193"/>
    </row>
    <row r="152" spans="2:34" s="548" customFormat="1">
      <c r="B152" s="988" t="str">
        <f>_xlfn.TEXTJOIN(",",TRUE,Regions!$C$3:'Regions'!$AD$3)</f>
        <v>IE,IE-CW,IE-D,IE-KE,IE-KK,IE-LS,IE-LD,IE-LH,IE-MH,IE-OY,IE-WH,IE-WX,IE-WW,IE-CE,IE-CO,IE-KY,IE-LK,IE-TA,IE-WD,IE-G,IE-LM,IE-MO,IE-RN,IE-SO,IE-CN,IE-DL,IE-MN</v>
      </c>
      <c r="C152" s="993" t="str">
        <f>C151</f>
        <v>T-LGT-ICE_GSL00</v>
      </c>
      <c r="D152" s="993" t="str">
        <f>Commodities!C8</f>
        <v>TRAGSL</v>
      </c>
      <c r="E152" s="990" t="s">
        <v>957</v>
      </c>
      <c r="F152" s="992">
        <f>F126</f>
        <v>0.96784365458672328</v>
      </c>
      <c r="G152" s="992">
        <f t="shared" ref="G152:H152" si="120">G126</f>
        <v>0.95</v>
      </c>
      <c r="H152" s="992">
        <f t="shared" si="120"/>
        <v>0.9</v>
      </c>
      <c r="I152" s="988">
        <v>5</v>
      </c>
      <c r="K152" s="474"/>
      <c r="AH152" s="193"/>
    </row>
    <row r="153" spans="2:34" s="548" customFormat="1">
      <c r="B153" s="995" t="str">
        <f>_xlfn.TEXTJOIN(",",TRUE,Regions!$C$3:'Regions'!$AD$3)</f>
        <v>IE,IE-CW,IE-D,IE-KE,IE-KK,IE-LS,IE-LD,IE-LH,IE-MH,IE-OY,IE-WH,IE-WX,IE-WW,IE-CE,IE-CO,IE-KY,IE-LK,IE-TA,IE-WD,IE-G,IE-LM,IE-MO,IE-RN,IE-SO,IE-CN,IE-DL,IE-MN</v>
      </c>
      <c r="C153" s="995" t="str">
        <f>C29</f>
        <v>T-LGT-ICE_DST00</v>
      </c>
      <c r="D153" s="995" t="str">
        <f>Commodities!C9</f>
        <v>TRADST</v>
      </c>
      <c r="E153" s="996" t="s">
        <v>956</v>
      </c>
      <c r="F153" s="997">
        <f>'EB2018'!U47/('EB2018'!AI47+'EB2018'!U47)</f>
        <v>0.95903634682608185</v>
      </c>
      <c r="G153" s="997">
        <f>G127</f>
        <v>1</v>
      </c>
      <c r="H153" s="997">
        <f>H127</f>
        <v>1</v>
      </c>
      <c r="I153" s="995">
        <v>5</v>
      </c>
      <c r="K153" s="474"/>
      <c r="AH153" s="193"/>
    </row>
    <row r="154" spans="2:34" s="548" customFormat="1">
      <c r="B154" s="995" t="str">
        <f>_xlfn.TEXTJOIN(",",TRUE,Regions!$C$3:'Regions'!$AD$3)</f>
        <v>IE,IE-CW,IE-D,IE-KE,IE-KK,IE-LS,IE-LD,IE-LH,IE-MH,IE-OY,IE-WH,IE-WX,IE-WW,IE-CE,IE-CO,IE-KY,IE-LK,IE-TA,IE-WD,IE-G,IE-LM,IE-MO,IE-RN,IE-SO,IE-CN,IE-DL,IE-MN</v>
      </c>
      <c r="C154" s="999" t="str">
        <f>C153</f>
        <v>T-LGT-ICE_DST00</v>
      </c>
      <c r="D154" s="999" t="str">
        <f>Commodities!C9</f>
        <v>TRADST</v>
      </c>
      <c r="E154" s="996" t="s">
        <v>957</v>
      </c>
      <c r="F154" s="1000">
        <f>F153</f>
        <v>0.95903634682608185</v>
      </c>
      <c r="G154" s="997">
        <f>G128</f>
        <v>0.95</v>
      </c>
      <c r="H154" s="997">
        <f>H128</f>
        <v>0.9</v>
      </c>
      <c r="I154" s="995">
        <v>5</v>
      </c>
      <c r="K154" s="474"/>
      <c r="AH154" s="193"/>
    </row>
    <row r="155" spans="2:34" s="548" customFormat="1">
      <c r="B155" s="988" t="str">
        <f>_xlfn.TEXTJOIN(",",TRUE,Regions!$C$3:'Regions'!$AD$3)</f>
        <v>IE,IE-CW,IE-D,IE-KE,IE-KK,IE-LS,IE-LD,IE-LH,IE-MH,IE-OY,IE-WH,IE-WX,IE-WW,IE-CE,IE-CO,IE-KY,IE-LK,IE-TA,IE-WD,IE-G,IE-LM,IE-MO,IE-RN,IE-SO,IE-CN,IE-DL,IE-MN</v>
      </c>
      <c r="C155" s="988" t="str">
        <f>C30</f>
        <v>T-MGT-ICE_DST00</v>
      </c>
      <c r="D155" s="988" t="str">
        <f>Commodities!C9</f>
        <v>TRADST</v>
      </c>
      <c r="E155" s="990" t="s">
        <v>956</v>
      </c>
      <c r="F155" s="992">
        <f>'EB2018'!U46/('EB2018'!U46+'EB2018'!AI46)</f>
        <v>0.95903634682608174</v>
      </c>
      <c r="G155" s="992">
        <v>1</v>
      </c>
      <c r="H155" s="992">
        <v>1</v>
      </c>
      <c r="I155" s="988">
        <v>5</v>
      </c>
      <c r="K155" s="474"/>
      <c r="AH155" s="193"/>
    </row>
    <row r="156" spans="2:34" s="548" customFormat="1">
      <c r="B156" s="988" t="str">
        <f>_xlfn.TEXTJOIN(",",TRUE,Regions!$C$3:'Regions'!$AD$3)</f>
        <v>IE,IE-CW,IE-D,IE-KE,IE-KK,IE-LS,IE-LD,IE-LH,IE-MH,IE-OY,IE-WH,IE-WX,IE-WW,IE-CE,IE-CO,IE-KY,IE-LK,IE-TA,IE-WD,IE-G,IE-LM,IE-MO,IE-RN,IE-SO,IE-CN,IE-DL,IE-MN</v>
      </c>
      <c r="C156" s="993" t="str">
        <f>C155</f>
        <v>T-MGT-ICE_DST00</v>
      </c>
      <c r="D156" s="993" t="str">
        <f>Commodities!C9</f>
        <v>TRADST</v>
      </c>
      <c r="E156" s="990" t="s">
        <v>957</v>
      </c>
      <c r="F156" s="994">
        <f>F155</f>
        <v>0.95903634682608174</v>
      </c>
      <c r="G156" s="992">
        <v>0.95</v>
      </c>
      <c r="H156" s="992">
        <v>0.9</v>
      </c>
      <c r="I156" s="988">
        <v>5</v>
      </c>
      <c r="K156" s="474"/>
      <c r="AH156" s="193"/>
    </row>
    <row r="157" spans="2:34" s="548" customFormat="1">
      <c r="B157" s="995" t="str">
        <f>_xlfn.TEXTJOIN(",",TRUE,Regions!$C$3:'Regions'!$AD$3)</f>
        <v>IE,IE-CW,IE-D,IE-KE,IE-KK,IE-LS,IE-LD,IE-LH,IE-MH,IE-OY,IE-WH,IE-WX,IE-WW,IE-CE,IE-CO,IE-KY,IE-LK,IE-TA,IE-WD,IE-G,IE-LM,IE-MO,IE-RN,IE-SO,IE-CN,IE-DL,IE-MN</v>
      </c>
      <c r="C157" s="995" t="str">
        <f>C31</f>
        <v>T-HGT-ICE_DST00</v>
      </c>
      <c r="D157" s="995" t="str">
        <f>Commodities!C9</f>
        <v>TRADST</v>
      </c>
      <c r="E157" s="996" t="s">
        <v>956</v>
      </c>
      <c r="F157" s="997">
        <f>'EB2018'!U46/('EB2018'!U46+'EB2018'!AI46)</f>
        <v>0.95903634682608174</v>
      </c>
      <c r="G157" s="997">
        <v>1</v>
      </c>
      <c r="H157" s="997">
        <v>1</v>
      </c>
      <c r="I157" s="995">
        <v>5</v>
      </c>
      <c r="K157" s="474"/>
      <c r="AH157" s="193"/>
    </row>
    <row r="158" spans="2:34" s="548" customFormat="1">
      <c r="B158" s="995" t="str">
        <f>_xlfn.TEXTJOIN(",",TRUE,Regions!$C$3:'Regions'!$AD$3)</f>
        <v>IE,IE-CW,IE-D,IE-KE,IE-KK,IE-LS,IE-LD,IE-LH,IE-MH,IE-OY,IE-WH,IE-WX,IE-WW,IE-CE,IE-CO,IE-KY,IE-LK,IE-TA,IE-WD,IE-G,IE-LM,IE-MO,IE-RN,IE-SO,IE-CN,IE-DL,IE-MN</v>
      </c>
      <c r="C158" s="999" t="str">
        <f>C157</f>
        <v>T-HGT-ICE_DST00</v>
      </c>
      <c r="D158" s="999" t="str">
        <f>Commodities!C9</f>
        <v>TRADST</v>
      </c>
      <c r="E158" s="996" t="s">
        <v>957</v>
      </c>
      <c r="F158" s="1000">
        <f>F157</f>
        <v>0.95903634682608174</v>
      </c>
      <c r="G158" s="1000">
        <v>0.95</v>
      </c>
      <c r="H158" s="997">
        <v>0.9</v>
      </c>
      <c r="I158" s="995">
        <v>5</v>
      </c>
      <c r="K158" s="474"/>
      <c r="AH158" s="193"/>
    </row>
    <row r="159" spans="2:34" s="548" customFormat="1">
      <c r="B159" s="988" t="str">
        <f>_xlfn.TEXTJOIN(",",TRUE,Regions!$C$3:'Regions'!$AD$3)</f>
        <v>IE,IE-CW,IE-D,IE-KE,IE-KK,IE-LS,IE-LD,IE-LH,IE-MH,IE-OY,IE-WH,IE-WX,IE-WW,IE-CE,IE-CO,IE-KY,IE-LK,IE-TA,IE-WD,IE-G,IE-LM,IE-MO,IE-RN,IE-SO,IE-CN,IE-DL,IE-MN</v>
      </c>
      <c r="C159" s="988" t="str">
        <f>C32</f>
        <v>T-GTR-ICE_DST00</v>
      </c>
      <c r="D159" s="988" t="str">
        <f>Commodities!C9</f>
        <v>TRADST</v>
      </c>
      <c r="E159" s="990" t="s">
        <v>956</v>
      </c>
      <c r="F159" s="992">
        <f>'EB2018'!U50/('EB2018'!U50+'EB2018'!AI50)</f>
        <v>1</v>
      </c>
      <c r="G159" s="992">
        <v>1</v>
      </c>
      <c r="H159" s="992">
        <v>1</v>
      </c>
      <c r="I159" s="988">
        <v>5</v>
      </c>
      <c r="K159" s="474"/>
      <c r="AH159" s="193"/>
    </row>
    <row r="160" spans="2:34" s="548" customFormat="1">
      <c r="B160" s="988" t="str">
        <f>_xlfn.TEXTJOIN(",",TRUE,Regions!$C$3:'Regions'!$AD$3)</f>
        <v>IE,IE-CW,IE-D,IE-KE,IE-KK,IE-LS,IE-LD,IE-LH,IE-MH,IE-OY,IE-WH,IE-WX,IE-WW,IE-CE,IE-CO,IE-KY,IE-LK,IE-TA,IE-WD,IE-G,IE-LM,IE-MO,IE-RN,IE-SO,IE-CN,IE-DL,IE-MN</v>
      </c>
      <c r="C160" s="993" t="str">
        <f>C159</f>
        <v>T-GTR-ICE_DST00</v>
      </c>
      <c r="D160" s="993" t="str">
        <f>Commodities!C9</f>
        <v>TRADST</v>
      </c>
      <c r="E160" s="990" t="s">
        <v>957</v>
      </c>
      <c r="F160" s="994">
        <f>F159</f>
        <v>1</v>
      </c>
      <c r="G160" s="994">
        <v>1</v>
      </c>
      <c r="H160" s="992">
        <v>0.95</v>
      </c>
      <c r="I160" s="988">
        <v>5</v>
      </c>
      <c r="K160" s="474"/>
      <c r="AH160" s="193"/>
    </row>
    <row r="161" spans="2:34" s="548" customFormat="1">
      <c r="B161" s="995" t="str">
        <f>_xlfn.TEXTJOIN(",",TRUE,Regions!$C$3:'Regions'!$AD$3)</f>
        <v>IE,IE-CW,IE-D,IE-KE,IE-KK,IE-LS,IE-LD,IE-LH,IE-MH,IE-OY,IE-WH,IE-WX,IE-WW,IE-CE,IE-CO,IE-KY,IE-LK,IE-TA,IE-WD,IE-G,IE-LM,IE-MO,IE-RN,IE-SO,IE-CN,IE-DL,IE-MN</v>
      </c>
      <c r="C161" s="995" t="str">
        <f>C34</f>
        <v>T-TUR_CON00</v>
      </c>
      <c r="D161" s="995" t="str">
        <f>Commodities!C9</f>
        <v>TRADST</v>
      </c>
      <c r="E161" s="996" t="s">
        <v>956</v>
      </c>
      <c r="F161" s="997">
        <f>'EB2018'!U53/('EB2018'!U53+'EB2018'!AI53)</f>
        <v>0.95903634682608174</v>
      </c>
      <c r="G161" s="998">
        <v>1</v>
      </c>
      <c r="H161" s="998">
        <v>1</v>
      </c>
      <c r="I161" s="995">
        <v>5</v>
      </c>
      <c r="K161" s="474"/>
      <c r="AH161" s="193"/>
    </row>
    <row r="162" spans="2:34" s="548" customFormat="1">
      <c r="B162" s="995" t="str">
        <f>_xlfn.TEXTJOIN(",",TRUE,Regions!$C$3:'Regions'!$AD$3)</f>
        <v>IE,IE-CW,IE-D,IE-KE,IE-KK,IE-LS,IE-LD,IE-LH,IE-MH,IE-OY,IE-WH,IE-WX,IE-WW,IE-CE,IE-CO,IE-KY,IE-LK,IE-TA,IE-WD,IE-G,IE-LM,IE-MO,IE-RN,IE-SO,IE-CN,IE-DL,IE-MN</v>
      </c>
      <c r="C162" s="995" t="str">
        <f>C161</f>
        <v>T-TUR_CON00</v>
      </c>
      <c r="D162" s="995" t="str">
        <f>Commodities!C9</f>
        <v>TRADST</v>
      </c>
      <c r="E162" s="996" t="s">
        <v>957</v>
      </c>
      <c r="F162" s="1000">
        <f>F161</f>
        <v>0.95903634682608174</v>
      </c>
      <c r="G162" s="998">
        <v>0.95</v>
      </c>
      <c r="H162" s="998">
        <v>0.9</v>
      </c>
      <c r="I162" s="995">
        <v>5</v>
      </c>
      <c r="K162" s="474"/>
      <c r="AH162" s="193"/>
    </row>
    <row r="163" spans="2:34" s="548" customFormat="1">
      <c r="B163" s="988" t="str">
        <f>_xlfn.TEXTJOIN(",",TRUE,Regions!$C$3:'Regions'!$AD$3)</f>
        <v>IE,IE-CW,IE-D,IE-KE,IE-KK,IE-LS,IE-LD,IE-LH,IE-MH,IE-OY,IE-WH,IE-WX,IE-WW,IE-CE,IE-CO,IE-KY,IE-LK,IE-TA,IE-WD,IE-G,IE-LM,IE-MO,IE-RN,IE-SO,IE-CN,IE-DL,IE-MN</v>
      </c>
      <c r="C163" s="988" t="str">
        <f>C35</f>
        <v>T-NAV_CON00</v>
      </c>
      <c r="D163" s="988" t="str">
        <f>Commodities!C9</f>
        <v>TRADST</v>
      </c>
      <c r="E163" s="990" t="s">
        <v>956</v>
      </c>
      <c r="F163" s="992">
        <v>1</v>
      </c>
      <c r="G163" s="992">
        <v>1</v>
      </c>
      <c r="H163" s="992">
        <v>1</v>
      </c>
      <c r="I163" s="988">
        <v>5</v>
      </c>
      <c r="K163" s="474"/>
      <c r="AH163" s="193"/>
    </row>
    <row r="164" spans="2:34" s="548" customFormat="1">
      <c r="B164" s="988" t="str">
        <f>_xlfn.TEXTJOIN(",",TRUE,Regions!$C$3:'Regions'!$AD$3)</f>
        <v>IE,IE-CW,IE-D,IE-KE,IE-KK,IE-LS,IE-LD,IE-LH,IE-MH,IE-OY,IE-WH,IE-WX,IE-WW,IE-CE,IE-CO,IE-KY,IE-LK,IE-TA,IE-WD,IE-G,IE-LM,IE-MO,IE-RN,IE-SO,IE-CN,IE-DL,IE-MN</v>
      </c>
      <c r="C164" s="988" t="str">
        <f>C163</f>
        <v>T-NAV_CON00</v>
      </c>
      <c r="D164" s="988" t="str">
        <f>Commodities!C9</f>
        <v>TRADST</v>
      </c>
      <c r="E164" s="990" t="s">
        <v>957</v>
      </c>
      <c r="F164" s="994">
        <v>1</v>
      </c>
      <c r="G164" s="994">
        <v>1</v>
      </c>
      <c r="H164" s="992">
        <v>0.9</v>
      </c>
      <c r="I164" s="988">
        <v>5</v>
      </c>
      <c r="K164" s="474"/>
      <c r="AH164" s="193"/>
    </row>
    <row r="165" spans="2:34" s="548" customFormat="1">
      <c r="B165" s="995" t="str">
        <f>_xlfn.TEXTJOIN(",",TRUE,Regions!$C$3:'Regions'!$AD$3)</f>
        <v>IE,IE-CW,IE-D,IE-KE,IE-KK,IE-LS,IE-LD,IE-LH,IE-MH,IE-OY,IE-WH,IE-WX,IE-WW,IE-CE,IE-CO,IE-KY,IE-LK,IE-TA,IE-WD,IE-G,IE-LM,IE-MO,IE-RN,IE-SO,IE-CN,IE-DL,IE-MN</v>
      </c>
      <c r="C165" s="995" t="str">
        <f>C36</f>
        <v>T-OTH_CON00</v>
      </c>
      <c r="D165" s="995" t="str">
        <f>Commodities!C8</f>
        <v>TRAGSL</v>
      </c>
      <c r="E165" s="996" t="s">
        <v>956</v>
      </c>
      <c r="F165" s="997">
        <f>'EB2018'!P55/('EB2018'!AQ55)</f>
        <v>0.27039385491167939</v>
      </c>
      <c r="G165" s="997">
        <f>F165</f>
        <v>0.27039385491167939</v>
      </c>
      <c r="H165" s="997">
        <v>0.3</v>
      </c>
      <c r="I165" s="995">
        <v>5</v>
      </c>
      <c r="K165" s="474"/>
      <c r="AH165" s="193"/>
    </row>
    <row r="166" spans="2:34" s="548" customFormat="1">
      <c r="B166" s="995" t="str">
        <f>_xlfn.TEXTJOIN(",",TRUE,Regions!$C$3:'Regions'!$AD$3)</f>
        <v>IE,IE-CW,IE-D,IE-KE,IE-KK,IE-LS,IE-LD,IE-LH,IE-MH,IE-OY,IE-WH,IE-WX,IE-WW,IE-CE,IE-CO,IE-KY,IE-LK,IE-TA,IE-WD,IE-G,IE-LM,IE-MO,IE-RN,IE-SO,IE-CN,IE-DL,IE-MN</v>
      </c>
      <c r="C166" s="995" t="str">
        <f>C165</f>
        <v>T-OTH_CON00</v>
      </c>
      <c r="D166" s="995" t="str">
        <f>Commodities!C8</f>
        <v>TRAGSL</v>
      </c>
      <c r="E166" s="996" t="s">
        <v>957</v>
      </c>
      <c r="F166" s="1000">
        <f>F165</f>
        <v>0.27039385491167939</v>
      </c>
      <c r="G166" s="997">
        <f t="shared" ref="G166:G172" si="121">F166</f>
        <v>0.27039385491167939</v>
      </c>
      <c r="H166" s="997">
        <v>0</v>
      </c>
      <c r="I166" s="995">
        <v>5</v>
      </c>
      <c r="K166" s="474"/>
      <c r="AH166" s="193"/>
    </row>
    <row r="167" spans="2:34" s="548" customFormat="1">
      <c r="B167" s="995" t="str">
        <f>_xlfn.TEXTJOIN(",",TRUE,Regions!$C$3:'Regions'!$AD$3)</f>
        <v>IE,IE-CW,IE-D,IE-KE,IE-KK,IE-LS,IE-LD,IE-LH,IE-MH,IE-OY,IE-WH,IE-WX,IE-WW,IE-CE,IE-CO,IE-KY,IE-LK,IE-TA,IE-WD,IE-G,IE-LM,IE-MO,IE-RN,IE-SO,IE-CN,IE-DL,IE-MN</v>
      </c>
      <c r="C167" s="995" t="str">
        <f>C166</f>
        <v>T-OTH_CON00</v>
      </c>
      <c r="D167" s="995" t="str">
        <f>Commodities!C9</f>
        <v>TRADST</v>
      </c>
      <c r="E167" s="996" t="s">
        <v>956</v>
      </c>
      <c r="F167" s="997">
        <f>'EB2018'!U55/('EB2018'!AQ55)</f>
        <v>0.64957427938717227</v>
      </c>
      <c r="G167" s="997">
        <f t="shared" si="121"/>
        <v>0.64957427938717227</v>
      </c>
      <c r="H167" s="997">
        <v>0.7</v>
      </c>
      <c r="I167" s="995">
        <v>5</v>
      </c>
      <c r="K167" s="474"/>
      <c r="AH167" s="193"/>
    </row>
    <row r="168" spans="2:34" s="548" customFormat="1">
      <c r="B168" s="995" t="str">
        <f>_xlfn.TEXTJOIN(",",TRUE,Regions!$C$3:'Regions'!$AD$3)</f>
        <v>IE,IE-CW,IE-D,IE-KE,IE-KK,IE-LS,IE-LD,IE-LH,IE-MH,IE-OY,IE-WH,IE-WX,IE-WW,IE-CE,IE-CO,IE-KY,IE-LK,IE-TA,IE-WD,IE-G,IE-LM,IE-MO,IE-RN,IE-SO,IE-CN,IE-DL,IE-MN</v>
      </c>
      <c r="C168" s="995" t="str">
        <f>C167</f>
        <v>T-OTH_CON00</v>
      </c>
      <c r="D168" s="995" t="str">
        <f>Commodities!C9</f>
        <v>TRADST</v>
      </c>
      <c r="E168" s="996" t="s">
        <v>957</v>
      </c>
      <c r="F168" s="1000">
        <f>F167</f>
        <v>0.64957427938717227</v>
      </c>
      <c r="G168" s="997">
        <f t="shared" si="121"/>
        <v>0.64957427938717227</v>
      </c>
      <c r="H168" s="997">
        <v>0</v>
      </c>
      <c r="I168" s="995">
        <v>5</v>
      </c>
      <c r="K168" s="474"/>
      <c r="AH168" s="193"/>
    </row>
    <row r="169" spans="2:34" s="548" customFormat="1">
      <c r="B169" s="995" t="str">
        <f>_xlfn.TEXTJOIN(",",TRUE,Regions!$C$3:'Regions'!$AD$3)</f>
        <v>IE,IE-CW,IE-D,IE-KE,IE-KK,IE-LS,IE-LD,IE-LH,IE-MH,IE-OY,IE-WH,IE-WX,IE-WW,IE-CE,IE-CO,IE-KY,IE-LK,IE-TA,IE-WD,IE-G,IE-LM,IE-MO,IE-RN,IE-SO,IE-CN,IE-DL,IE-MN</v>
      </c>
      <c r="C169" s="995" t="str">
        <f>C168</f>
        <v>T-OTH_CON00</v>
      </c>
      <c r="D169" s="995" t="str">
        <f>Commodities!C13</f>
        <v>TRACNG</v>
      </c>
      <c r="E169" s="996" t="s">
        <v>956</v>
      </c>
      <c r="F169" s="997">
        <f>'EB2018'!AA55/'EB2018'!AQ55</f>
        <v>4.3302610301174861E-2</v>
      </c>
      <c r="G169" s="997">
        <f t="shared" si="121"/>
        <v>4.3302610301174861E-2</v>
      </c>
      <c r="H169" s="997">
        <v>0.05</v>
      </c>
      <c r="I169" s="995">
        <v>5</v>
      </c>
      <c r="K169" s="474"/>
      <c r="AH169" s="193"/>
    </row>
    <row r="170" spans="2:34" s="548" customFormat="1">
      <c r="B170" s="995" t="str">
        <f>_xlfn.TEXTJOIN(",",TRUE,Regions!$C$3:'Regions'!$AD$3)</f>
        <v>IE,IE-CW,IE-D,IE-KE,IE-KK,IE-LS,IE-LD,IE-LH,IE-MH,IE-OY,IE-WH,IE-WX,IE-WW,IE-CE,IE-CO,IE-KY,IE-LK,IE-TA,IE-WD,IE-G,IE-LM,IE-MO,IE-RN,IE-SO,IE-CN,IE-DL,IE-MN</v>
      </c>
      <c r="C170" s="995" t="str">
        <f>C169</f>
        <v>T-OTH_CON00</v>
      </c>
      <c r="D170" s="995" t="str">
        <f>Commodities!C13</f>
        <v>TRACNG</v>
      </c>
      <c r="E170" s="996" t="s">
        <v>957</v>
      </c>
      <c r="F170" s="1000">
        <f>F169</f>
        <v>4.3302610301174861E-2</v>
      </c>
      <c r="G170" s="997">
        <f t="shared" si="121"/>
        <v>4.3302610301174861E-2</v>
      </c>
      <c r="H170" s="997">
        <v>0</v>
      </c>
      <c r="I170" s="995">
        <v>5</v>
      </c>
      <c r="K170" s="474"/>
      <c r="AH170" s="193"/>
    </row>
    <row r="171" spans="2:34" s="548" customFormat="1">
      <c r="B171" s="1007" t="str">
        <f>_xlfn.TEXTJOIN(",",TRUE,Regions!$C$3:'Regions'!$AD$3)</f>
        <v>IE,IE-CW,IE-D,IE-KE,IE-KK,IE-LS,IE-LD,IE-LH,IE-MH,IE-OY,IE-WH,IE-WX,IE-WW,IE-CE,IE-CO,IE-KY,IE-LK,IE-TA,IE-WD,IE-G,IE-LM,IE-MO,IE-RN,IE-SO,IE-CN,IE-DL,IE-MN</v>
      </c>
      <c r="C171" s="1007" t="str">
        <f>C170</f>
        <v>T-OTH_CON00</v>
      </c>
      <c r="D171" s="1007" t="str">
        <f>Commodities!C11</f>
        <v>TRABDL</v>
      </c>
      <c r="E171" s="1008" t="s">
        <v>956</v>
      </c>
      <c r="F171" s="1009">
        <f>'EB2018'!AI55/'EB2018'!AQ55</f>
        <v>2.774549221160999E-2</v>
      </c>
      <c r="G171" s="1009">
        <f t="shared" si="121"/>
        <v>2.774549221160999E-2</v>
      </c>
      <c r="H171" s="1009">
        <v>0.2</v>
      </c>
      <c r="I171" s="1007">
        <v>5</v>
      </c>
      <c r="J171" s="474"/>
      <c r="K171" s="474"/>
      <c r="AH171" s="193"/>
    </row>
    <row r="172" spans="2:34" s="548" customFormat="1">
      <c r="B172" s="281" t="str">
        <f>_xlfn.TEXTJOIN(",",TRUE,Regions!$C$3:'Regions'!$AD$3)</f>
        <v>IE,IE-CW,IE-D,IE-KE,IE-KK,IE-LS,IE-LD,IE-LH,IE-MH,IE-OY,IE-WH,IE-WX,IE-WW,IE-CE,IE-CO,IE-KY,IE-LK,IE-TA,IE-WD,IE-G,IE-LM,IE-MO,IE-RN,IE-SO,IE-CN,IE-DL,IE-MN</v>
      </c>
      <c r="C172" s="281" t="str">
        <f>C171</f>
        <v>T-OTH_CON00</v>
      </c>
      <c r="D172" s="281" t="str">
        <f>Commodities!C11</f>
        <v>TRABDL</v>
      </c>
      <c r="E172" s="1002" t="s">
        <v>957</v>
      </c>
      <c r="F172" s="1003">
        <f>F171</f>
        <v>2.774549221160999E-2</v>
      </c>
      <c r="G172" s="1003">
        <f t="shared" si="121"/>
        <v>2.774549221160999E-2</v>
      </c>
      <c r="H172" s="1003">
        <v>0</v>
      </c>
      <c r="I172" s="281">
        <v>5</v>
      </c>
      <c r="J172" s="474"/>
      <c r="K172" s="474"/>
      <c r="AH172" s="193"/>
    </row>
    <row r="173" spans="2:34" s="548" customFormat="1">
      <c r="AH173" s="193"/>
    </row>
    <row r="174" spans="2:34">
      <c r="C174" s="548"/>
      <c r="D174" s="548"/>
      <c r="E174" s="548"/>
      <c r="F174" s="548"/>
      <c r="G174" s="548"/>
      <c r="H174" s="548"/>
      <c r="I174" s="548"/>
      <c r="J174" s="548"/>
      <c r="K174" s="548"/>
      <c r="AH174" s="193"/>
    </row>
    <row r="175" spans="2:34" s="548" customFormat="1">
      <c r="AH175" s="193"/>
    </row>
    <row r="176" spans="2:34" s="548" customFormat="1">
      <c r="AH176" s="193"/>
    </row>
    <row r="177" spans="3:34" s="548" customFormat="1">
      <c r="AH177" s="193"/>
    </row>
    <row r="178" spans="3:34" s="548" customFormat="1">
      <c r="AH178" s="193"/>
    </row>
    <row r="179" spans="3:34" s="548" customFormat="1">
      <c r="AH179" s="193"/>
    </row>
    <row r="180" spans="3:34" s="548"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Efficiency!D103</f>
        <v>946860</v>
      </c>
      <c r="F186" s="36">
        <f>Efficiency!E103</f>
        <v>10796</v>
      </c>
      <c r="G186" s="36">
        <f>Efficiency!F103</f>
        <v>299408</v>
      </c>
      <c r="H186" s="36">
        <f>Efficiency!G103</f>
        <v>44521</v>
      </c>
      <c r="I186" s="36">
        <f>Efficiency!H103</f>
        <v>17346</v>
      </c>
      <c r="J186" s="36">
        <f>Efficiency!I103</f>
        <v>12391</v>
      </c>
      <c r="K186" s="36">
        <f>Efficiency!J103</f>
        <v>5804</v>
      </c>
      <c r="L186" s="36">
        <f>Efficiency!K103</f>
        <v>20722</v>
      </c>
      <c r="M186" s="36">
        <f>Efficiency!L103</f>
        <v>34216</v>
      </c>
      <c r="N186" s="36">
        <f>Efficiency!M103</f>
        <v>12252</v>
      </c>
      <c r="O186" s="36">
        <f>Efficiency!N103</f>
        <v>14417</v>
      </c>
      <c r="P186" s="36">
        <f>Efficiency!O103</f>
        <v>29236</v>
      </c>
      <c r="Q186" s="36">
        <f>Efficiency!P103</f>
        <v>32847</v>
      </c>
      <c r="R186" s="36">
        <f>Efficiency!Q103</f>
        <v>24057</v>
      </c>
      <c r="S186" s="36">
        <f>Efficiency!R103</f>
        <v>121228</v>
      </c>
      <c r="T186" s="36">
        <f>Efficiency!S103</f>
        <v>31727</v>
      </c>
      <c r="U186" s="36">
        <f>Efficiency!T103</f>
        <v>40146</v>
      </c>
      <c r="V186" s="36">
        <f>Efficiency!U103</f>
        <v>30854</v>
      </c>
      <c r="W186" s="36">
        <f>Efficiency!V103</f>
        <v>27159</v>
      </c>
      <c r="X186" s="36">
        <f>Efficiency!W103</f>
        <v>45820</v>
      </c>
      <c r="Y186" s="36">
        <f>Efficiency!X103</f>
        <v>4961</v>
      </c>
      <c r="Z186" s="36">
        <f>Efficiency!Y103</f>
        <v>22404</v>
      </c>
      <c r="AA186" s="36">
        <f>Efficiency!Z103</f>
        <v>11971</v>
      </c>
      <c r="AB186" s="36">
        <f>Efficiency!AA103</f>
        <v>11761</v>
      </c>
      <c r="AC186" s="36">
        <f>Efficiency!AB103</f>
        <v>10568</v>
      </c>
      <c r="AD186" s="36">
        <f>Efficiency!AC103</f>
        <v>22398</v>
      </c>
      <c r="AE186" s="36">
        <f>Efficiency!AD103</f>
        <v>7850</v>
      </c>
      <c r="AF186" s="185" t="s">
        <v>478</v>
      </c>
      <c r="AG186" s="140"/>
      <c r="AH186" s="201"/>
    </row>
    <row r="187" spans="3:34">
      <c r="C187" s="140"/>
      <c r="D187" s="185" t="s">
        <v>480</v>
      </c>
      <c r="E187" s="36">
        <f>Efficiency!D150</f>
        <v>1129404</v>
      </c>
      <c r="F187" s="36">
        <f>Efficiency!E150</f>
        <v>17385</v>
      </c>
      <c r="G187" s="36">
        <f>Efficiency!F150</f>
        <v>225706</v>
      </c>
      <c r="H187" s="36">
        <f>Efficiency!G150</f>
        <v>56834</v>
      </c>
      <c r="I187" s="36">
        <f>Efficiency!H150</f>
        <v>26674</v>
      </c>
      <c r="J187" s="36">
        <f>Efficiency!I150</f>
        <v>22058</v>
      </c>
      <c r="K187" s="36">
        <f>Efficiency!J150</f>
        <v>11270</v>
      </c>
      <c r="L187" s="36">
        <f>Efficiency!K150</f>
        <v>29947</v>
      </c>
      <c r="M187" s="36">
        <f>Efficiency!L150</f>
        <v>52424</v>
      </c>
      <c r="N187" s="36">
        <f>Efficiency!M150</f>
        <v>21785</v>
      </c>
      <c r="O187" s="36">
        <f>Efficiency!N150</f>
        <v>26113</v>
      </c>
      <c r="P187" s="36">
        <f>Efficiency!O150</f>
        <v>44971</v>
      </c>
      <c r="Q187" s="36">
        <f>Efficiency!P150</f>
        <v>34195</v>
      </c>
      <c r="R187" s="36">
        <f>Efficiency!Q150</f>
        <v>32584</v>
      </c>
      <c r="S187" s="36">
        <f>Efficiency!R150</f>
        <v>132295</v>
      </c>
      <c r="T187" s="36">
        <f>Efficiency!S150</f>
        <v>39247</v>
      </c>
      <c r="U187" s="36">
        <f>Efficiency!T150</f>
        <v>47853</v>
      </c>
      <c r="V187" s="36">
        <f>Efficiency!U150</f>
        <v>47714</v>
      </c>
      <c r="W187" s="36">
        <f>Efficiency!V150</f>
        <v>29674</v>
      </c>
      <c r="X187" s="36">
        <f>Efficiency!W150</f>
        <v>66337</v>
      </c>
      <c r="Y187" s="36">
        <f>Efficiency!X150</f>
        <v>9454</v>
      </c>
      <c r="Z187" s="36">
        <f>Efficiency!Y150</f>
        <v>37994</v>
      </c>
      <c r="AA187" s="36">
        <f>Efficiency!Z150</f>
        <v>20248</v>
      </c>
      <c r="AB187" s="36">
        <f>Efficiency!AA150</f>
        <v>16993</v>
      </c>
      <c r="AC187" s="36">
        <f>Efficiency!AB150</f>
        <v>20890</v>
      </c>
      <c r="AD187" s="36">
        <f>Efficiency!AC150</f>
        <v>41125</v>
      </c>
      <c r="AE187" s="36">
        <f>Efficiency!AD150</f>
        <v>17634</v>
      </c>
      <c r="AF187" s="185" t="s">
        <v>478</v>
      </c>
      <c r="AG187" s="140"/>
      <c r="AH187" s="201"/>
    </row>
    <row r="188" spans="3:34">
      <c r="C188" s="140"/>
      <c r="D188" s="185" t="s">
        <v>482</v>
      </c>
      <c r="E188" s="36">
        <f>Efficiency!D197</f>
        <v>67</v>
      </c>
      <c r="F188" s="36">
        <f>Efficiency!E197</f>
        <v>0</v>
      </c>
      <c r="G188" s="36">
        <f>Efficiency!F197</f>
        <v>28</v>
      </c>
      <c r="H188" s="36">
        <f>Efficiency!G197</f>
        <v>1</v>
      </c>
      <c r="I188" s="36">
        <f>Efficiency!H197</f>
        <v>1</v>
      </c>
      <c r="J188" s="36">
        <f>Efficiency!I197</f>
        <v>0</v>
      </c>
      <c r="K188" s="36">
        <f>Efficiency!J197</f>
        <v>2</v>
      </c>
      <c r="L188" s="36">
        <f>Efficiency!K197</f>
        <v>1</v>
      </c>
      <c r="M188" s="36">
        <f>Efficiency!L197</f>
        <v>2</v>
      </c>
      <c r="N188" s="36">
        <f>Efficiency!M197</f>
        <v>3</v>
      </c>
      <c r="O188" s="36">
        <f>Efficiency!N197</f>
        <v>1</v>
      </c>
      <c r="P188" s="36">
        <f>Efficiency!O197</f>
        <v>3</v>
      </c>
      <c r="Q188" s="36">
        <f>Efficiency!P197</f>
        <v>5</v>
      </c>
      <c r="R188" s="36">
        <f>Efficiency!Q197</f>
        <v>1</v>
      </c>
      <c r="S188" s="36">
        <f>Efficiency!R197</f>
        <v>5</v>
      </c>
      <c r="T188" s="36">
        <f>Efficiency!S197</f>
        <v>3</v>
      </c>
      <c r="U188" s="36">
        <f>Efficiency!T197</f>
        <v>2</v>
      </c>
      <c r="V188" s="36">
        <f>Efficiency!U197</f>
        <v>0</v>
      </c>
      <c r="W188" s="36">
        <f>Efficiency!V197</f>
        <v>0</v>
      </c>
      <c r="X188" s="36">
        <f>Efficiency!W197</f>
        <v>7</v>
      </c>
      <c r="Y188" s="36">
        <f>Efficiency!X197</f>
        <v>0</v>
      </c>
      <c r="Z188" s="36">
        <f>Efficiency!Y197</f>
        <v>0</v>
      </c>
      <c r="AA188" s="36">
        <f>Efficiency!Z197</f>
        <v>0</v>
      </c>
      <c r="AB188" s="36">
        <f>Efficiency!AA197</f>
        <v>0</v>
      </c>
      <c r="AC188" s="36">
        <f>Efficiency!AB197</f>
        <v>0</v>
      </c>
      <c r="AD188" s="36">
        <f>Efficiency!AC197</f>
        <v>2</v>
      </c>
      <c r="AE188" s="36">
        <f>Efficiency!AD197</f>
        <v>0</v>
      </c>
      <c r="AF188" s="201" t="s">
        <v>478</v>
      </c>
      <c r="AG188" s="140"/>
      <c r="AH188" s="201"/>
    </row>
    <row r="189" spans="3:34">
      <c r="C189" s="140"/>
      <c r="D189" s="185" t="s">
        <v>483</v>
      </c>
      <c r="E189" s="36">
        <f>Efficiency!D246</f>
        <v>8529</v>
      </c>
      <c r="F189" s="36">
        <f>Efficiency!E246</f>
        <v>98</v>
      </c>
      <c r="G189" s="36">
        <f>Efficiency!F246</f>
        <v>265</v>
      </c>
      <c r="H189" s="36">
        <f>Efficiency!G246</f>
        <v>281</v>
      </c>
      <c r="I189" s="36">
        <f>Efficiency!H246</f>
        <v>574</v>
      </c>
      <c r="J189" s="36">
        <f>Efficiency!I246</f>
        <v>124</v>
      </c>
      <c r="K189" s="36">
        <f>Efficiency!J246</f>
        <v>316</v>
      </c>
      <c r="L189" s="36">
        <f>Efficiency!K246</f>
        <v>41</v>
      </c>
      <c r="M189" s="36">
        <f>Efficiency!L246</f>
        <v>83</v>
      </c>
      <c r="N189" s="36">
        <f>Efficiency!M246</f>
        <v>53</v>
      </c>
      <c r="O189" s="36">
        <f>Efficiency!N246</f>
        <v>260</v>
      </c>
      <c r="P189" s="36">
        <f>Efficiency!O246</f>
        <v>177</v>
      </c>
      <c r="Q189" s="36">
        <f>Efficiency!P246</f>
        <v>315</v>
      </c>
      <c r="R189" s="36">
        <f>Efficiency!Q246</f>
        <v>205</v>
      </c>
      <c r="S189" s="36">
        <f>Efficiency!R246</f>
        <v>1162</v>
      </c>
      <c r="T189" s="36">
        <f>Efficiency!S246</f>
        <v>350</v>
      </c>
      <c r="U189" s="36">
        <f>Efficiency!T246</f>
        <v>33</v>
      </c>
      <c r="V189" s="36">
        <f>Efficiency!U246</f>
        <v>75</v>
      </c>
      <c r="W189" s="36">
        <f>Efficiency!V246</f>
        <v>229</v>
      </c>
      <c r="X189" s="36">
        <f>Efficiency!W246</f>
        <v>2626</v>
      </c>
      <c r="Y189" s="36">
        <f>Efficiency!X246</f>
        <v>107</v>
      </c>
      <c r="Z189" s="36">
        <f>Efficiency!Y246</f>
        <v>247</v>
      </c>
      <c r="AA189" s="36">
        <f>Efficiency!Z246</f>
        <v>85</v>
      </c>
      <c r="AB189" s="36">
        <f>Efficiency!AA246</f>
        <v>75</v>
      </c>
      <c r="AC189" s="36">
        <f>Efficiency!AB246</f>
        <v>91</v>
      </c>
      <c r="AD189" s="36">
        <f>Efficiency!AC246</f>
        <v>185</v>
      </c>
      <c r="AE189" s="36">
        <f>Efficiency!AD246</f>
        <v>472</v>
      </c>
      <c r="AF189" s="201" t="s">
        <v>478</v>
      </c>
      <c r="AG189" s="140"/>
      <c r="AH189" s="429"/>
    </row>
    <row r="190" spans="3:34">
      <c r="C190" s="140"/>
      <c r="D190" s="185" t="s">
        <v>484</v>
      </c>
      <c r="E190" s="36">
        <f>Efficiency!D294</f>
        <v>29800</v>
      </c>
      <c r="F190" s="36">
        <f>Efficiency!E294</f>
        <v>205</v>
      </c>
      <c r="G190" s="36">
        <f>Efficiency!F294</f>
        <v>1109</v>
      </c>
      <c r="H190" s="36">
        <f>Efficiency!G294</f>
        <v>572</v>
      </c>
      <c r="I190" s="36">
        <f>Efficiency!H294</f>
        <v>1428</v>
      </c>
      <c r="J190" s="36">
        <f>Efficiency!I294</f>
        <v>365</v>
      </c>
      <c r="K190" s="36">
        <f>Efficiency!J294</f>
        <v>805</v>
      </c>
      <c r="L190" s="36">
        <f>Efficiency!K294</f>
        <v>159</v>
      </c>
      <c r="M190" s="36">
        <f>Efficiency!L294</f>
        <v>457</v>
      </c>
      <c r="N190" s="36">
        <f>Efficiency!M294</f>
        <v>161</v>
      </c>
      <c r="O190" s="36">
        <f>Efficiency!N294</f>
        <v>418</v>
      </c>
      <c r="P190" s="36">
        <f>Efficiency!O294</f>
        <v>488</v>
      </c>
      <c r="Q190" s="36">
        <f>Efficiency!P294</f>
        <v>616</v>
      </c>
      <c r="R190" s="36">
        <f>Efficiency!Q294</f>
        <v>492</v>
      </c>
      <c r="S190" s="36">
        <f>Efficiency!R294</f>
        <v>2929</v>
      </c>
      <c r="T190" s="36">
        <f>Efficiency!S294</f>
        <v>1663</v>
      </c>
      <c r="U190" s="36">
        <f>Efficiency!T294</f>
        <v>90</v>
      </c>
      <c r="V190" s="36">
        <f>Efficiency!U294</f>
        <v>273</v>
      </c>
      <c r="W190" s="36">
        <f>Efficiency!V294</f>
        <v>565</v>
      </c>
      <c r="X190" s="36">
        <f>Efficiency!W294</f>
        <v>13569</v>
      </c>
      <c r="Y190" s="36">
        <f>Efficiency!X294</f>
        <v>307</v>
      </c>
      <c r="Z190" s="36">
        <f>Efficiency!Y294</f>
        <v>583</v>
      </c>
      <c r="AA190" s="36">
        <f>Efficiency!Z294</f>
        <v>347</v>
      </c>
      <c r="AB190" s="36">
        <f>Efficiency!AA294</f>
        <v>265</v>
      </c>
      <c r="AC190" s="36">
        <f>Efficiency!AB294</f>
        <v>256</v>
      </c>
      <c r="AD190" s="36">
        <f>Efficiency!AC294</f>
        <v>573</v>
      </c>
      <c r="AE190" s="36">
        <f>Efficiency!AD294</f>
        <v>1105</v>
      </c>
      <c r="AF190" s="201" t="s">
        <v>478</v>
      </c>
      <c r="AG190" s="140"/>
      <c r="AH190" s="201"/>
    </row>
    <row r="191" spans="3:34">
      <c r="C191" s="140"/>
      <c r="D191" s="201" t="s">
        <v>613</v>
      </c>
      <c r="E191" s="36">
        <f>Efficiency!D342</f>
        <v>773</v>
      </c>
      <c r="F191" s="36">
        <f>Efficiency!E342</f>
        <v>14</v>
      </c>
      <c r="G191" s="36">
        <f>Efficiency!F342</f>
        <v>33</v>
      </c>
      <c r="H191" s="36">
        <f>Efficiency!G342</f>
        <v>19</v>
      </c>
      <c r="I191" s="36">
        <f>Efficiency!H342</f>
        <v>43</v>
      </c>
      <c r="J191" s="36">
        <f>Efficiency!I342</f>
        <v>16</v>
      </c>
      <c r="K191" s="36">
        <f>Efficiency!J342</f>
        <v>24</v>
      </c>
      <c r="L191" s="36">
        <f>Efficiency!K342</f>
        <v>8</v>
      </c>
      <c r="M191" s="36">
        <f>Efficiency!L342</f>
        <v>13</v>
      </c>
      <c r="N191" s="36">
        <f>Efficiency!M342</f>
        <v>10</v>
      </c>
      <c r="O191" s="36">
        <f>Efficiency!N342</f>
        <v>23</v>
      </c>
      <c r="P191" s="36">
        <f>Efficiency!O342</f>
        <v>16</v>
      </c>
      <c r="Q191" s="36">
        <f>Efficiency!P342</f>
        <v>17</v>
      </c>
      <c r="R191" s="36">
        <f>Efficiency!Q342</f>
        <v>13</v>
      </c>
      <c r="S191" s="36">
        <f>Efficiency!R342</f>
        <v>71</v>
      </c>
      <c r="T191" s="36">
        <f>Efficiency!S342</f>
        <v>32</v>
      </c>
      <c r="U191" s="36">
        <f>Efficiency!T342</f>
        <v>2</v>
      </c>
      <c r="V191" s="36">
        <f>Efficiency!U342</f>
        <v>4</v>
      </c>
      <c r="W191" s="36">
        <f>Efficiency!V342</f>
        <v>13</v>
      </c>
      <c r="X191" s="36">
        <f>Efficiency!W342</f>
        <v>287</v>
      </c>
      <c r="Y191" s="36">
        <f>Efficiency!X342</f>
        <v>16</v>
      </c>
      <c r="Z191" s="36">
        <f>Efficiency!Y342</f>
        <v>17</v>
      </c>
      <c r="AA191" s="36">
        <f>Efficiency!Z342</f>
        <v>11</v>
      </c>
      <c r="AB191" s="36">
        <f>Efficiency!AA342</f>
        <v>5</v>
      </c>
      <c r="AC191" s="36">
        <f>Efficiency!AB342</f>
        <v>16</v>
      </c>
      <c r="AD191" s="36">
        <f>Efficiency!AC342</f>
        <v>12</v>
      </c>
      <c r="AE191" s="36">
        <f>Efficiency!AD342</f>
        <v>38</v>
      </c>
      <c r="AF191" s="201" t="s">
        <v>478</v>
      </c>
      <c r="AG191" s="140"/>
      <c r="AH191" s="429"/>
    </row>
    <row r="192" spans="3:34">
      <c r="C192" s="140"/>
      <c r="D192" s="185" t="s">
        <v>485</v>
      </c>
      <c r="E192" s="36">
        <f>Efficiency!D390</f>
        <v>2759</v>
      </c>
      <c r="F192" s="36">
        <f>Efficiency!E390</f>
        <v>15</v>
      </c>
      <c r="G192" s="36">
        <f>Efficiency!F390</f>
        <v>109</v>
      </c>
      <c r="H192" s="36">
        <f>Efficiency!G390</f>
        <v>33</v>
      </c>
      <c r="I192" s="36">
        <f>Efficiency!H390</f>
        <v>150</v>
      </c>
      <c r="J192" s="36">
        <f>Efficiency!I390</f>
        <v>24</v>
      </c>
      <c r="K192" s="36">
        <f>Efficiency!J390</f>
        <v>54</v>
      </c>
      <c r="L192" s="36">
        <f>Efficiency!K390</f>
        <v>18</v>
      </c>
      <c r="M192" s="36">
        <f>Efficiency!L390</f>
        <v>23</v>
      </c>
      <c r="N192" s="36">
        <f>Efficiency!M390</f>
        <v>10</v>
      </c>
      <c r="O192" s="36">
        <f>Efficiency!N390</f>
        <v>32</v>
      </c>
      <c r="P192" s="36">
        <f>Efficiency!O390</f>
        <v>35</v>
      </c>
      <c r="Q192" s="36">
        <f>Efficiency!P390</f>
        <v>42</v>
      </c>
      <c r="R192" s="36">
        <f>Efficiency!Q390</f>
        <v>37</v>
      </c>
      <c r="S192" s="36">
        <f>Efficiency!R390</f>
        <v>262</v>
      </c>
      <c r="T192" s="36">
        <f>Efficiency!S390</f>
        <v>152</v>
      </c>
      <c r="U192" s="36">
        <f>Efficiency!T390</f>
        <v>3</v>
      </c>
      <c r="V192" s="36">
        <f>Efficiency!U390</f>
        <v>23</v>
      </c>
      <c r="W192" s="36">
        <f>Efficiency!V390</f>
        <v>40</v>
      </c>
      <c r="X192" s="36">
        <f>Efficiency!W390</f>
        <v>1430</v>
      </c>
      <c r="Y192" s="36">
        <f>Efficiency!X390</f>
        <v>17</v>
      </c>
      <c r="Z192" s="36">
        <f>Efficiency!Y390</f>
        <v>47</v>
      </c>
      <c r="AA192" s="36">
        <f>Efficiency!Z390</f>
        <v>18</v>
      </c>
      <c r="AB192" s="36">
        <f>Efficiency!AA390</f>
        <v>16</v>
      </c>
      <c r="AC192" s="36">
        <f>Efficiency!AB390</f>
        <v>24</v>
      </c>
      <c r="AD192" s="36">
        <f>Efficiency!AC390</f>
        <v>37</v>
      </c>
      <c r="AE192" s="36">
        <f>Efficiency!AD390</f>
        <v>108</v>
      </c>
      <c r="AF192" s="201" t="s">
        <v>478</v>
      </c>
      <c r="AG192" s="140"/>
      <c r="AH192" s="201"/>
    </row>
    <row r="193" spans="3:34">
      <c r="C193" s="140"/>
      <c r="D193" s="185" t="s">
        <v>486</v>
      </c>
      <c r="E193" s="36">
        <f>Efficiency!D438</f>
        <v>25</v>
      </c>
      <c r="F193" s="36">
        <f>Efficiency!E438</f>
        <v>0</v>
      </c>
      <c r="G193" s="36">
        <f>Efficiency!F438</f>
        <v>11</v>
      </c>
      <c r="H193" s="36">
        <f>Efficiency!G438</f>
        <v>2</v>
      </c>
      <c r="I193" s="36">
        <f>Efficiency!H438</f>
        <v>0</v>
      </c>
      <c r="J193" s="36">
        <f>Efficiency!I438</f>
        <v>0</v>
      </c>
      <c r="K193" s="36">
        <f>Efficiency!J438</f>
        <v>1</v>
      </c>
      <c r="L193" s="36">
        <f>Efficiency!K438</f>
        <v>0</v>
      </c>
      <c r="M193" s="36">
        <f>Efficiency!L438</f>
        <v>1</v>
      </c>
      <c r="N193" s="36">
        <f>Efficiency!M438</f>
        <v>0</v>
      </c>
      <c r="O193" s="36">
        <f>Efficiency!N438</f>
        <v>0</v>
      </c>
      <c r="P193" s="36">
        <f>Efficiency!O438</f>
        <v>1</v>
      </c>
      <c r="Q193" s="36">
        <f>Efficiency!P438</f>
        <v>1</v>
      </c>
      <c r="R193" s="36">
        <f>Efficiency!Q438</f>
        <v>2</v>
      </c>
      <c r="S193" s="36">
        <f>Efficiency!R438</f>
        <v>2</v>
      </c>
      <c r="T193" s="36">
        <f>Efficiency!S438</f>
        <v>0</v>
      </c>
      <c r="U193" s="36">
        <f>Efficiency!T438</f>
        <v>0</v>
      </c>
      <c r="V193" s="36">
        <f>Efficiency!U438</f>
        <v>1</v>
      </c>
      <c r="W193" s="36">
        <f>Efficiency!V438</f>
        <v>0</v>
      </c>
      <c r="X193" s="36">
        <f>Efficiency!W438</f>
        <v>0</v>
      </c>
      <c r="Y193" s="36">
        <f>Efficiency!X438</f>
        <v>0</v>
      </c>
      <c r="Z193" s="36">
        <f>Efficiency!Y438</f>
        <v>0</v>
      </c>
      <c r="AA193" s="36">
        <f>Efficiency!Z438</f>
        <v>0</v>
      </c>
      <c r="AB193" s="36">
        <f>Efficiency!AA438</f>
        <v>1</v>
      </c>
      <c r="AC193" s="36">
        <f>Efficiency!AB438</f>
        <v>0</v>
      </c>
      <c r="AD193" s="36">
        <f>Efficiency!AC438</f>
        <v>1</v>
      </c>
      <c r="AE193" s="36">
        <f>Efficiency!AD438</f>
        <v>1</v>
      </c>
      <c r="AF193" s="201" t="s">
        <v>478</v>
      </c>
      <c r="AG193" s="140"/>
      <c r="AH193" s="429"/>
    </row>
    <row r="194" spans="3:34">
      <c r="C194" s="140"/>
      <c r="D194" s="185" t="s">
        <v>487</v>
      </c>
      <c r="E194" s="36">
        <f>Efficiency!D486</f>
        <v>4530</v>
      </c>
      <c r="F194" s="36">
        <f>Efficiency!E486</f>
        <v>46</v>
      </c>
      <c r="G194" s="36">
        <f>Efficiency!F486</f>
        <v>1676</v>
      </c>
      <c r="H194" s="36">
        <f>Efficiency!G486</f>
        <v>292</v>
      </c>
      <c r="I194" s="36">
        <f>Efficiency!H486</f>
        <v>54</v>
      </c>
      <c r="J194" s="36">
        <f>Efficiency!I486</f>
        <v>56</v>
      </c>
      <c r="K194" s="36">
        <f>Efficiency!J486</f>
        <v>24</v>
      </c>
      <c r="L194" s="36">
        <f>Efficiency!K486</f>
        <v>103</v>
      </c>
      <c r="M194" s="36">
        <f>Efficiency!L486</f>
        <v>239</v>
      </c>
      <c r="N194" s="36">
        <f>Efficiency!M486</f>
        <v>29</v>
      </c>
      <c r="O194" s="36">
        <f>Efficiency!N486</f>
        <v>98</v>
      </c>
      <c r="P194" s="36">
        <f>Efficiency!O486</f>
        <v>141</v>
      </c>
      <c r="Q194" s="36">
        <f>Efficiency!P486</f>
        <v>257</v>
      </c>
      <c r="R194" s="36">
        <f>Efficiency!Q486</f>
        <v>107</v>
      </c>
      <c r="S194" s="36">
        <f>Efficiency!R486</f>
        <v>514</v>
      </c>
      <c r="T194" s="36">
        <f>Efficiency!S486</f>
        <v>98</v>
      </c>
      <c r="U194" s="36">
        <f>Efficiency!T486</f>
        <v>123</v>
      </c>
      <c r="V194" s="36">
        <f>Efficiency!U486</f>
        <v>94</v>
      </c>
      <c r="W194" s="36">
        <f>Efficiency!V486</f>
        <v>100</v>
      </c>
      <c r="X194" s="36">
        <f>Efficiency!W486</f>
        <v>228</v>
      </c>
      <c r="Y194" s="36">
        <f>Efficiency!X486</f>
        <v>17</v>
      </c>
      <c r="Z194" s="36">
        <f>Efficiency!Y486</f>
        <v>58</v>
      </c>
      <c r="AA194" s="36">
        <f>Efficiency!Z486</f>
        <v>30</v>
      </c>
      <c r="AB194" s="36">
        <f>Efficiency!AA486</f>
        <v>29</v>
      </c>
      <c r="AC194" s="36">
        <f>Efficiency!AB486</f>
        <v>35</v>
      </c>
      <c r="AD194" s="36">
        <f>Efficiency!AC486</f>
        <v>51</v>
      </c>
      <c r="AE194" s="36">
        <f>Efficiency!AD486</f>
        <v>31</v>
      </c>
      <c r="AF194" s="201" t="s">
        <v>478</v>
      </c>
      <c r="AH194" s="201"/>
    </row>
    <row r="195" spans="3:34">
      <c r="C195" s="185" t="s">
        <v>545</v>
      </c>
      <c r="D195" s="189" t="s">
        <v>479</v>
      </c>
      <c r="E195" s="36">
        <f>Efficiency!D534</f>
        <v>2500</v>
      </c>
      <c r="F195" s="36">
        <f>Efficiency!E534</f>
        <v>10</v>
      </c>
      <c r="G195" s="36">
        <f>Efficiency!F534</f>
        <v>1579</v>
      </c>
      <c r="H195" s="36">
        <f>Efficiency!G534</f>
        <v>71</v>
      </c>
      <c r="I195" s="36">
        <f>Efficiency!H534</f>
        <v>10</v>
      </c>
      <c r="J195" s="36">
        <f>Efficiency!I534</f>
        <v>12</v>
      </c>
      <c r="K195" s="36">
        <f>Efficiency!J534</f>
        <v>4</v>
      </c>
      <c r="L195" s="36">
        <f>Efficiency!K534</f>
        <v>48</v>
      </c>
      <c r="M195" s="36">
        <f>Efficiency!L534</f>
        <v>95</v>
      </c>
      <c r="N195" s="36">
        <f>Efficiency!M534</f>
        <v>14</v>
      </c>
      <c r="O195" s="36">
        <f>Efficiency!N534</f>
        <v>14</v>
      </c>
      <c r="P195" s="36">
        <f>Efficiency!O534</f>
        <v>17</v>
      </c>
      <c r="Q195" s="36">
        <f>Efficiency!P534</f>
        <v>31</v>
      </c>
      <c r="R195" s="36">
        <f>Efficiency!Q534</f>
        <v>44</v>
      </c>
      <c r="S195" s="36">
        <f>Efficiency!R534</f>
        <v>164</v>
      </c>
      <c r="T195" s="36">
        <f>Efficiency!S534</f>
        <v>28</v>
      </c>
      <c r="U195" s="36">
        <f>Efficiency!T534</f>
        <v>125</v>
      </c>
      <c r="V195" s="36">
        <f>Efficiency!U534</f>
        <v>12</v>
      </c>
      <c r="W195" s="36">
        <f>Efficiency!V534</f>
        <v>44</v>
      </c>
      <c r="X195" s="36">
        <f>Efficiency!W534</f>
        <v>115</v>
      </c>
      <c r="Y195" s="36">
        <f>Efficiency!X534</f>
        <v>0</v>
      </c>
      <c r="Z195" s="36">
        <f>Efficiency!Y534</f>
        <v>20</v>
      </c>
      <c r="AA195" s="36">
        <f>Efficiency!Z534</f>
        <v>3</v>
      </c>
      <c r="AB195" s="36">
        <f>Efficiency!AA534</f>
        <v>12</v>
      </c>
      <c r="AC195" s="36">
        <f>Efficiency!AB534</f>
        <v>7</v>
      </c>
      <c r="AD195" s="36">
        <f>Efficiency!AC534</f>
        <v>17</v>
      </c>
      <c r="AE195" s="36">
        <f>Efficiency!AD534</f>
        <v>4</v>
      </c>
      <c r="AF195" s="189" t="s">
        <v>488</v>
      </c>
      <c r="AH195" s="201"/>
    </row>
    <row r="196" spans="3:34">
      <c r="C196" s="140"/>
      <c r="D196" s="189" t="s">
        <v>480</v>
      </c>
      <c r="E196" s="36">
        <f>Efficiency!D582</f>
        <v>17463</v>
      </c>
      <c r="F196" s="36">
        <f>Efficiency!E582</f>
        <v>147</v>
      </c>
      <c r="G196" s="36">
        <f>Efficiency!F582</f>
        <v>8514</v>
      </c>
      <c r="H196" s="36">
        <f>Efficiency!G582</f>
        <v>715</v>
      </c>
      <c r="I196" s="36">
        <f>Efficiency!H582</f>
        <v>204</v>
      </c>
      <c r="J196" s="36">
        <f>Efficiency!I582</f>
        <v>200</v>
      </c>
      <c r="K196" s="36">
        <f>Efficiency!J582</f>
        <v>83</v>
      </c>
      <c r="L196" s="36">
        <f>Efficiency!K582</f>
        <v>508</v>
      </c>
      <c r="M196" s="36">
        <f>Efficiency!L582</f>
        <v>832</v>
      </c>
      <c r="N196" s="36">
        <f>Efficiency!M582</f>
        <v>150</v>
      </c>
      <c r="O196" s="36">
        <f>Efficiency!N582</f>
        <v>259</v>
      </c>
      <c r="P196" s="36">
        <f>Efficiency!O582</f>
        <v>250</v>
      </c>
      <c r="Q196" s="36">
        <f>Efficiency!P582</f>
        <v>315</v>
      </c>
      <c r="R196" s="36">
        <f>Efficiency!Q582</f>
        <v>301</v>
      </c>
      <c r="S196" s="36">
        <f>Efficiency!R582</f>
        <v>1538</v>
      </c>
      <c r="T196" s="36">
        <f>Efficiency!S582</f>
        <v>436</v>
      </c>
      <c r="U196" s="36">
        <f>Efficiency!T582</f>
        <v>487</v>
      </c>
      <c r="V196" s="36">
        <f>Efficiency!U582</f>
        <v>241</v>
      </c>
      <c r="W196" s="36">
        <f>Efficiency!V582</f>
        <v>262</v>
      </c>
      <c r="X196" s="36">
        <f>Efficiency!W582</f>
        <v>822</v>
      </c>
      <c r="Y196" s="36">
        <f>Efficiency!X582</f>
        <v>65</v>
      </c>
      <c r="Z196" s="36">
        <f>Efficiency!Y582</f>
        <v>270</v>
      </c>
      <c r="AA196" s="36">
        <f>Efficiency!Z582</f>
        <v>129</v>
      </c>
      <c r="AB196" s="36">
        <f>Efficiency!AA582</f>
        <v>155</v>
      </c>
      <c r="AC196" s="36">
        <f>Efficiency!AB582</f>
        <v>157</v>
      </c>
      <c r="AD196" s="36">
        <f>Efficiency!AC582</f>
        <v>348</v>
      </c>
      <c r="AE196" s="36">
        <f>Efficiency!AD582</f>
        <v>75</v>
      </c>
      <c r="AF196" s="189" t="s">
        <v>488</v>
      </c>
      <c r="AH196" s="201"/>
    </row>
    <row r="197" spans="3:34">
      <c r="C197" s="140"/>
      <c r="D197" s="189" t="s">
        <v>484</v>
      </c>
      <c r="E197" s="36">
        <f>Efficiency!D630</f>
        <v>1350</v>
      </c>
      <c r="F197" s="36">
        <f>Efficiency!E630</f>
        <v>4</v>
      </c>
      <c r="G197" s="36">
        <f>Efficiency!F630</f>
        <v>1055</v>
      </c>
      <c r="H197" s="36">
        <f>Efficiency!G630</f>
        <v>37</v>
      </c>
      <c r="I197" s="36">
        <f>Efficiency!H630</f>
        <v>1</v>
      </c>
      <c r="J197" s="36">
        <f>Efficiency!I630</f>
        <v>16</v>
      </c>
      <c r="K197" s="36">
        <f>Efficiency!J630</f>
        <v>0</v>
      </c>
      <c r="L197" s="36">
        <f>Efficiency!K630</f>
        <v>25</v>
      </c>
      <c r="M197" s="36">
        <f>Efficiency!L630</f>
        <v>51</v>
      </c>
      <c r="N197" s="36">
        <f>Efficiency!M630</f>
        <v>3</v>
      </c>
      <c r="O197" s="36">
        <f>Efficiency!N630</f>
        <v>6</v>
      </c>
      <c r="P197" s="36">
        <f>Efficiency!O630</f>
        <v>3</v>
      </c>
      <c r="Q197" s="36">
        <f>Efficiency!P630</f>
        <v>13</v>
      </c>
      <c r="R197" s="36">
        <f>Efficiency!Q630</f>
        <v>7</v>
      </c>
      <c r="S197" s="36">
        <f>Efficiency!R630</f>
        <v>49</v>
      </c>
      <c r="T197" s="36">
        <f>Efficiency!S630</f>
        <v>4</v>
      </c>
      <c r="U197" s="36">
        <f>Efficiency!T630</f>
        <v>42</v>
      </c>
      <c r="V197" s="36">
        <f>Efficiency!U630</f>
        <v>3</v>
      </c>
      <c r="W197" s="36">
        <f>Efficiency!V630</f>
        <v>1</v>
      </c>
      <c r="X197" s="36">
        <f>Efficiency!W630</f>
        <v>24</v>
      </c>
      <c r="Y197" s="36">
        <f>Efficiency!X630</f>
        <v>0</v>
      </c>
      <c r="Z197" s="36">
        <f>Efficiency!Y630</f>
        <v>2</v>
      </c>
      <c r="AA197" s="36">
        <f>Efficiency!Z630</f>
        <v>0</v>
      </c>
      <c r="AB197" s="36">
        <f>Efficiency!AA630</f>
        <v>2</v>
      </c>
      <c r="AC197" s="36">
        <f>Efficiency!AB630</f>
        <v>1</v>
      </c>
      <c r="AD197" s="36">
        <f>Efficiency!AC630</f>
        <v>1</v>
      </c>
      <c r="AE197" s="36">
        <f>Efficiency!AD630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65">
        <v>0</v>
      </c>
      <c r="G199" s="211">
        <f>Demands!B168+Demands!C168</f>
        <v>73</v>
      </c>
      <c r="H199" s="365">
        <v>0</v>
      </c>
      <c r="I199" s="365">
        <v>0</v>
      </c>
      <c r="J199" s="365">
        <v>0</v>
      </c>
      <c r="K199" s="365">
        <v>0</v>
      </c>
      <c r="L199" s="365">
        <v>0</v>
      </c>
      <c r="M199" s="365">
        <v>0</v>
      </c>
      <c r="N199" s="365">
        <v>0</v>
      </c>
      <c r="O199" s="365">
        <v>0</v>
      </c>
      <c r="P199" s="365">
        <v>0</v>
      </c>
      <c r="Q199" s="365">
        <v>0</v>
      </c>
      <c r="R199" s="365">
        <v>0</v>
      </c>
      <c r="S199" s="365">
        <v>0</v>
      </c>
      <c r="T199" s="365">
        <v>0</v>
      </c>
      <c r="U199" s="365">
        <v>0</v>
      </c>
      <c r="V199" s="365">
        <v>0</v>
      </c>
      <c r="W199" s="365">
        <v>0</v>
      </c>
      <c r="X199" s="365">
        <v>0</v>
      </c>
      <c r="Y199" s="365">
        <v>0</v>
      </c>
      <c r="Z199" s="365">
        <v>0</v>
      </c>
      <c r="AA199" s="365">
        <v>0</v>
      </c>
      <c r="AB199" s="365">
        <v>0</v>
      </c>
      <c r="AC199" s="365">
        <v>0</v>
      </c>
      <c r="AD199" s="365">
        <v>0</v>
      </c>
      <c r="AE199" s="365">
        <v>0</v>
      </c>
      <c r="AF199" s="201" t="s">
        <v>579</v>
      </c>
      <c r="AH199" s="193"/>
    </row>
    <row r="200" spans="3:34">
      <c r="C200" s="36"/>
      <c r="D200" s="201" t="s">
        <v>577</v>
      </c>
      <c r="E200" s="36">
        <f>SUM(F289:F292)</f>
        <v>52</v>
      </c>
      <c r="F200" s="365">
        <v>0</v>
      </c>
      <c r="G200" s="211">
        <f>E200</f>
        <v>52</v>
      </c>
      <c r="H200" s="365">
        <v>0</v>
      </c>
      <c r="I200" s="365">
        <v>0</v>
      </c>
      <c r="J200" s="365">
        <v>0</v>
      </c>
      <c r="K200" s="365">
        <v>0</v>
      </c>
      <c r="L200" s="365">
        <v>0</v>
      </c>
      <c r="M200" s="365">
        <v>0</v>
      </c>
      <c r="N200" s="365">
        <v>0</v>
      </c>
      <c r="O200" s="365">
        <v>0</v>
      </c>
      <c r="P200" s="365">
        <v>0</v>
      </c>
      <c r="Q200" s="365">
        <v>0</v>
      </c>
      <c r="R200" s="365">
        <v>0</v>
      </c>
      <c r="S200" s="365">
        <v>0</v>
      </c>
      <c r="T200" s="365">
        <v>0</v>
      </c>
      <c r="U200" s="365">
        <v>0</v>
      </c>
      <c r="V200" s="365">
        <v>0</v>
      </c>
      <c r="W200" s="365">
        <v>0</v>
      </c>
      <c r="X200" s="365">
        <v>0</v>
      </c>
      <c r="Y200" s="365">
        <v>0</v>
      </c>
      <c r="Z200" s="365">
        <v>0</v>
      </c>
      <c r="AA200" s="365">
        <v>0</v>
      </c>
      <c r="AB200" s="365">
        <v>0</v>
      </c>
      <c r="AC200" s="365">
        <v>0</v>
      </c>
      <c r="AD200" s="365">
        <v>0</v>
      </c>
      <c r="AE200" s="365">
        <v>0</v>
      </c>
      <c r="AF200" s="201" t="s">
        <v>580</v>
      </c>
      <c r="AG200" s="201"/>
      <c r="AH200" s="193"/>
    </row>
    <row r="201" spans="3:34">
      <c r="C201" s="36"/>
      <c r="D201" s="201" t="s">
        <v>578</v>
      </c>
      <c r="E201" s="36">
        <f>SUM(F278:F288)</f>
        <v>144</v>
      </c>
      <c r="F201" s="36">
        <f>$E$201*Demands!C185</f>
        <v>1.7216380556777637</v>
      </c>
      <c r="G201" s="36">
        <f>$E$201*Demands!D185</f>
        <v>40.744476376377783</v>
      </c>
      <c r="H201" s="36">
        <f>$E$201*Demands!E185</f>
        <v>6.7285771436191437</v>
      </c>
      <c r="I201" s="36">
        <f>$E$201*Demands!F185</f>
        <v>3.0008007366861493</v>
      </c>
      <c r="J201" s="36">
        <f>$E$201*Demands!G185</f>
        <v>2.5612586665098633</v>
      </c>
      <c r="K201" s="36">
        <f>$E$201*Demands!H185</f>
        <v>1.2360098406821689</v>
      </c>
      <c r="L201" s="36">
        <f>$E$201*Demands!I185</f>
        <v>3.897484703997276</v>
      </c>
      <c r="M201" s="36">
        <f>$E$201*Demands!J185</f>
        <v>5.8981798098014071</v>
      </c>
      <c r="N201" s="36">
        <f>$E$201*Demands!K185</f>
        <v>2.3575603256287172</v>
      </c>
      <c r="O201" s="36">
        <f>$E$201*Demands!L185</f>
        <v>2.684427214967243</v>
      </c>
      <c r="P201" s="36">
        <f>$E$201*Demands!M185</f>
        <v>4.5276310857195625</v>
      </c>
      <c r="Q201" s="36">
        <f>$E$201*Demands!N185</f>
        <v>4.3069679631824895</v>
      </c>
      <c r="R201" s="36">
        <f>$E$201*Demands!O185</f>
        <v>3.5930560820182822</v>
      </c>
      <c r="S201" s="36">
        <f>$E$201*Demands!P185</f>
        <v>16.416465397486057</v>
      </c>
      <c r="T201" s="36">
        <f>$E$201*Demands!Q185</f>
        <v>4.4666969769197546</v>
      </c>
      <c r="U201" s="36">
        <f>$E$201*Demands!R185</f>
        <v>5.8937949731880215</v>
      </c>
      <c r="V201" s="36">
        <f>$E$201*Demands!S185</f>
        <v>4.8249230081071151</v>
      </c>
      <c r="W201" s="36">
        <f>$E$201*Demands!T185</f>
        <v>3.5131915751496496</v>
      </c>
      <c r="X201" s="36">
        <f>$E$201*Demands!U185</f>
        <v>7.8037390812213223</v>
      </c>
      <c r="Y201" s="36">
        <f>$E$201*Demands!V185</f>
        <v>0.96901865130573772</v>
      </c>
      <c r="Z201" s="36">
        <f>$E$201*Demands!W185</f>
        <v>3.94656463381469</v>
      </c>
      <c r="AA201" s="36">
        <f>$E$201*Demands!X185</f>
        <v>1.9518268577542608</v>
      </c>
      <c r="AB201" s="36">
        <f>$E$201*Demands!Y185</f>
        <v>1.9817949479878143</v>
      </c>
      <c r="AC201" s="36">
        <f>$E$201*Demands!Z185</f>
        <v>2.3035814749053136</v>
      </c>
      <c r="AD201" s="36">
        <f>$E$201*Demands!AA185</f>
        <v>4.8140062769524086</v>
      </c>
      <c r="AE201" s="36">
        <f>$E$201*Demands!AB185</f>
        <v>1.8563281403399705</v>
      </c>
      <c r="AF201" s="201" t="s">
        <v>580</v>
      </c>
      <c r="AG201" s="201"/>
      <c r="AH201" s="193"/>
    </row>
    <row r="202" spans="3:34">
      <c r="C202" s="201" t="s">
        <v>650</v>
      </c>
      <c r="D202" s="201" t="s">
        <v>1065</v>
      </c>
      <c r="E202" s="36">
        <f>Demands!C406+Demands!C407</f>
        <v>890</v>
      </c>
      <c r="F202" s="36">
        <f>Demands!D406+Demands!D407</f>
        <v>10</v>
      </c>
      <c r="G202" s="36">
        <f>Demands!E406+Demands!E407</f>
        <v>278</v>
      </c>
      <c r="H202" s="36">
        <f>Demands!F406+Demands!F407</f>
        <v>49</v>
      </c>
      <c r="I202" s="36">
        <f>Demands!G406+Demands!G407</f>
        <v>15</v>
      </c>
      <c r="J202" s="36">
        <f>Demands!H406+Demands!H407</f>
        <v>21</v>
      </c>
      <c r="K202" s="36">
        <f>Demands!I406+Demands!I407</f>
        <v>8</v>
      </c>
      <c r="L202" s="36">
        <f>Demands!J406+Demands!J407</f>
        <v>15</v>
      </c>
      <c r="M202" s="36">
        <f>Demands!K406+Demands!K407</f>
        <v>21</v>
      </c>
      <c r="N202" s="36">
        <f>Demands!L406+Demands!L407</f>
        <v>10</v>
      </c>
      <c r="O202" s="36">
        <f>Demands!M406+Demands!M407</f>
        <v>14</v>
      </c>
      <c r="P202" s="36">
        <f>Demands!N406+Demands!N407</f>
        <v>28</v>
      </c>
      <c r="Q202" s="36">
        <f>Demands!O406+Demands!O407</f>
        <v>46</v>
      </c>
      <c r="R202" s="36">
        <f>Demands!P406+Demands!P407</f>
        <v>16</v>
      </c>
      <c r="S202" s="36">
        <f>Demands!Q406+Demands!Q407</f>
        <v>131</v>
      </c>
      <c r="T202" s="36">
        <f>Demands!R406+Demands!R407</f>
        <v>21</v>
      </c>
      <c r="U202" s="36">
        <f>Demands!S406+Demands!S407</f>
        <v>14</v>
      </c>
      <c r="V202" s="36">
        <f>Demands!T406+Demands!T407</f>
        <v>27</v>
      </c>
      <c r="W202" s="36">
        <f>Demands!U406+Demands!U407</f>
        <v>30</v>
      </c>
      <c r="X202" s="36">
        <f>Demands!V406+Demands!V407</f>
        <v>44</v>
      </c>
      <c r="Y202" s="36">
        <f>Demands!W406+Demands!W407</f>
        <v>2</v>
      </c>
      <c r="Z202" s="36">
        <f>Demands!X406+Demands!X407</f>
        <v>19</v>
      </c>
      <c r="AA202" s="36">
        <f>Demands!Y406+Demands!Y407</f>
        <v>14</v>
      </c>
      <c r="AB202" s="36">
        <f>Demands!Z406+Demands!Z407</f>
        <v>9</v>
      </c>
      <c r="AC202" s="36">
        <f>Demands!AA406+Demands!AA407</f>
        <v>7</v>
      </c>
      <c r="AD202" s="36">
        <f>Demands!AB406+Demands!AB407</f>
        <v>29</v>
      </c>
      <c r="AE202" s="36">
        <f>Demands!AC406+Demands!AC407</f>
        <v>12</v>
      </c>
      <c r="AF202" s="201" t="s">
        <v>574</v>
      </c>
      <c r="AH202" s="193"/>
    </row>
    <row r="203" spans="3:34">
      <c r="C203" s="429"/>
      <c r="D203" s="429" t="s">
        <v>1066</v>
      </c>
      <c r="E203" s="36">
        <f>(Demands!C414+Demands!C415)-Demands!C406-Demands!C407</f>
        <v>320884</v>
      </c>
      <c r="F203" s="36">
        <f>(Demands!D414+Demands!D415)-Demands!D406-Demands!D407</f>
        <v>5262</v>
      </c>
      <c r="G203" s="36">
        <f>(Demands!E414+Demands!E415)-Demands!E406-Demands!E407</f>
        <v>67396</v>
      </c>
      <c r="H203" s="36">
        <f>(Demands!F414+Demands!F415)-Demands!F406-Demands!F407</f>
        <v>14377</v>
      </c>
      <c r="I203" s="36">
        <f>(Demands!G414+Demands!G415)-Demands!G406-Demands!G407</f>
        <v>7244</v>
      </c>
      <c r="J203" s="36">
        <f>(Demands!H414+Demands!H415)-Demands!H406-Demands!H407</f>
        <v>5341</v>
      </c>
      <c r="K203" s="36">
        <f>(Demands!I414+Demands!I415)-Demands!I406-Demands!I407</f>
        <v>3521</v>
      </c>
      <c r="L203" s="36">
        <f>(Demands!J414+Demands!J415)-Demands!J406-Demands!J407</f>
        <v>7139</v>
      </c>
      <c r="M203" s="36">
        <f>(Demands!K414+Demands!K415)-Demands!K406-Demands!K407</f>
        <v>12860</v>
      </c>
      <c r="N203" s="36">
        <f>(Demands!L414+Demands!L415)-Demands!L406-Demands!L407</f>
        <v>6027</v>
      </c>
      <c r="O203" s="36">
        <f>(Demands!M414+Demands!M415)-Demands!M406-Demands!M407</f>
        <v>7581</v>
      </c>
      <c r="P203" s="36">
        <f>(Demands!N414+Demands!N415)-Demands!N406-Demands!N407</f>
        <v>12181</v>
      </c>
      <c r="Q203" s="36">
        <f>(Demands!O414+Demands!O415)-Demands!O406-Demands!O407</f>
        <v>8787</v>
      </c>
      <c r="R203" s="36">
        <f>(Demands!P414+Demands!P415)-Demands!P406-Demands!P407</f>
        <v>8802</v>
      </c>
      <c r="S203" s="36">
        <f>(Demands!Q414+Demands!Q415)-Demands!Q406-Demands!Q407</f>
        <v>37667</v>
      </c>
      <c r="T203" s="36">
        <f>(Demands!R414+Demands!R415)-Demands!R406-Demands!R407</f>
        <v>11120</v>
      </c>
      <c r="U203" s="36">
        <f>(Demands!S414+Demands!S415)-Demands!S406-Demands!S407</f>
        <v>11993</v>
      </c>
      <c r="V203" s="36">
        <f>(Demands!T414+Demands!T415)-Demands!T406-Demands!T407</f>
        <v>12476</v>
      </c>
      <c r="W203" s="36">
        <f>(Demands!U414+Demands!U415)-Demands!U406-Demands!U407</f>
        <v>7567</v>
      </c>
      <c r="X203" s="36">
        <f>(Demands!V414+Demands!V415)-Demands!V406-Demands!V407</f>
        <v>18740</v>
      </c>
      <c r="Y203" s="36">
        <f>(Demands!W414+Demands!W415)-Demands!W406-Demands!W407</f>
        <v>3193</v>
      </c>
      <c r="Z203" s="36">
        <f>(Demands!X414+Demands!X415)-Demands!X406-Demands!X407</f>
        <v>12511</v>
      </c>
      <c r="AA203" s="36">
        <f>(Demands!Y414+Demands!Y415)-Demands!Y406-Demands!Y407</f>
        <v>5896</v>
      </c>
      <c r="AB203" s="36">
        <f>(Demands!Z414+Demands!Z415)-Demands!Z406-Demands!Z407</f>
        <v>5600</v>
      </c>
      <c r="AC203" s="36">
        <f>(Demands!AA414+Demands!AA415)-Demands!AA406-Demands!AA407</f>
        <v>7370</v>
      </c>
      <c r="AD203" s="36">
        <f>(Demands!AB414+Demands!AB415)-Demands!AB406-Demands!AB407</f>
        <v>13568</v>
      </c>
      <c r="AE203" s="36">
        <f>(Demands!AC414+Demands!AC415)-Demands!AC406-Demands!AC407</f>
        <v>6664</v>
      </c>
      <c r="AF203" s="429"/>
      <c r="AG203" s="429"/>
      <c r="AH203" s="193"/>
    </row>
    <row r="204" spans="3:34">
      <c r="C204" s="429"/>
      <c r="D204" s="429" t="s">
        <v>1067</v>
      </c>
      <c r="E204" s="36">
        <f>Demands!C416+Demands!C417</f>
        <v>11034</v>
      </c>
      <c r="F204" s="36">
        <f>Demands!D416+Demands!D417</f>
        <v>147</v>
      </c>
      <c r="G204" s="36">
        <f>Demands!E416+Demands!E417</f>
        <v>2966</v>
      </c>
      <c r="H204" s="36">
        <f>Demands!F416+Demands!F417</f>
        <v>553</v>
      </c>
      <c r="I204" s="36">
        <f>Demands!G416+Demands!G417</f>
        <v>249</v>
      </c>
      <c r="J204" s="36">
        <f>Demands!H416+Demands!H417</f>
        <v>217</v>
      </c>
      <c r="K204" s="36">
        <f>Demands!I416+Demands!I417</f>
        <v>134</v>
      </c>
      <c r="L204" s="36">
        <f>Demands!J416+Demands!J417</f>
        <v>372</v>
      </c>
      <c r="M204" s="36">
        <f>Demands!K416+Demands!K417</f>
        <v>479</v>
      </c>
      <c r="N204" s="36">
        <f>Demands!L416+Demands!L417</f>
        <v>166</v>
      </c>
      <c r="O204" s="36">
        <f>Demands!M416+Demands!M417</f>
        <v>198</v>
      </c>
      <c r="P204" s="36">
        <f>Demands!N416+Demands!N417</f>
        <v>389</v>
      </c>
      <c r="Q204" s="36">
        <f>Demands!O416+Demands!O417</f>
        <v>207</v>
      </c>
      <c r="R204" s="36">
        <f>Demands!P416+Demands!P417</f>
        <v>220</v>
      </c>
      <c r="S204" s="36">
        <f>Demands!Q416+Demands!Q417</f>
        <v>1167</v>
      </c>
      <c r="T204" s="36">
        <f>Demands!R416+Demands!R417</f>
        <v>262</v>
      </c>
      <c r="U204" s="36">
        <f>Demands!S416+Demands!S417</f>
        <v>700</v>
      </c>
      <c r="V204" s="36">
        <f>Demands!T416+Demands!T417</f>
        <v>409</v>
      </c>
      <c r="W204" s="36">
        <f>Demands!U416+Demands!U417</f>
        <v>207</v>
      </c>
      <c r="X204" s="36">
        <f>Demands!V416+Demands!V417</f>
        <v>547</v>
      </c>
      <c r="Y204" s="36">
        <f>Demands!W416+Demands!W417</f>
        <v>74</v>
      </c>
      <c r="Z204" s="36">
        <f>Demands!X416+Demands!X417</f>
        <v>261</v>
      </c>
      <c r="AA204" s="36">
        <f>Demands!Y416+Demands!Y417</f>
        <v>148</v>
      </c>
      <c r="AB204" s="36">
        <f>Demands!Z416+Demands!Z417</f>
        <v>205</v>
      </c>
      <c r="AC204" s="36">
        <f>Demands!AA416+Demands!AA417</f>
        <v>184</v>
      </c>
      <c r="AD204" s="36">
        <f>Demands!AB416+Demands!AB417</f>
        <v>318</v>
      </c>
      <c r="AE204" s="36">
        <f>Demands!AC416+Demands!AC417</f>
        <v>256</v>
      </c>
      <c r="AF204" s="429"/>
      <c r="AG204" s="429"/>
      <c r="AH204" s="193"/>
    </row>
    <row r="205" spans="3:34">
      <c r="D205" s="429" t="s">
        <v>1068</v>
      </c>
      <c r="E205" s="36">
        <f>Demands!C418+Demands!C419</f>
        <v>21651</v>
      </c>
      <c r="F205" s="36">
        <f>Demands!D418+Demands!D419</f>
        <v>390</v>
      </c>
      <c r="G205" s="36">
        <f>Demands!E418+Demands!E419</f>
        <v>3883</v>
      </c>
      <c r="H205" s="36">
        <f>Demands!F418+Demands!F419</f>
        <v>1112</v>
      </c>
      <c r="I205" s="36">
        <f>Demands!G418+Demands!G419</f>
        <v>713</v>
      </c>
      <c r="J205" s="36">
        <f>Demands!H418+Demands!H419</f>
        <v>455</v>
      </c>
      <c r="K205" s="36">
        <f>Demands!I418+Demands!I419</f>
        <v>276</v>
      </c>
      <c r="L205" s="36">
        <f>Demands!J418+Demands!J419</f>
        <v>617</v>
      </c>
      <c r="M205" s="36">
        <f>Demands!K418+Demands!K419</f>
        <v>1424</v>
      </c>
      <c r="N205" s="36">
        <f>Demands!L418+Demands!L419</f>
        <v>323</v>
      </c>
      <c r="O205" s="36">
        <f>Demands!M418+Demands!M419</f>
        <v>316</v>
      </c>
      <c r="P205" s="36">
        <f>Demands!N418+Demands!N419</f>
        <v>1390</v>
      </c>
      <c r="Q205" s="36">
        <f>Demands!O418+Demands!O419</f>
        <v>396</v>
      </c>
      <c r="R205" s="36">
        <f>Demands!P418+Demands!P419</f>
        <v>397</v>
      </c>
      <c r="S205" s="36">
        <f>Demands!Q418+Demands!Q419</f>
        <v>2558</v>
      </c>
      <c r="T205" s="36">
        <f>Demands!R418+Demands!R419</f>
        <v>516</v>
      </c>
      <c r="U205" s="36">
        <f>Demands!S418+Demands!S419</f>
        <v>941</v>
      </c>
      <c r="V205" s="36">
        <f>Demands!T418+Demands!T419</f>
        <v>1050</v>
      </c>
      <c r="W205" s="36">
        <f>Demands!U418+Demands!U419</f>
        <v>358</v>
      </c>
      <c r="X205" s="36">
        <f>Demands!V418+Demands!V419</f>
        <v>1026</v>
      </c>
      <c r="Y205" s="36">
        <f>Demands!W418+Demands!W419</f>
        <v>135</v>
      </c>
      <c r="Z205" s="36">
        <f>Demands!X418+Demands!X419</f>
        <v>570</v>
      </c>
      <c r="AA205" s="36">
        <f>Demands!Y418+Demands!Y419</f>
        <v>326</v>
      </c>
      <c r="AB205" s="36">
        <f>Demands!Z418+Demands!Z419</f>
        <v>232</v>
      </c>
      <c r="AC205" s="36">
        <f>Demands!AA418+Demands!AA419</f>
        <v>488</v>
      </c>
      <c r="AD205" s="36">
        <f>Demands!AB418+Demands!AB419</f>
        <v>720</v>
      </c>
      <c r="AE205" s="36">
        <f>Demands!AC418+Demands!AC419</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548"/>
      <c r="D241" s="548"/>
      <c r="E241" s="548"/>
      <c r="F241" s="548"/>
      <c r="G241" s="548"/>
      <c r="H241" s="548"/>
      <c r="I241" s="548"/>
      <c r="J241" s="548"/>
      <c r="K241" s="548"/>
      <c r="L241" s="548"/>
      <c r="M241" s="548"/>
      <c r="N241" s="548"/>
      <c r="O241" s="548"/>
      <c r="P241" s="548"/>
      <c r="Q241" s="548"/>
      <c r="R241" s="548"/>
      <c r="S241" s="548"/>
      <c r="T241" s="548"/>
      <c r="U241" s="548"/>
      <c r="V241" s="548"/>
      <c r="W241" s="548"/>
      <c r="X241" s="548"/>
      <c r="Y241" s="548"/>
      <c r="Z241" s="548"/>
      <c r="AA241" s="548"/>
      <c r="AB241" s="548"/>
      <c r="AC241" s="548"/>
      <c r="AD241" s="548"/>
      <c r="AE241" s="548"/>
      <c r="AF241" s="548"/>
      <c r="AG241" s="548"/>
      <c r="AH241" s="201"/>
    </row>
    <row r="242" spans="1:34">
      <c r="C242" s="548"/>
      <c r="D242" s="548"/>
      <c r="E242" s="548"/>
      <c r="F242" s="548"/>
      <c r="G242" s="548"/>
      <c r="H242" s="548"/>
      <c r="I242" s="548"/>
      <c r="J242" s="548"/>
      <c r="K242" s="548"/>
      <c r="L242" s="548"/>
      <c r="M242" s="548"/>
      <c r="N242" s="548"/>
      <c r="O242" s="548"/>
      <c r="P242" s="548"/>
      <c r="Q242" s="548"/>
      <c r="R242" s="548"/>
      <c r="S242" s="548"/>
      <c r="T242" s="548"/>
      <c r="U242" s="548"/>
      <c r="V242" s="548"/>
      <c r="W242" s="548"/>
      <c r="X242" s="548"/>
      <c r="Y242" s="548"/>
      <c r="Z242" s="548"/>
      <c r="AA242" s="548"/>
      <c r="AB242" s="548"/>
      <c r="AC242" s="548"/>
      <c r="AD242" s="548"/>
      <c r="AE242" s="548"/>
      <c r="AF242" s="548"/>
      <c r="AG242" s="548"/>
    </row>
    <row r="243" spans="1:34" ht="106.2" customHeight="1">
      <c r="C243" s="548"/>
      <c r="D243" s="548"/>
      <c r="E243" s="548"/>
      <c r="F243" s="548"/>
      <c r="G243" s="548"/>
      <c r="H243" s="548"/>
      <c r="I243" s="548"/>
      <c r="J243" s="548"/>
      <c r="K243" s="548"/>
      <c r="L243" s="548"/>
      <c r="M243" s="548"/>
      <c r="N243" s="548"/>
      <c r="O243" s="548"/>
      <c r="P243" s="548"/>
      <c r="Q243" s="548"/>
      <c r="R243" s="548"/>
      <c r="S243" s="548"/>
      <c r="T243" s="548"/>
      <c r="U243" s="548"/>
      <c r="V243" s="548"/>
      <c r="W243" s="548"/>
      <c r="X243" s="548"/>
      <c r="Y243" s="548"/>
      <c r="Z243" s="548"/>
      <c r="AA243" s="548"/>
      <c r="AB243" s="548"/>
      <c r="AC243" s="548"/>
      <c r="AD243" s="548"/>
      <c r="AE243" s="548"/>
      <c r="AF243" s="548"/>
      <c r="AG243" s="548"/>
    </row>
    <row r="244" spans="1:34" s="201" customFormat="1">
      <c r="A244" s="548"/>
      <c r="B244" s="548"/>
      <c r="C244" s="855" t="s">
        <v>490</v>
      </c>
      <c r="D244" s="855"/>
      <c r="E244" s="855"/>
      <c r="F244" s="855"/>
      <c r="G244" s="855"/>
      <c r="H244" s="855"/>
      <c r="I244" s="548"/>
      <c r="J244" s="548"/>
      <c r="K244" s="548"/>
      <c r="L244" s="548"/>
      <c r="M244" s="548"/>
      <c r="N244" s="548"/>
      <c r="O244" s="548"/>
      <c r="P244" s="548"/>
      <c r="Q244" s="548"/>
      <c r="R244" s="548"/>
      <c r="S244" s="548"/>
      <c r="T244" s="548"/>
      <c r="U244" s="548"/>
      <c r="V244" s="548"/>
      <c r="W244" s="548"/>
      <c r="X244" s="548"/>
      <c r="Y244" s="548"/>
      <c r="Z244" s="548"/>
      <c r="AA244" s="548"/>
      <c r="AB244" s="548"/>
      <c r="AC244" s="548"/>
      <c r="AD244" s="548"/>
      <c r="AE244" s="548"/>
      <c r="AF244" s="548"/>
      <c r="AG244" s="548"/>
      <c r="AH244"/>
    </row>
    <row r="245" spans="1:34" s="201" customFormat="1">
      <c r="A245" s="548"/>
      <c r="B245" s="548"/>
      <c r="C245" s="192" t="s">
        <v>28</v>
      </c>
      <c r="D245" s="192">
        <v>170</v>
      </c>
      <c r="E245" s="192">
        <v>180</v>
      </c>
      <c r="F245" s="192">
        <v>148</v>
      </c>
      <c r="G245" s="192">
        <v>144</v>
      </c>
      <c r="H245" s="192">
        <v>146</v>
      </c>
      <c r="I245" s="548" t="s">
        <v>519</v>
      </c>
      <c r="J245" s="548"/>
      <c r="K245" s="548"/>
      <c r="L245" s="548"/>
      <c r="M245" s="548"/>
      <c r="N245" s="548"/>
      <c r="O245" s="548"/>
      <c r="P245" s="548"/>
      <c r="Q245" s="548"/>
      <c r="R245" s="548"/>
      <c r="S245" s="548"/>
      <c r="T245" s="548"/>
      <c r="U245" s="548"/>
      <c r="V245" s="548"/>
      <c r="W245" s="548"/>
      <c r="X245" s="548"/>
      <c r="Y245" s="548"/>
      <c r="Z245" s="548"/>
      <c r="AA245" s="548"/>
      <c r="AB245" s="548"/>
      <c r="AC245" s="548"/>
      <c r="AD245" s="548"/>
      <c r="AE245" s="548"/>
      <c r="AF245" s="548"/>
      <c r="AG245" s="548"/>
      <c r="AH245"/>
    </row>
    <row r="246" spans="1:34">
      <c r="C246" s="191" t="s">
        <v>27</v>
      </c>
      <c r="D246" s="191">
        <v>305</v>
      </c>
      <c r="E246" s="191">
        <v>308</v>
      </c>
      <c r="F246" s="191">
        <v>312</v>
      </c>
      <c r="G246" s="191">
        <v>325</v>
      </c>
      <c r="H246" s="191">
        <v>332</v>
      </c>
      <c r="I246" s="548" t="s">
        <v>518</v>
      </c>
      <c r="J246" s="548"/>
      <c r="K246" s="548"/>
      <c r="L246" s="548"/>
      <c r="M246" s="548"/>
      <c r="N246" s="548"/>
      <c r="O246" s="548"/>
      <c r="P246" s="548"/>
      <c r="Q246" s="548"/>
      <c r="R246" s="548"/>
      <c r="S246" s="548"/>
      <c r="T246" s="548"/>
      <c r="U246" s="548"/>
      <c r="V246" s="548"/>
      <c r="W246" s="548"/>
      <c r="X246" s="548"/>
      <c r="Y246" s="548"/>
      <c r="Z246" s="548"/>
      <c r="AA246" s="548"/>
      <c r="AB246" s="548"/>
      <c r="AC246" s="548"/>
      <c r="AD246" s="548"/>
      <c r="AE246" s="548"/>
      <c r="AF246" s="548"/>
      <c r="AG246" s="548"/>
    </row>
    <row r="247" spans="1:34">
      <c r="C247" s="881" t="s">
        <v>491</v>
      </c>
      <c r="D247" s="881"/>
      <c r="E247" s="881"/>
      <c r="F247" s="881"/>
      <c r="G247" s="881"/>
      <c r="H247" s="881"/>
      <c r="I247" s="548"/>
      <c r="J247" s="548"/>
      <c r="K247" s="548"/>
      <c r="L247" s="548"/>
      <c r="M247" s="548"/>
      <c r="N247" s="548"/>
      <c r="O247" s="548"/>
      <c r="P247" s="548"/>
      <c r="Q247" s="548"/>
      <c r="R247" s="548"/>
      <c r="S247" s="548"/>
      <c r="T247" s="548"/>
      <c r="U247" s="548"/>
      <c r="V247" s="548"/>
      <c r="W247" s="548"/>
      <c r="X247" s="548"/>
      <c r="Y247" s="548"/>
      <c r="Z247" s="548"/>
      <c r="AA247" s="548"/>
      <c r="AB247" s="548"/>
      <c r="AC247" s="548"/>
      <c r="AD247" s="548"/>
      <c r="AE247" s="548"/>
      <c r="AF247" s="548"/>
      <c r="AG247" s="548"/>
    </row>
    <row r="248" spans="1:34">
      <c r="C248" s="548"/>
      <c r="D248" s="548"/>
      <c r="E248" s="548"/>
      <c r="F248" s="548"/>
      <c r="G248" s="548"/>
      <c r="H248" s="548"/>
      <c r="I248" s="548"/>
      <c r="J248" s="548"/>
      <c r="K248" s="548"/>
      <c r="L248" s="548"/>
      <c r="M248" s="548"/>
      <c r="N248" s="548"/>
      <c r="O248" s="548"/>
      <c r="P248" s="548"/>
      <c r="Q248" s="548"/>
      <c r="R248" s="548"/>
      <c r="S248" s="548"/>
      <c r="T248" s="548"/>
      <c r="U248" s="548"/>
      <c r="V248" s="548"/>
      <c r="W248" s="548"/>
      <c r="X248" s="548"/>
      <c r="Y248" s="548"/>
      <c r="Z248" s="548"/>
      <c r="AA248" s="548"/>
      <c r="AB248" s="548"/>
      <c r="AC248" s="548"/>
      <c r="AD248" s="548"/>
      <c r="AE248" s="548"/>
      <c r="AF248" s="548"/>
      <c r="AG248" s="548"/>
    </row>
    <row r="249" spans="1:34">
      <c r="C249" s="194" t="s">
        <v>28</v>
      </c>
      <c r="D249" s="548"/>
      <c r="E249" s="548" t="s">
        <v>516</v>
      </c>
      <c r="F249" s="548" t="s">
        <v>517</v>
      </c>
      <c r="G249" s="548"/>
      <c r="H249" s="548"/>
      <c r="I249" s="548"/>
      <c r="J249" s="548"/>
      <c r="K249" s="548"/>
      <c r="L249" s="548"/>
      <c r="M249" s="548"/>
      <c r="N249" s="548"/>
      <c r="O249" s="548"/>
      <c r="P249" s="548"/>
      <c r="Q249" s="548"/>
      <c r="R249" s="548"/>
      <c r="S249" s="548"/>
      <c r="T249" s="548"/>
      <c r="U249" s="548"/>
      <c r="V249" s="548"/>
      <c r="W249" s="548"/>
      <c r="X249" s="548"/>
      <c r="Y249" s="548"/>
      <c r="Z249" s="548"/>
      <c r="AA249" s="548"/>
      <c r="AB249" s="548"/>
      <c r="AC249" s="548"/>
      <c r="AD249" s="548"/>
      <c r="AE249" s="548"/>
      <c r="AF249" s="548"/>
      <c r="AG249" s="548"/>
    </row>
    <row r="250" spans="1:34">
      <c r="C250" s="193" t="s">
        <v>493</v>
      </c>
      <c r="D250" s="548" t="s">
        <v>360</v>
      </c>
      <c r="E250" s="548">
        <v>14</v>
      </c>
      <c r="F250" s="6">
        <f>E250/$E$260</f>
        <v>0.33333333333333331</v>
      </c>
      <c r="G250" s="548"/>
      <c r="H250" s="548"/>
      <c r="I250" s="548"/>
      <c r="J250" s="548"/>
      <c r="K250" s="548"/>
      <c r="L250" s="548"/>
      <c r="M250" s="548"/>
      <c r="N250" s="548"/>
      <c r="O250" s="548"/>
      <c r="P250" s="548"/>
      <c r="Q250" s="548"/>
      <c r="R250" s="548"/>
      <c r="S250" s="548"/>
      <c r="T250" s="548"/>
      <c r="U250" s="548"/>
      <c r="V250" s="548"/>
      <c r="W250" s="548"/>
      <c r="X250" s="548"/>
      <c r="Y250" s="548"/>
      <c r="Z250" s="548"/>
      <c r="AA250" s="548"/>
      <c r="AB250" s="548"/>
      <c r="AC250" s="548"/>
      <c r="AD250" s="548"/>
      <c r="AE250" s="548"/>
      <c r="AF250" s="548"/>
      <c r="AG250" s="548"/>
    </row>
    <row r="251" spans="1:34">
      <c r="C251" s="193" t="s">
        <v>494</v>
      </c>
      <c r="D251" s="548" t="s">
        <v>515</v>
      </c>
      <c r="E251" s="548">
        <v>1</v>
      </c>
      <c r="F251" s="6">
        <f>E251/$E$260</f>
        <v>2.3809523809523808E-2</v>
      </c>
      <c r="G251" s="548"/>
      <c r="H251" s="548"/>
      <c r="I251" s="548"/>
      <c r="J251" s="548"/>
      <c r="K251" s="548"/>
      <c r="L251" s="548"/>
      <c r="M251" s="548"/>
      <c r="N251" s="548"/>
      <c r="O251" s="548"/>
      <c r="P251" s="548"/>
      <c r="Q251" s="548"/>
      <c r="R251" s="548"/>
      <c r="S251" s="548"/>
      <c r="T251" s="548"/>
      <c r="U251" s="548"/>
      <c r="V251" s="548"/>
      <c r="W251" s="548"/>
      <c r="X251" s="548"/>
      <c r="Y251" s="548"/>
      <c r="Z251" s="548"/>
      <c r="AA251" s="548"/>
      <c r="AB251" s="548"/>
      <c r="AC251" s="548"/>
      <c r="AD251" s="548"/>
      <c r="AE251" s="548"/>
      <c r="AF251" s="548"/>
      <c r="AG251" s="548"/>
    </row>
    <row r="252" spans="1:34">
      <c r="C252" s="193" t="s">
        <v>495</v>
      </c>
      <c r="D252" s="548" t="s">
        <v>369</v>
      </c>
      <c r="E252" s="548">
        <v>5</v>
      </c>
      <c r="F252" s="6">
        <f>E252/$E$260</f>
        <v>0.11904761904761904</v>
      </c>
      <c r="G252" s="548"/>
      <c r="H252" s="548"/>
      <c r="I252" s="548"/>
      <c r="J252" s="548"/>
      <c r="K252" s="548"/>
      <c r="L252" s="548"/>
      <c r="M252" s="548"/>
      <c r="N252" s="548"/>
      <c r="O252" s="548"/>
      <c r="P252" s="548"/>
      <c r="Q252" s="548"/>
      <c r="R252" s="548"/>
      <c r="S252" s="548"/>
      <c r="T252" s="548"/>
      <c r="U252" s="548"/>
      <c r="V252" s="548"/>
      <c r="W252" s="548"/>
      <c r="X252" s="548"/>
      <c r="Y252" s="548"/>
      <c r="Z252" s="548"/>
      <c r="AA252" s="548"/>
      <c r="AB252" s="548"/>
      <c r="AC252" s="548"/>
      <c r="AD252" s="548"/>
      <c r="AE252" s="548"/>
      <c r="AF252" s="548"/>
      <c r="AG252" s="548"/>
    </row>
    <row r="253" spans="1:34">
      <c r="C253" s="193" t="s">
        <v>496</v>
      </c>
      <c r="D253" s="548" t="s">
        <v>372</v>
      </c>
      <c r="E253" s="548">
        <v>4</v>
      </c>
      <c r="F253" s="6">
        <f>E253/$E$260</f>
        <v>9.5238095238095233E-2</v>
      </c>
      <c r="G253" s="548"/>
      <c r="H253" s="548"/>
      <c r="I253" s="548"/>
      <c r="J253" s="548"/>
      <c r="K253" s="548"/>
      <c r="L253" s="548"/>
      <c r="M253" s="548"/>
      <c r="N253" s="548"/>
      <c r="O253" s="548"/>
      <c r="P253" s="548"/>
      <c r="Q253" s="548"/>
      <c r="R253" s="548"/>
      <c r="S253" s="548"/>
      <c r="T253" s="548"/>
      <c r="U253" s="548"/>
      <c r="V253" s="548"/>
      <c r="W253" s="548"/>
      <c r="X253" s="548"/>
      <c r="Y253" s="548"/>
      <c r="Z253" s="548"/>
      <c r="AA253" s="548"/>
      <c r="AB253" s="548"/>
      <c r="AC253" s="548"/>
      <c r="AD253" s="548"/>
      <c r="AE253" s="548"/>
      <c r="AF253" s="548"/>
      <c r="AG253" s="548"/>
    </row>
    <row r="254" spans="1:34">
      <c r="C254" s="193" t="s">
        <v>497</v>
      </c>
      <c r="D254" s="548" t="s">
        <v>373</v>
      </c>
      <c r="E254" s="548">
        <v>2</v>
      </c>
      <c r="F254" s="6">
        <f>E254/$E$260</f>
        <v>4.7619047619047616E-2</v>
      </c>
      <c r="G254" s="548"/>
      <c r="H254" s="548"/>
      <c r="I254" s="548"/>
      <c r="J254" s="548"/>
      <c r="K254" s="548"/>
      <c r="L254" s="548"/>
      <c r="M254" s="548"/>
      <c r="N254" s="548"/>
      <c r="O254" s="548"/>
      <c r="P254" s="548"/>
      <c r="Q254" s="548"/>
      <c r="R254" s="548"/>
      <c r="S254" s="548"/>
      <c r="T254" s="548"/>
      <c r="U254" s="548"/>
      <c r="V254" s="548"/>
      <c r="W254" s="548"/>
      <c r="X254" s="548"/>
      <c r="Y254" s="548"/>
      <c r="Z254" s="548"/>
      <c r="AA254" s="548"/>
      <c r="AB254" s="548"/>
      <c r="AC254" s="548"/>
      <c r="AD254" s="548"/>
      <c r="AE254" s="548"/>
      <c r="AF254" s="548"/>
      <c r="AG254" s="548"/>
    </row>
    <row r="255" spans="1:34">
      <c r="C255" s="193" t="s">
        <v>498</v>
      </c>
      <c r="D255" s="548" t="s">
        <v>374</v>
      </c>
      <c r="E255" s="548">
        <v>5</v>
      </c>
      <c r="F255" s="6">
        <f>E255/$E$260</f>
        <v>0.11904761904761904</v>
      </c>
      <c r="G255" s="548"/>
      <c r="H255" s="548"/>
      <c r="I255" s="548"/>
      <c r="J255" s="548"/>
      <c r="K255" s="548"/>
      <c r="L255" s="548"/>
      <c r="M255" s="548"/>
      <c r="N255" s="548"/>
      <c r="O255" s="548"/>
      <c r="P255" s="548"/>
      <c r="Q255" s="548"/>
      <c r="R255" s="548"/>
      <c r="S255" s="548"/>
      <c r="T255" s="548"/>
      <c r="U255" s="548"/>
      <c r="V255" s="548"/>
      <c r="W255" s="548"/>
      <c r="X255" s="548"/>
      <c r="Y255" s="548"/>
      <c r="Z255" s="548"/>
      <c r="AA255" s="548"/>
      <c r="AB255" s="548"/>
      <c r="AC255" s="548"/>
      <c r="AD255" s="548"/>
      <c r="AE255" s="548"/>
      <c r="AF255" s="548"/>
      <c r="AG255" s="548"/>
    </row>
    <row r="256" spans="1:34">
      <c r="C256" s="193" t="s">
        <v>499</v>
      </c>
      <c r="D256" s="548" t="s">
        <v>376</v>
      </c>
      <c r="E256" s="548">
        <v>2</v>
      </c>
      <c r="F256" s="6">
        <f>E256/$E$260</f>
        <v>4.7619047619047616E-2</v>
      </c>
      <c r="G256" s="548"/>
      <c r="H256" s="548"/>
      <c r="I256" s="548"/>
      <c r="J256" s="548"/>
      <c r="K256" s="548"/>
      <c r="L256" s="548"/>
      <c r="M256" s="548"/>
      <c r="N256" s="548"/>
      <c r="O256" s="548"/>
      <c r="P256" s="548"/>
      <c r="Q256" s="548"/>
      <c r="R256" s="548"/>
      <c r="S256" s="548"/>
      <c r="T256" s="548"/>
      <c r="U256" s="548"/>
      <c r="V256" s="548"/>
      <c r="W256" s="548"/>
      <c r="X256" s="548"/>
      <c r="Y256" s="548"/>
      <c r="Z256" s="548"/>
      <c r="AA256" s="548"/>
      <c r="AB256" s="548"/>
      <c r="AC256" s="548"/>
      <c r="AD256" s="548"/>
      <c r="AE256" s="548"/>
      <c r="AF256" s="548"/>
      <c r="AG256" s="548"/>
    </row>
    <row r="257" spans="3:33">
      <c r="C257" s="193" t="s">
        <v>500</v>
      </c>
      <c r="D257" s="548" t="s">
        <v>377</v>
      </c>
      <c r="E257" s="548">
        <v>6</v>
      </c>
      <c r="F257" s="6">
        <f>E257/$E$260</f>
        <v>0.14285714285714285</v>
      </c>
      <c r="G257" s="548"/>
      <c r="H257" s="548"/>
      <c r="I257" s="548"/>
      <c r="J257" s="548"/>
      <c r="K257" s="548"/>
      <c r="L257" s="548"/>
      <c r="M257" s="548"/>
      <c r="N257" s="548"/>
      <c r="O257" s="548"/>
      <c r="P257" s="548"/>
      <c r="Q257" s="548"/>
      <c r="R257" s="548"/>
      <c r="S257" s="548"/>
      <c r="T257" s="548"/>
      <c r="U257" s="548"/>
      <c r="V257" s="548"/>
      <c r="W257" s="548"/>
      <c r="X257" s="548"/>
      <c r="Y257" s="548"/>
      <c r="Z257" s="548"/>
      <c r="AA257" s="548"/>
      <c r="AB257" s="548"/>
      <c r="AC257" s="548"/>
      <c r="AD257" s="548"/>
      <c r="AE257" s="548"/>
      <c r="AF257" s="548"/>
      <c r="AG257" s="548"/>
    </row>
    <row r="258" spans="3:33">
      <c r="C258" s="193" t="s">
        <v>501</v>
      </c>
      <c r="D258" s="548" t="s">
        <v>381</v>
      </c>
      <c r="E258" s="548">
        <v>1</v>
      </c>
      <c r="F258" s="6">
        <f>E258/$E$260</f>
        <v>2.3809523809523808E-2</v>
      </c>
      <c r="G258" s="548"/>
      <c r="H258" s="548"/>
      <c r="I258" s="548"/>
      <c r="J258" s="548"/>
      <c r="K258" s="548"/>
      <c r="L258" s="548"/>
      <c r="M258" s="548"/>
      <c r="N258" s="548"/>
      <c r="O258" s="548"/>
      <c r="P258" s="548"/>
      <c r="Q258" s="548"/>
      <c r="R258" s="548"/>
      <c r="S258" s="548"/>
      <c r="T258" s="548"/>
      <c r="U258" s="548"/>
      <c r="V258" s="548"/>
      <c r="W258" s="548"/>
      <c r="X258" s="548"/>
      <c r="Y258" s="548"/>
      <c r="Z258" s="548"/>
      <c r="AA258" s="548"/>
      <c r="AB258" s="548"/>
      <c r="AC258" s="548"/>
      <c r="AD258" s="548"/>
      <c r="AE258" s="548"/>
      <c r="AF258" s="548"/>
      <c r="AG258" s="548"/>
    </row>
    <row r="259" spans="3:33">
      <c r="C259" s="193" t="s">
        <v>502</v>
      </c>
      <c r="D259" s="548" t="s">
        <v>383</v>
      </c>
      <c r="E259" s="548">
        <v>2</v>
      </c>
      <c r="F259" s="6">
        <f>E259/$E$260</f>
        <v>4.7619047619047616E-2</v>
      </c>
      <c r="G259" s="548"/>
      <c r="H259" s="548"/>
      <c r="I259" s="548"/>
      <c r="J259" s="548"/>
      <c r="K259" s="548"/>
      <c r="L259" s="548"/>
      <c r="M259" s="548"/>
      <c r="N259" s="548"/>
      <c r="O259" s="548"/>
      <c r="P259" s="548"/>
      <c r="Q259" s="548"/>
      <c r="R259" s="548"/>
      <c r="S259" s="548"/>
      <c r="T259" s="548"/>
      <c r="U259" s="548"/>
      <c r="V259" s="548"/>
      <c r="W259" s="548"/>
      <c r="X259" s="548"/>
      <c r="Y259" s="548"/>
      <c r="Z259" s="548"/>
      <c r="AA259" s="548"/>
      <c r="AB259" s="548"/>
      <c r="AC259" s="548"/>
      <c r="AD259" s="548"/>
      <c r="AE259" s="548"/>
      <c r="AF259" s="548"/>
      <c r="AG259" s="548"/>
    </row>
    <row r="260" spans="3:33">
      <c r="C260" s="193" t="s">
        <v>503</v>
      </c>
      <c r="D260" s="548"/>
      <c r="E260" s="548">
        <f>SUM(E250:E259)</f>
        <v>42</v>
      </c>
      <c r="F260" s="548"/>
      <c r="G260" s="548"/>
      <c r="H260" s="548"/>
      <c r="I260" s="548"/>
      <c r="J260" s="548"/>
      <c r="K260" s="548"/>
      <c r="L260" s="548"/>
      <c r="M260" s="548"/>
      <c r="N260" s="548"/>
      <c r="O260" s="548"/>
      <c r="P260" s="548"/>
      <c r="Q260" s="548"/>
      <c r="R260" s="548"/>
      <c r="S260" s="548"/>
      <c r="T260" s="548"/>
      <c r="U260" s="548"/>
      <c r="V260" s="548"/>
      <c r="W260" s="548"/>
      <c r="X260" s="548"/>
      <c r="Y260" s="548"/>
      <c r="Z260" s="548"/>
      <c r="AA260" s="548"/>
      <c r="AB260" s="548"/>
      <c r="AC260" s="548"/>
      <c r="AD260" s="548"/>
      <c r="AE260" s="548"/>
      <c r="AF260" s="548"/>
      <c r="AG260" s="548"/>
    </row>
    <row r="261" spans="3:33">
      <c r="C261" s="193" t="s">
        <v>504</v>
      </c>
      <c r="D261" s="548"/>
      <c r="E261" s="548"/>
      <c r="F261" s="548"/>
      <c r="G261" s="548"/>
      <c r="H261" s="548"/>
      <c r="I261" s="548"/>
      <c r="J261" s="548"/>
      <c r="K261" s="548"/>
      <c r="L261" s="548"/>
      <c r="M261" s="548"/>
      <c r="N261" s="548"/>
      <c r="O261" s="548"/>
      <c r="P261" s="548"/>
      <c r="Q261" s="548"/>
      <c r="R261" s="548"/>
      <c r="S261" s="548"/>
      <c r="T261" s="548"/>
      <c r="U261" s="548"/>
      <c r="V261" s="548"/>
      <c r="W261" s="548"/>
      <c r="X261" s="548"/>
      <c r="Y261" s="548"/>
      <c r="Z261" s="548"/>
      <c r="AA261" s="548"/>
      <c r="AB261" s="548"/>
      <c r="AC261" s="548"/>
      <c r="AD261" s="548"/>
      <c r="AE261" s="548"/>
      <c r="AF261" s="548"/>
      <c r="AG261" s="548"/>
    </row>
    <row r="262" spans="3:33">
      <c r="C262" s="193" t="s">
        <v>505</v>
      </c>
      <c r="D262" s="548"/>
      <c r="E262" s="548"/>
      <c r="F262" s="548"/>
      <c r="G262" s="548"/>
      <c r="H262" s="548"/>
      <c r="I262" s="548"/>
      <c r="J262" s="548"/>
      <c r="K262" s="548"/>
      <c r="L262" s="548"/>
      <c r="M262" s="548"/>
      <c r="N262" s="548"/>
      <c r="O262" s="548"/>
      <c r="P262" s="548"/>
      <c r="Q262" s="548"/>
      <c r="R262" s="548"/>
      <c r="S262" s="548"/>
      <c r="T262" s="548"/>
      <c r="U262" s="548"/>
      <c r="V262" s="548"/>
      <c r="W262" s="548"/>
      <c r="X262" s="548"/>
      <c r="Y262" s="548"/>
      <c r="Z262" s="548"/>
      <c r="AA262" s="548"/>
      <c r="AB262" s="548"/>
      <c r="AC262" s="548"/>
      <c r="AD262" s="548"/>
      <c r="AE262" s="548"/>
      <c r="AF262" s="548"/>
      <c r="AG262" s="548"/>
    </row>
    <row r="263" spans="3:33">
      <c r="C263" s="193" t="s">
        <v>506</v>
      </c>
      <c r="D263" s="548"/>
      <c r="E263" s="548"/>
      <c r="F263" s="548"/>
      <c r="G263" s="548"/>
      <c r="H263" s="548"/>
      <c r="I263" s="548"/>
      <c r="J263" s="548"/>
      <c r="K263" s="548"/>
      <c r="L263" s="548"/>
      <c r="M263" s="548"/>
      <c r="N263" s="548"/>
      <c r="O263" s="548"/>
      <c r="P263" s="548"/>
      <c r="Q263" s="548"/>
      <c r="R263" s="548"/>
      <c r="S263" s="548"/>
      <c r="T263" s="548"/>
      <c r="U263" s="548"/>
      <c r="V263" s="548"/>
      <c r="W263" s="548"/>
      <c r="X263" s="548"/>
      <c r="Y263" s="548"/>
      <c r="Z263" s="548"/>
      <c r="AA263" s="548"/>
      <c r="AB263" s="548"/>
      <c r="AC263" s="548"/>
      <c r="AD263" s="548"/>
      <c r="AE263" s="548"/>
      <c r="AF263" s="548"/>
      <c r="AG263" s="548"/>
    </row>
    <row r="264" spans="3:33">
      <c r="C264" s="193" t="s">
        <v>507</v>
      </c>
      <c r="D264" s="548"/>
      <c r="E264" s="548"/>
      <c r="F264" s="548"/>
      <c r="G264" s="548"/>
      <c r="H264" s="548"/>
      <c r="I264" s="548"/>
      <c r="J264" s="548"/>
      <c r="K264" s="548"/>
      <c r="L264" s="548"/>
      <c r="M264" s="548"/>
      <c r="N264" s="548"/>
      <c r="O264" s="548"/>
      <c r="P264" s="548"/>
      <c r="Q264" s="548"/>
      <c r="R264" s="548"/>
      <c r="S264" s="548"/>
      <c r="T264" s="548"/>
      <c r="U264" s="548"/>
      <c r="V264" s="548"/>
      <c r="W264" s="548"/>
      <c r="X264" s="548"/>
      <c r="Y264" s="548"/>
      <c r="Z264" s="548"/>
      <c r="AA264" s="548"/>
      <c r="AB264" s="548"/>
      <c r="AC264" s="548"/>
      <c r="AD264" s="548"/>
      <c r="AE264" s="548"/>
      <c r="AF264" s="548"/>
      <c r="AG264" s="548"/>
    </row>
    <row r="265" spans="3:33">
      <c r="C265" s="193" t="s">
        <v>508</v>
      </c>
      <c r="D265" s="548"/>
      <c r="E265" s="548"/>
      <c r="F265" s="548"/>
      <c r="G265" s="548"/>
      <c r="H265" s="548"/>
      <c r="I265" s="548"/>
      <c r="J265" s="548"/>
      <c r="K265" s="548"/>
      <c r="L265" s="548"/>
      <c r="M265" s="548"/>
      <c r="N265" s="548"/>
      <c r="O265" s="548"/>
      <c r="P265" s="548"/>
      <c r="Q265" s="548"/>
      <c r="R265" s="548"/>
      <c r="S265" s="548"/>
      <c r="T265" s="548"/>
      <c r="U265" s="548"/>
      <c r="V265" s="548"/>
      <c r="W265" s="548"/>
      <c r="X265" s="548"/>
      <c r="Y265" s="548"/>
      <c r="Z265" s="548"/>
      <c r="AA265" s="548"/>
      <c r="AB265" s="548"/>
      <c r="AC265" s="548"/>
      <c r="AD265" s="548"/>
      <c r="AE265" s="548"/>
      <c r="AF265" s="548"/>
      <c r="AG265" s="548"/>
    </row>
    <row r="266" spans="3:33">
      <c r="C266" s="193" t="s">
        <v>509</v>
      </c>
      <c r="D266" s="548"/>
      <c r="E266" s="548"/>
      <c r="F266" s="548"/>
      <c r="G266" s="548"/>
      <c r="H266" s="548"/>
      <c r="I266" s="548"/>
      <c r="J266" s="548"/>
      <c r="K266" s="548"/>
      <c r="L266" s="548"/>
      <c r="M266" s="548"/>
      <c r="N266" s="548"/>
      <c r="O266" s="548"/>
      <c r="P266" s="548"/>
      <c r="Q266" s="548"/>
      <c r="R266" s="548"/>
      <c r="S266" s="548"/>
      <c r="T266" s="548"/>
      <c r="U266" s="548"/>
      <c r="V266" s="548"/>
      <c r="W266" s="548"/>
      <c r="X266" s="548"/>
      <c r="Y266" s="548"/>
      <c r="Z266" s="548"/>
      <c r="AA266" s="548"/>
      <c r="AB266" s="548"/>
      <c r="AC266" s="548"/>
      <c r="AD266" s="548"/>
      <c r="AE266" s="548"/>
      <c r="AF266" s="548"/>
      <c r="AG266" s="548"/>
    </row>
    <row r="267" spans="3:33">
      <c r="C267" s="193" t="s">
        <v>510</v>
      </c>
      <c r="D267" s="548"/>
      <c r="E267" s="548"/>
      <c r="F267" s="548"/>
      <c r="G267" s="548"/>
      <c r="H267" s="548"/>
      <c r="I267" s="548"/>
      <c r="J267" s="548"/>
      <c r="K267" s="548"/>
      <c r="L267" s="548"/>
      <c r="M267" s="548"/>
      <c r="N267" s="548"/>
      <c r="O267" s="548"/>
      <c r="P267" s="548"/>
      <c r="Q267" s="548"/>
      <c r="R267" s="548"/>
      <c r="S267" s="548"/>
      <c r="T267" s="548"/>
      <c r="U267" s="548"/>
      <c r="V267" s="548"/>
      <c r="W267" s="548"/>
      <c r="X267" s="548"/>
      <c r="Y267" s="548"/>
      <c r="Z267" s="548"/>
      <c r="AA267" s="548"/>
      <c r="AB267" s="548"/>
      <c r="AC267" s="548"/>
      <c r="AD267" s="548"/>
      <c r="AE267" s="548"/>
      <c r="AF267" s="548"/>
      <c r="AG267" s="548"/>
    </row>
    <row r="268" spans="3:33">
      <c r="C268" s="193" t="s">
        <v>511</v>
      </c>
      <c r="D268" s="548"/>
      <c r="E268" s="548"/>
      <c r="F268" s="548"/>
      <c r="G268" s="548"/>
      <c r="H268" s="548"/>
      <c r="I268" s="548"/>
      <c r="J268" s="548"/>
      <c r="K268" s="548"/>
      <c r="L268" s="548"/>
      <c r="M268" s="548"/>
      <c r="N268" s="548"/>
      <c r="O268" s="548"/>
      <c r="P268" s="548"/>
      <c r="Q268" s="548"/>
      <c r="R268" s="548"/>
      <c r="S268" s="548"/>
      <c r="T268" s="548"/>
      <c r="U268" s="548"/>
      <c r="V268" s="548"/>
      <c r="W268" s="548"/>
      <c r="X268" s="548"/>
      <c r="Y268" s="548"/>
      <c r="Z268" s="548"/>
      <c r="AA268" s="548"/>
      <c r="AB268" s="548"/>
      <c r="AC268" s="548"/>
      <c r="AD268" s="548"/>
      <c r="AE268" s="548"/>
      <c r="AF268" s="548"/>
      <c r="AG268" s="548"/>
    </row>
    <row r="269" spans="3:33" ht="28.8">
      <c r="C269" s="193" t="s">
        <v>512</v>
      </c>
      <c r="D269" s="548"/>
      <c r="E269" s="548"/>
      <c r="F269" s="548"/>
      <c r="G269" s="548"/>
      <c r="H269" s="548"/>
      <c r="I269" s="548"/>
      <c r="J269" s="548"/>
      <c r="K269" s="548"/>
      <c r="L269" s="548"/>
      <c r="M269" s="548"/>
      <c r="N269" s="548"/>
      <c r="O269" s="548"/>
      <c r="P269" s="548"/>
      <c r="Q269" s="548"/>
      <c r="R269" s="548"/>
      <c r="S269" s="548"/>
      <c r="T269" s="548"/>
      <c r="U269" s="548"/>
      <c r="V269" s="548"/>
      <c r="W269" s="548"/>
      <c r="X269" s="548"/>
      <c r="Y269" s="548"/>
      <c r="Z269" s="548"/>
      <c r="AA269" s="548"/>
      <c r="AB269" s="548"/>
      <c r="AC269" s="548"/>
      <c r="AD269" s="548"/>
      <c r="AE269" s="548"/>
      <c r="AF269" s="548"/>
      <c r="AG269" s="548"/>
    </row>
    <row r="270" spans="3:33">
      <c r="C270" s="193" t="s">
        <v>513</v>
      </c>
      <c r="D270" s="548"/>
      <c r="E270" s="548"/>
      <c r="F270" s="548"/>
      <c r="G270" s="548"/>
      <c r="H270" s="548"/>
      <c r="I270" s="548"/>
      <c r="J270" s="548"/>
      <c r="K270" s="548"/>
      <c r="L270" s="548"/>
      <c r="M270" s="548"/>
      <c r="N270" s="548"/>
      <c r="O270" s="548"/>
      <c r="P270" s="548"/>
      <c r="Q270" s="548"/>
      <c r="R270" s="548"/>
      <c r="S270" s="548"/>
      <c r="T270" s="548"/>
      <c r="U270" s="548"/>
      <c r="V270" s="548"/>
      <c r="W270" s="548"/>
      <c r="X270" s="548"/>
      <c r="Y270" s="548"/>
      <c r="Z270" s="548"/>
      <c r="AA270" s="548"/>
      <c r="AB270" s="548"/>
      <c r="AC270" s="548"/>
      <c r="AD270" s="548"/>
      <c r="AE270" s="548"/>
      <c r="AF270" s="548"/>
      <c r="AG270" s="548"/>
    </row>
    <row r="271" spans="3:33">
      <c r="C271" s="193" t="s">
        <v>514</v>
      </c>
      <c r="D271" s="548"/>
      <c r="E271" s="548"/>
      <c r="F271" s="548"/>
      <c r="G271" s="548"/>
      <c r="H271" s="548"/>
      <c r="I271" s="548"/>
      <c r="J271" s="548"/>
      <c r="K271" s="548"/>
      <c r="L271" s="548"/>
      <c r="M271" s="548"/>
      <c r="N271" s="548"/>
      <c r="O271" s="548"/>
      <c r="P271" s="548"/>
      <c r="Q271" s="548"/>
      <c r="R271" s="548"/>
      <c r="S271" s="548"/>
      <c r="T271" s="548"/>
      <c r="U271" s="548"/>
      <c r="V271" s="548"/>
      <c r="W271" s="548"/>
      <c r="X271" s="548"/>
      <c r="Y271" s="548"/>
      <c r="Z271" s="548"/>
      <c r="AA271" s="548"/>
      <c r="AB271" s="548"/>
      <c r="AC271" s="548"/>
      <c r="AD271" s="548"/>
      <c r="AE271" s="548"/>
      <c r="AF271" s="548"/>
      <c r="AG271" s="548"/>
    </row>
    <row r="272" spans="3:33">
      <c r="C272" s="548"/>
      <c r="D272" s="548"/>
      <c r="E272" s="548"/>
      <c r="F272" s="548"/>
      <c r="G272" s="548"/>
      <c r="H272" s="548"/>
      <c r="I272" s="548"/>
      <c r="J272" s="548"/>
      <c r="K272" s="548"/>
      <c r="L272" s="548"/>
      <c r="M272" s="548"/>
      <c r="N272" s="548"/>
      <c r="O272" s="548"/>
      <c r="P272" s="548"/>
      <c r="Q272" s="548"/>
      <c r="R272" s="548"/>
      <c r="S272" s="548"/>
      <c r="T272" s="548"/>
      <c r="U272" s="548"/>
      <c r="V272" s="548"/>
      <c r="W272" s="548"/>
      <c r="X272" s="548"/>
      <c r="Y272" s="548"/>
      <c r="Z272" s="548"/>
      <c r="AA272" s="548"/>
      <c r="AB272" s="548"/>
      <c r="AC272" s="548"/>
      <c r="AD272" s="548"/>
      <c r="AE272" s="548"/>
      <c r="AF272" s="548"/>
      <c r="AG272" s="548"/>
    </row>
    <row r="273" spans="3:33">
      <c r="C273" s="548"/>
      <c r="D273" s="548"/>
      <c r="E273" s="548"/>
      <c r="F273" s="548"/>
      <c r="G273" s="548"/>
      <c r="H273" s="548"/>
      <c r="I273" s="548"/>
      <c r="J273" s="548"/>
      <c r="K273" s="548"/>
      <c r="L273" s="548"/>
      <c r="M273" s="548"/>
      <c r="N273" s="548"/>
      <c r="O273" s="548"/>
      <c r="P273" s="548"/>
      <c r="Q273" s="548"/>
      <c r="R273" s="548"/>
      <c r="S273" s="548"/>
      <c r="T273" s="548"/>
      <c r="U273" s="548"/>
      <c r="V273" s="548"/>
      <c r="W273" s="548"/>
      <c r="X273" s="548"/>
      <c r="Y273" s="548"/>
      <c r="Z273" s="548"/>
      <c r="AA273" s="548"/>
      <c r="AB273" s="548"/>
      <c r="AC273" s="548"/>
      <c r="AD273" s="548"/>
      <c r="AE273" s="548"/>
      <c r="AF273" s="548"/>
      <c r="AG273" s="548"/>
    </row>
    <row r="274" spans="3:33">
      <c r="C274" s="548"/>
      <c r="D274" s="548"/>
      <c r="E274" s="548"/>
      <c r="F274" s="548"/>
      <c r="G274" s="548"/>
      <c r="H274" s="548"/>
      <c r="I274" s="548"/>
      <c r="J274" s="548"/>
      <c r="K274" s="548"/>
      <c r="L274" s="548"/>
      <c r="M274" s="548"/>
      <c r="N274" s="548"/>
      <c r="O274" s="548"/>
      <c r="P274" s="548"/>
      <c r="Q274" s="548"/>
      <c r="R274" s="548"/>
      <c r="S274" s="548"/>
      <c r="T274" s="548"/>
      <c r="U274" s="548"/>
      <c r="V274" s="548"/>
      <c r="W274" s="548"/>
      <c r="X274" s="548"/>
      <c r="Y274" s="548"/>
      <c r="Z274" s="548"/>
      <c r="AA274" s="548"/>
      <c r="AB274" s="548"/>
      <c r="AC274" s="548"/>
      <c r="AD274" s="548"/>
      <c r="AE274" s="548"/>
      <c r="AF274" s="548"/>
      <c r="AG274" s="548"/>
    </row>
    <row r="275" spans="3:33">
      <c r="C275" s="548"/>
      <c r="D275" s="548"/>
      <c r="E275" s="548"/>
      <c r="F275" s="548"/>
      <c r="G275" s="548"/>
      <c r="H275" s="548"/>
      <c r="I275" s="548"/>
      <c r="J275" s="548"/>
      <c r="K275" s="548"/>
      <c r="L275" s="548"/>
      <c r="M275" s="548"/>
      <c r="N275" s="548"/>
      <c r="O275" s="548"/>
      <c r="P275" s="548"/>
      <c r="Q275" s="548"/>
      <c r="R275" s="548"/>
      <c r="S275" s="548"/>
      <c r="T275" s="548"/>
      <c r="U275" s="548"/>
      <c r="V275" s="548"/>
      <c r="W275" s="548"/>
      <c r="X275" s="548"/>
      <c r="Y275" s="548"/>
      <c r="Z275" s="548"/>
      <c r="AA275" s="548"/>
      <c r="AB275" s="548"/>
      <c r="AC275" s="548"/>
      <c r="AD275" s="548"/>
      <c r="AE275" s="548"/>
      <c r="AF275" s="548"/>
      <c r="AG275" s="548"/>
    </row>
    <row r="276" spans="3:33">
      <c r="C276" s="548" t="s">
        <v>710</v>
      </c>
      <c r="D276" s="548"/>
      <c r="E276" s="548"/>
      <c r="F276" s="548"/>
      <c r="G276" s="548"/>
      <c r="H276" s="548"/>
      <c r="I276" s="548"/>
      <c r="J276" s="548"/>
      <c r="K276" s="548"/>
      <c r="L276" s="548"/>
      <c r="M276" s="548"/>
      <c r="N276" s="548"/>
      <c r="O276" s="548"/>
      <c r="P276" s="548"/>
      <c r="Q276" s="548"/>
      <c r="R276" s="548"/>
      <c r="S276" s="548"/>
      <c r="T276" s="548"/>
      <c r="U276" s="548"/>
      <c r="V276" s="548"/>
      <c r="W276" s="548"/>
      <c r="X276" s="548"/>
      <c r="Y276" s="548"/>
      <c r="Z276" s="548"/>
      <c r="AA276" s="548"/>
      <c r="AB276" s="548"/>
      <c r="AC276" s="548"/>
      <c r="AD276" s="548"/>
      <c r="AE276" s="548"/>
      <c r="AF276" s="548"/>
      <c r="AG276" s="548"/>
    </row>
    <row r="277" spans="3:33" ht="82.8">
      <c r="C277" s="882" t="s">
        <v>114</v>
      </c>
      <c r="D277" s="883" t="s">
        <v>115</v>
      </c>
      <c r="E277" s="303" t="s">
        <v>116</v>
      </c>
      <c r="F277" s="303" t="s">
        <v>117</v>
      </c>
      <c r="G277" s="303" t="s">
        <v>118</v>
      </c>
      <c r="H277" s="303" t="s">
        <v>119</v>
      </c>
      <c r="I277" s="548"/>
      <c r="J277" s="548"/>
      <c r="K277" s="548"/>
      <c r="L277" s="548"/>
      <c r="M277" s="548"/>
      <c r="N277" s="548"/>
      <c r="O277" s="548"/>
      <c r="P277" s="548"/>
      <c r="Q277" s="548"/>
      <c r="R277" s="548"/>
      <c r="S277" s="548"/>
      <c r="T277" s="548"/>
      <c r="U277" s="548"/>
      <c r="V277" s="548"/>
      <c r="W277" s="548"/>
      <c r="X277" s="548"/>
      <c r="Y277" s="548"/>
      <c r="Z277" s="548"/>
      <c r="AA277" s="548"/>
      <c r="AB277" s="548"/>
      <c r="AC277" s="548"/>
      <c r="AD277" s="548"/>
      <c r="AE277" s="548"/>
      <c r="AF277" s="548"/>
      <c r="AG277" s="548"/>
    </row>
    <row r="278" spans="3:33" ht="52.8">
      <c r="C278" s="884"/>
      <c r="D278" s="885"/>
      <c r="E278" s="304" t="s">
        <v>120</v>
      </c>
      <c r="F278" s="304">
        <v>28</v>
      </c>
      <c r="G278" s="304">
        <v>190</v>
      </c>
      <c r="H278" s="304" t="s">
        <v>121</v>
      </c>
      <c r="I278" s="548"/>
      <c r="J278" s="548"/>
      <c r="K278" s="548"/>
      <c r="L278" s="548"/>
      <c r="M278" s="548"/>
      <c r="N278" s="548"/>
      <c r="O278" s="548"/>
      <c r="P278" s="548"/>
      <c r="Q278" s="548"/>
      <c r="R278" s="548"/>
      <c r="S278" s="548"/>
      <c r="T278" s="548"/>
      <c r="U278" s="548"/>
      <c r="V278" s="548"/>
      <c r="W278" s="548"/>
      <c r="X278" s="548"/>
      <c r="Y278" s="548"/>
      <c r="Z278" s="548"/>
      <c r="AA278" s="548"/>
      <c r="AB278" s="548"/>
      <c r="AC278" s="548"/>
      <c r="AD278" s="548"/>
      <c r="AE278" s="548"/>
      <c r="AF278" s="548"/>
      <c r="AG278" s="548"/>
    </row>
    <row r="279" spans="3:33" ht="26.4">
      <c r="C279" s="884"/>
      <c r="D279" s="885"/>
      <c r="E279" s="305" t="s">
        <v>122</v>
      </c>
      <c r="F279" s="305">
        <v>25</v>
      </c>
      <c r="G279" s="305">
        <v>262</v>
      </c>
      <c r="H279" s="305" t="s">
        <v>123</v>
      </c>
      <c r="I279" s="548"/>
      <c r="J279" s="548"/>
      <c r="K279" s="548"/>
      <c r="L279" s="548"/>
      <c r="M279" s="548"/>
      <c r="N279" s="548"/>
      <c r="O279" s="548"/>
      <c r="P279" s="548"/>
      <c r="Q279" s="548"/>
      <c r="R279" s="548"/>
      <c r="S279" s="548"/>
      <c r="T279" s="548"/>
      <c r="U279" s="548"/>
      <c r="V279" s="548"/>
      <c r="W279" s="548"/>
      <c r="X279" s="548"/>
      <c r="Y279" s="548"/>
      <c r="Z279" s="548"/>
      <c r="AA279" s="548"/>
      <c r="AB279" s="548"/>
      <c r="AC279" s="548"/>
      <c r="AD279" s="548"/>
      <c r="AE279" s="548"/>
      <c r="AF279" s="548"/>
      <c r="AG279" s="548"/>
    </row>
    <row r="280" spans="3:33" ht="15.6">
      <c r="C280" s="884"/>
      <c r="D280" s="886"/>
      <c r="E280" s="304" t="s">
        <v>124</v>
      </c>
      <c r="F280" s="304">
        <v>10</v>
      </c>
      <c r="G280" s="304">
        <v>304</v>
      </c>
      <c r="H280" s="304">
        <v>2008</v>
      </c>
      <c r="I280" s="548"/>
      <c r="J280" s="548"/>
      <c r="K280" s="548"/>
      <c r="L280" s="548"/>
      <c r="M280" s="548"/>
      <c r="N280" s="548"/>
      <c r="O280" s="548"/>
      <c r="P280" s="548"/>
      <c r="Q280" s="548"/>
      <c r="R280" s="548"/>
      <c r="S280" s="548"/>
      <c r="T280" s="548"/>
      <c r="U280" s="548"/>
      <c r="V280" s="548"/>
      <c r="W280" s="548"/>
      <c r="X280" s="548"/>
      <c r="Y280" s="548"/>
      <c r="Z280" s="548"/>
      <c r="AA280" s="548"/>
      <c r="AB280" s="548"/>
      <c r="AC280" s="548"/>
      <c r="AD280" s="548"/>
      <c r="AE280" s="548"/>
      <c r="AF280" s="548"/>
      <c r="AG280" s="548"/>
    </row>
    <row r="281" spans="3:33" ht="26.4">
      <c r="C281" s="884"/>
      <c r="D281" s="887" t="s">
        <v>125</v>
      </c>
      <c r="E281" s="305" t="s">
        <v>126</v>
      </c>
      <c r="F281" s="305">
        <v>5</v>
      </c>
      <c r="G281" s="305" t="s">
        <v>127</v>
      </c>
      <c r="H281" s="305" t="s">
        <v>128</v>
      </c>
      <c r="I281" s="548"/>
      <c r="J281" s="548"/>
      <c r="K281" s="548"/>
      <c r="L281" s="548"/>
      <c r="M281" s="548"/>
      <c r="N281" s="548"/>
      <c r="O281" s="548"/>
      <c r="P281" s="548"/>
      <c r="Q281" s="548"/>
      <c r="R281" s="548"/>
      <c r="S281" s="548"/>
      <c r="T281" s="548"/>
      <c r="U281" s="548"/>
      <c r="V281" s="548"/>
      <c r="W281" s="548"/>
      <c r="X281" s="548"/>
      <c r="Y281" s="548"/>
      <c r="Z281" s="548"/>
      <c r="AA281" s="548"/>
      <c r="AB281" s="548"/>
      <c r="AC281" s="548"/>
      <c r="AD281" s="548"/>
      <c r="AE281" s="548"/>
      <c r="AF281" s="548"/>
      <c r="AG281" s="548"/>
    </row>
    <row r="282" spans="3:33" ht="26.4">
      <c r="C282" s="884"/>
      <c r="D282" s="888"/>
      <c r="E282" s="304" t="s">
        <v>129</v>
      </c>
      <c r="F282" s="304">
        <v>5</v>
      </c>
      <c r="G282" s="304">
        <v>28</v>
      </c>
      <c r="H282" s="304" t="s">
        <v>128</v>
      </c>
      <c r="I282" s="548"/>
      <c r="J282" s="548"/>
      <c r="K282" s="548"/>
      <c r="L282" s="548"/>
      <c r="M282" s="548"/>
      <c r="N282" s="548"/>
      <c r="O282" s="548"/>
      <c r="P282" s="548"/>
      <c r="Q282" s="548"/>
      <c r="R282" s="548"/>
      <c r="S282" s="548"/>
      <c r="T282" s="548"/>
      <c r="U282" s="548"/>
      <c r="V282" s="548"/>
      <c r="W282" s="548"/>
      <c r="X282" s="548"/>
      <c r="Y282" s="548"/>
      <c r="Z282" s="548"/>
      <c r="AA282" s="548"/>
      <c r="AB282" s="548"/>
      <c r="AC282" s="548"/>
      <c r="AD282" s="548"/>
      <c r="AE282" s="548"/>
      <c r="AF282" s="548"/>
      <c r="AG282" s="548"/>
    </row>
    <row r="283" spans="3:33" ht="26.4">
      <c r="C283" s="884"/>
      <c r="D283" s="888"/>
      <c r="E283" s="305" t="s">
        <v>130</v>
      </c>
      <c r="F283" s="305">
        <v>5</v>
      </c>
      <c r="G283" s="305">
        <v>44</v>
      </c>
      <c r="H283" s="305" t="s">
        <v>128</v>
      </c>
      <c r="I283" s="548"/>
      <c r="J283" s="548"/>
      <c r="K283" s="548"/>
      <c r="L283" s="548"/>
      <c r="M283" s="548"/>
      <c r="N283" s="548"/>
      <c r="O283" s="548"/>
      <c r="P283" s="548"/>
      <c r="Q283" s="548"/>
      <c r="R283" s="548"/>
      <c r="S283" s="548"/>
      <c r="T283" s="548"/>
      <c r="U283" s="548"/>
      <c r="V283" s="548"/>
      <c r="W283" s="548"/>
      <c r="X283" s="548"/>
      <c r="Y283" s="548"/>
      <c r="Z283" s="548"/>
      <c r="AA283" s="548"/>
      <c r="AB283" s="548"/>
      <c r="AC283" s="548"/>
      <c r="AD283" s="548"/>
      <c r="AE283" s="548"/>
      <c r="AF283" s="548"/>
      <c r="AG283" s="548"/>
    </row>
    <row r="284" spans="3:33" ht="26.4">
      <c r="C284" s="884"/>
      <c r="D284" s="888"/>
      <c r="E284" s="304" t="s">
        <v>131</v>
      </c>
      <c r="F284" s="304">
        <v>16</v>
      </c>
      <c r="G284" s="304">
        <v>69</v>
      </c>
      <c r="H284" s="304" t="s">
        <v>128</v>
      </c>
      <c r="I284" s="548"/>
      <c r="J284" s="548"/>
      <c r="K284" s="548"/>
      <c r="L284" s="548"/>
      <c r="M284" s="548"/>
      <c r="N284" s="548"/>
      <c r="O284" s="548"/>
      <c r="P284" s="548"/>
      <c r="Q284" s="548"/>
      <c r="R284" s="548"/>
      <c r="S284" s="548"/>
      <c r="T284" s="548"/>
      <c r="U284" s="548"/>
      <c r="V284" s="548"/>
      <c r="W284" s="548"/>
      <c r="X284" s="548"/>
      <c r="Y284" s="548"/>
      <c r="Z284" s="548"/>
      <c r="AA284" s="548"/>
      <c r="AB284" s="548"/>
      <c r="AC284" s="548"/>
      <c r="AD284" s="548"/>
      <c r="AE284" s="548"/>
      <c r="AF284" s="548"/>
      <c r="AG284" s="548"/>
    </row>
    <row r="285" spans="3:33" ht="26.4">
      <c r="C285" s="889"/>
      <c r="D285" s="890"/>
      <c r="E285" s="305" t="s">
        <v>132</v>
      </c>
      <c r="F285" s="305">
        <v>5</v>
      </c>
      <c r="G285" s="305">
        <v>69</v>
      </c>
      <c r="H285" s="305" t="s">
        <v>128</v>
      </c>
      <c r="I285" s="548"/>
      <c r="J285" s="548"/>
      <c r="K285" s="548"/>
      <c r="L285" s="548"/>
      <c r="M285" s="548"/>
      <c r="N285" s="548"/>
      <c r="O285" s="548"/>
      <c r="P285" s="548"/>
      <c r="Q285" s="548"/>
      <c r="R285" s="548"/>
      <c r="S285" s="548"/>
      <c r="T285" s="548"/>
      <c r="U285" s="548"/>
      <c r="V285" s="548"/>
      <c r="W285" s="548"/>
      <c r="X285" s="548"/>
      <c r="Y285" s="548"/>
      <c r="Z285" s="548"/>
      <c r="AA285" s="548"/>
      <c r="AB285" s="548"/>
      <c r="AC285" s="548"/>
      <c r="AD285" s="548"/>
      <c r="AE285" s="548"/>
      <c r="AF285" s="548"/>
      <c r="AG285" s="548"/>
    </row>
    <row r="286" spans="3:33" ht="26.4">
      <c r="C286" s="891" t="s">
        <v>133</v>
      </c>
      <c r="D286" s="306" t="s">
        <v>134</v>
      </c>
      <c r="E286" s="304" t="s">
        <v>122</v>
      </c>
      <c r="F286" s="304">
        <v>29</v>
      </c>
      <c r="G286" s="304">
        <v>185</v>
      </c>
      <c r="H286" s="304" t="s">
        <v>137</v>
      </c>
      <c r="I286" s="548"/>
      <c r="J286" s="548"/>
      <c r="K286" s="548"/>
      <c r="L286" s="548"/>
      <c r="M286" s="548"/>
      <c r="N286" s="548"/>
      <c r="O286" s="548"/>
      <c r="P286" s="548"/>
      <c r="Q286" s="548"/>
      <c r="R286" s="548"/>
      <c r="S286" s="548"/>
      <c r="T286" s="548"/>
      <c r="U286" s="548"/>
      <c r="V286" s="548"/>
      <c r="W286" s="548"/>
      <c r="X286" s="548"/>
      <c r="Y286" s="548"/>
      <c r="Z286" s="548"/>
      <c r="AA286" s="548"/>
      <c r="AB286" s="548"/>
      <c r="AC286" s="548"/>
      <c r="AD286" s="548"/>
      <c r="AE286" s="548"/>
      <c r="AF286" s="548"/>
      <c r="AG286" s="548"/>
    </row>
    <row r="287" spans="3:33" ht="15.6">
      <c r="C287" s="892"/>
      <c r="D287" s="306" t="s">
        <v>135</v>
      </c>
      <c r="E287" s="305" t="s">
        <v>138</v>
      </c>
      <c r="F287" s="305">
        <v>8</v>
      </c>
      <c r="G287" s="305">
        <v>85</v>
      </c>
      <c r="H287" s="305">
        <v>2000</v>
      </c>
      <c r="I287" s="548"/>
      <c r="J287" s="548"/>
      <c r="K287" s="548"/>
      <c r="L287" s="548"/>
      <c r="M287" s="548"/>
      <c r="N287" s="548"/>
      <c r="O287" s="548"/>
      <c r="P287" s="548"/>
      <c r="Q287" s="548"/>
      <c r="R287" s="548"/>
      <c r="S287" s="548"/>
      <c r="T287" s="548"/>
      <c r="U287" s="548"/>
      <c r="V287" s="548"/>
      <c r="W287" s="548"/>
      <c r="X287" s="548"/>
      <c r="Y287" s="548"/>
      <c r="Z287" s="548"/>
      <c r="AA287" s="548"/>
      <c r="AB287" s="548"/>
      <c r="AC287" s="548"/>
      <c r="AD287" s="548"/>
      <c r="AE287" s="548"/>
      <c r="AF287" s="548"/>
      <c r="AG287" s="548"/>
    </row>
    <row r="288" spans="3:33" ht="15.6">
      <c r="C288" s="893"/>
      <c r="D288" s="306" t="s">
        <v>136</v>
      </c>
      <c r="E288" s="304" t="s">
        <v>138</v>
      </c>
      <c r="F288" s="304">
        <v>8</v>
      </c>
      <c r="G288" s="304">
        <v>130</v>
      </c>
      <c r="H288" s="304">
        <v>1993</v>
      </c>
      <c r="I288" s="548"/>
      <c r="J288" s="548"/>
      <c r="K288" s="548"/>
      <c r="L288" s="548"/>
      <c r="M288" s="548"/>
      <c r="N288" s="548"/>
      <c r="O288" s="548"/>
      <c r="P288" s="548"/>
      <c r="Q288" s="548"/>
      <c r="R288" s="548"/>
      <c r="S288" s="548"/>
      <c r="T288" s="548"/>
      <c r="U288" s="548"/>
      <c r="V288" s="548"/>
      <c r="W288" s="548"/>
      <c r="X288" s="548"/>
      <c r="Y288" s="548"/>
      <c r="Z288" s="548"/>
      <c r="AA288" s="548"/>
      <c r="AB288" s="548"/>
      <c r="AC288" s="548"/>
      <c r="AD288" s="548"/>
      <c r="AE288" s="548"/>
      <c r="AF288" s="548"/>
      <c r="AG288" s="548"/>
    </row>
    <row r="289" spans="3:33" ht="82.8">
      <c r="C289" s="891" t="s">
        <v>39</v>
      </c>
      <c r="D289" s="883" t="s">
        <v>139</v>
      </c>
      <c r="E289" s="305" t="s">
        <v>141</v>
      </c>
      <c r="F289" s="305">
        <v>8</v>
      </c>
      <c r="G289" s="305">
        <v>160</v>
      </c>
      <c r="H289" s="305" t="s">
        <v>142</v>
      </c>
      <c r="I289" s="548"/>
      <c r="J289" s="548"/>
      <c r="K289" s="548"/>
      <c r="L289" s="548"/>
      <c r="M289" s="548"/>
      <c r="N289" s="548"/>
      <c r="O289" s="548"/>
      <c r="P289" s="548"/>
      <c r="Q289" s="548"/>
      <c r="R289" s="548"/>
      <c r="S289" s="548"/>
      <c r="T289" s="548"/>
      <c r="U289" s="548"/>
      <c r="V289" s="548"/>
      <c r="W289" s="548"/>
      <c r="X289" s="548"/>
      <c r="Y289" s="548"/>
      <c r="Z289" s="548"/>
      <c r="AA289" s="548"/>
      <c r="AB289" s="548"/>
      <c r="AC289" s="548"/>
      <c r="AD289" s="548"/>
      <c r="AE289" s="548"/>
      <c r="AF289" s="548"/>
      <c r="AG289" s="548"/>
    </row>
    <row r="290" spans="3:33" ht="15.6">
      <c r="C290" s="892"/>
      <c r="D290" s="885"/>
      <c r="E290" s="304" t="s">
        <v>143</v>
      </c>
      <c r="F290" s="304">
        <v>3</v>
      </c>
      <c r="G290" s="304">
        <v>160</v>
      </c>
      <c r="H290" s="304">
        <v>2001</v>
      </c>
      <c r="I290" s="548"/>
      <c r="J290" s="548"/>
      <c r="K290" s="548"/>
      <c r="L290" s="548"/>
      <c r="M290" s="548"/>
      <c r="N290" s="548"/>
      <c r="O290" s="548"/>
      <c r="P290" s="548"/>
      <c r="Q290" s="548"/>
      <c r="R290" s="548"/>
      <c r="S290" s="548"/>
      <c r="T290" s="548"/>
      <c r="U290" s="548"/>
      <c r="V290" s="548"/>
      <c r="W290" s="548"/>
      <c r="X290" s="548"/>
      <c r="Y290" s="548"/>
      <c r="Z290" s="548"/>
      <c r="AA290" s="548"/>
      <c r="AB290" s="548"/>
      <c r="AC290" s="548"/>
      <c r="AD290" s="548"/>
      <c r="AE290" s="548"/>
      <c r="AF290" s="548"/>
      <c r="AG290" s="548"/>
    </row>
    <row r="291" spans="3:33" ht="15.6">
      <c r="C291" s="892"/>
      <c r="D291" s="886"/>
      <c r="E291" s="305" t="s">
        <v>144</v>
      </c>
      <c r="F291" s="305">
        <v>4</v>
      </c>
      <c r="G291" s="305">
        <v>160</v>
      </c>
      <c r="H291" s="305">
        <v>2000</v>
      </c>
      <c r="I291" s="548"/>
      <c r="J291" s="548"/>
      <c r="K291" s="548"/>
      <c r="L291" s="548"/>
      <c r="M291" s="548"/>
      <c r="N291" s="548"/>
      <c r="O291" s="548"/>
      <c r="P291" s="548"/>
      <c r="Q291" s="548"/>
      <c r="R291" s="548"/>
      <c r="S291" s="548"/>
      <c r="T291" s="548"/>
      <c r="U291" s="548"/>
      <c r="V291" s="548"/>
      <c r="W291" s="548"/>
      <c r="X291" s="548"/>
      <c r="Y291" s="548"/>
      <c r="Z291" s="548"/>
      <c r="AA291" s="548"/>
      <c r="AB291" s="548"/>
      <c r="AC291" s="548"/>
      <c r="AD291" s="548"/>
      <c r="AE291" s="548"/>
      <c r="AF291" s="548"/>
      <c r="AG291" s="548"/>
    </row>
    <row r="292" spans="3:33" ht="15.6">
      <c r="C292" s="893"/>
      <c r="D292" s="306" t="s">
        <v>140</v>
      </c>
      <c r="E292" s="304" t="s">
        <v>138</v>
      </c>
      <c r="F292" s="304">
        <v>37</v>
      </c>
      <c r="G292" s="304">
        <v>128</v>
      </c>
      <c r="H292" s="304" t="s">
        <v>145</v>
      </c>
      <c r="I292" s="548"/>
      <c r="J292" s="548"/>
      <c r="K292" s="548"/>
      <c r="L292" s="548"/>
      <c r="M292" s="548"/>
      <c r="N292" s="548"/>
      <c r="O292" s="548"/>
      <c r="P292" s="548"/>
      <c r="Q292" s="548"/>
      <c r="R292" s="548"/>
      <c r="S292" s="548"/>
      <c r="T292" s="548"/>
      <c r="U292" s="548"/>
      <c r="V292" s="548"/>
      <c r="W292" s="548"/>
      <c r="X292" s="548"/>
      <c r="Y292" s="548"/>
      <c r="Z292" s="548"/>
      <c r="AA292" s="548"/>
      <c r="AB292" s="548"/>
      <c r="AC292" s="548"/>
      <c r="AD292" s="548"/>
      <c r="AE292" s="548"/>
      <c r="AF292" s="548"/>
      <c r="AG292" s="548"/>
    </row>
    <row r="293" spans="3:33">
      <c r="C293" s="127" t="s">
        <v>167</v>
      </c>
      <c r="D293" s="127" t="s">
        <v>168</v>
      </c>
      <c r="E293" s="548"/>
      <c r="F293" s="548"/>
      <c r="G293" s="548"/>
      <c r="H293" s="548"/>
      <c r="I293" s="548"/>
      <c r="J293" s="548"/>
      <c r="K293" s="548"/>
      <c r="L293" s="548"/>
      <c r="M293" s="548"/>
      <c r="N293" s="548"/>
      <c r="O293" s="548"/>
      <c r="P293" s="548"/>
      <c r="Q293" s="548"/>
      <c r="R293" s="548"/>
      <c r="S293" s="548"/>
      <c r="T293" s="548"/>
      <c r="U293" s="548"/>
      <c r="V293" s="548"/>
      <c r="W293" s="548"/>
      <c r="X293" s="548"/>
      <c r="Y293" s="548"/>
      <c r="Z293" s="548"/>
      <c r="AA293" s="548"/>
      <c r="AB293" s="548"/>
      <c r="AC293" s="548"/>
      <c r="AD293" s="548"/>
      <c r="AE293" s="548"/>
      <c r="AF293" s="548"/>
      <c r="AG293" s="548"/>
    </row>
    <row r="294" spans="3:33">
      <c r="C294" s="548" t="s">
        <v>340</v>
      </c>
      <c r="D294" s="548"/>
      <c r="E294" s="548"/>
      <c r="F294" s="548"/>
      <c r="G294" s="548"/>
      <c r="H294" s="548"/>
      <c r="I294" s="548"/>
      <c r="J294" s="548"/>
      <c r="K294" s="548"/>
      <c r="L294" s="548"/>
      <c r="M294" s="548"/>
      <c r="N294" s="548"/>
      <c r="O294" s="548"/>
      <c r="P294" s="548"/>
      <c r="Q294" s="548"/>
      <c r="R294" s="548"/>
      <c r="S294" s="548"/>
      <c r="T294" s="548"/>
      <c r="U294" s="548"/>
      <c r="V294" s="548"/>
      <c r="W294" s="548"/>
      <c r="X294" s="548"/>
      <c r="Y294" s="548"/>
      <c r="Z294" s="548"/>
      <c r="AA294" s="548"/>
      <c r="AB294" s="548"/>
      <c r="AC294" s="548"/>
      <c r="AD294" s="548"/>
      <c r="AE294" s="548"/>
      <c r="AF294" s="548"/>
      <c r="AG294" s="548"/>
    </row>
    <row r="295" spans="3:33">
      <c r="C295" s="548" t="s">
        <v>339</v>
      </c>
      <c r="D295" s="548"/>
      <c r="E295" s="548"/>
      <c r="F295" s="548"/>
      <c r="G295" s="548"/>
      <c r="H295" s="548"/>
      <c r="I295" s="548"/>
      <c r="J295" s="548"/>
      <c r="K295" s="548"/>
      <c r="L295" s="548"/>
      <c r="M295" s="548"/>
      <c r="N295" s="548"/>
      <c r="O295" s="548"/>
      <c r="P295" s="548"/>
      <c r="Q295" s="548"/>
      <c r="R295" s="548"/>
      <c r="S295" s="548"/>
      <c r="T295" s="548"/>
      <c r="U295" s="548"/>
      <c r="V295" s="548"/>
      <c r="W295" s="548"/>
      <c r="X295" s="548"/>
      <c r="Y295" s="548"/>
      <c r="Z295" s="548"/>
      <c r="AA295" s="548"/>
      <c r="AB295" s="548"/>
      <c r="AC295" s="548"/>
      <c r="AD295" s="548"/>
      <c r="AE295" s="548"/>
      <c r="AF295" s="548"/>
      <c r="AG295" s="548"/>
    </row>
    <row r="296" spans="3:33">
      <c r="C296" s="548"/>
      <c r="D296" s="548"/>
      <c r="E296" s="548"/>
      <c r="F296" s="548"/>
      <c r="G296" s="548"/>
      <c r="H296" s="548"/>
      <c r="I296" s="548"/>
      <c r="J296" s="548"/>
      <c r="K296" s="548"/>
      <c r="L296" s="548"/>
      <c r="M296" s="548"/>
      <c r="N296" s="548"/>
      <c r="O296" s="548"/>
      <c r="P296" s="548"/>
      <c r="Q296" s="548"/>
      <c r="R296" s="548"/>
      <c r="S296" s="548"/>
      <c r="T296" s="548"/>
      <c r="U296" s="548"/>
      <c r="V296" s="548"/>
      <c r="W296" s="548"/>
      <c r="X296" s="548"/>
      <c r="Y296" s="548"/>
      <c r="Z296" s="548"/>
      <c r="AA296" s="548"/>
      <c r="AB296" s="548"/>
      <c r="AC296" s="548"/>
      <c r="AD296" s="548"/>
      <c r="AE296" s="548"/>
      <c r="AF296" s="548"/>
      <c r="AG296" s="548"/>
    </row>
    <row r="297" spans="3:33">
      <c r="C297" s="548"/>
      <c r="D297" s="548"/>
      <c r="E297" s="548"/>
      <c r="F297" s="548"/>
      <c r="G297" s="548"/>
      <c r="H297" s="548"/>
      <c r="I297" s="548"/>
      <c r="J297" s="548"/>
      <c r="K297" s="548"/>
      <c r="L297" s="548"/>
      <c r="M297" s="548"/>
      <c r="N297" s="548"/>
      <c r="O297" s="548"/>
      <c r="P297" s="548"/>
      <c r="Q297" s="548"/>
      <c r="R297" s="548"/>
      <c r="S297" s="548"/>
      <c r="T297" s="548"/>
      <c r="U297" s="548"/>
      <c r="V297" s="548"/>
      <c r="W297" s="548"/>
      <c r="X297" s="548"/>
      <c r="Y297" s="548"/>
      <c r="Z297" s="548"/>
      <c r="AA297" s="548"/>
      <c r="AB297" s="548"/>
      <c r="AC297" s="548"/>
      <c r="AD297" s="548"/>
      <c r="AE297" s="548"/>
      <c r="AF297" s="548"/>
      <c r="AG297" s="548"/>
    </row>
    <row r="298" spans="3:33">
      <c r="C298" s="548"/>
      <c r="D298" s="548"/>
      <c r="E298" s="548"/>
      <c r="F298" s="548"/>
      <c r="G298" s="548"/>
      <c r="H298" s="548"/>
      <c r="I298" s="548"/>
      <c r="J298" s="548"/>
      <c r="K298" s="548"/>
      <c r="L298" s="548"/>
      <c r="M298" s="548"/>
      <c r="N298" s="548"/>
      <c r="O298" s="548"/>
      <c r="P298" s="548"/>
      <c r="Q298" s="548"/>
      <c r="R298" s="548"/>
      <c r="S298" s="548"/>
      <c r="T298" s="548"/>
      <c r="U298" s="548"/>
      <c r="V298" s="548"/>
      <c r="W298" s="548"/>
      <c r="X298" s="548"/>
      <c r="Y298" s="548"/>
      <c r="Z298" s="548"/>
      <c r="AA298" s="548"/>
      <c r="AB298" s="548"/>
      <c r="AC298" s="548"/>
      <c r="AD298" s="548"/>
      <c r="AE298" s="548"/>
      <c r="AF298" s="548"/>
      <c r="AG298" s="548"/>
    </row>
    <row r="299" spans="3:33" ht="91.2">
      <c r="C299" s="846" t="s">
        <v>699</v>
      </c>
      <c r="D299" s="846"/>
      <c r="E299" s="846"/>
      <c r="F299" s="846"/>
      <c r="G299" s="548"/>
      <c r="H299" s="548"/>
      <c r="I299" s="548"/>
      <c r="J299" s="548"/>
      <c r="K299" s="548"/>
      <c r="L299" s="548"/>
      <c r="M299" s="548"/>
      <c r="N299" s="548"/>
      <c r="O299" s="548"/>
      <c r="P299" s="548"/>
      <c r="Q299" s="548"/>
      <c r="R299" s="548"/>
      <c r="S299" s="548"/>
      <c r="T299" s="548"/>
      <c r="U299" s="548"/>
      <c r="V299" s="548"/>
      <c r="W299" s="548"/>
      <c r="X299" s="548"/>
      <c r="Y299" s="548"/>
      <c r="Z299" s="548"/>
      <c r="AA299" s="548"/>
      <c r="AB299" s="548"/>
      <c r="AC299" s="548"/>
      <c r="AD299" s="548"/>
      <c r="AE299" s="548"/>
      <c r="AF299" s="548"/>
      <c r="AG299" s="548"/>
    </row>
    <row r="300" spans="3:33" ht="15" thickBot="1">
      <c r="C300" s="894" t="s">
        <v>161</v>
      </c>
      <c r="D300" s="895"/>
      <c r="E300" s="895"/>
      <c r="F300" s="895"/>
      <c r="G300" s="895"/>
      <c r="H300" s="895"/>
      <c r="I300" s="548"/>
      <c r="J300" s="548"/>
      <c r="K300" s="548"/>
      <c r="L300" s="548"/>
      <c r="M300" s="548"/>
      <c r="N300" s="548"/>
      <c r="O300" s="548"/>
      <c r="P300" s="548"/>
      <c r="Q300" s="548"/>
      <c r="R300" s="548"/>
      <c r="S300" s="548"/>
      <c r="T300" s="548"/>
      <c r="U300" s="548"/>
      <c r="V300" s="548"/>
      <c r="W300" s="548"/>
      <c r="X300" s="548"/>
      <c r="Y300" s="548"/>
      <c r="Z300" s="548"/>
      <c r="AA300" s="548"/>
      <c r="AB300" s="548"/>
      <c r="AC300" s="548"/>
      <c r="AD300" s="548"/>
      <c r="AE300" s="548"/>
      <c r="AF300" s="548"/>
      <c r="AG300" s="548"/>
    </row>
    <row r="301" spans="3:33" ht="36.6" thickBot="1">
      <c r="C301" s="302" t="s">
        <v>116</v>
      </c>
      <c r="D301" s="302" t="s">
        <v>162</v>
      </c>
      <c r="E301" s="302" t="s">
        <v>163</v>
      </c>
      <c r="F301" s="302" t="s">
        <v>164</v>
      </c>
      <c r="G301" s="302" t="s">
        <v>166</v>
      </c>
      <c r="H301" s="302" t="s">
        <v>165</v>
      </c>
      <c r="I301" s="548"/>
      <c r="J301" s="548"/>
      <c r="K301" s="548"/>
      <c r="L301" s="548"/>
      <c r="M301" s="548"/>
      <c r="N301" s="548"/>
      <c r="O301" s="548"/>
      <c r="P301" s="548"/>
      <c r="Q301" s="548"/>
      <c r="R301" s="548"/>
      <c r="S301" s="548"/>
      <c r="T301" s="548"/>
      <c r="U301" s="548"/>
      <c r="V301" s="548"/>
      <c r="W301" s="548"/>
      <c r="X301" s="548"/>
      <c r="Y301" s="548"/>
      <c r="Z301" s="548"/>
      <c r="AA301" s="548"/>
      <c r="AB301" s="548"/>
      <c r="AC301" s="548"/>
      <c r="AD301" s="548"/>
      <c r="AE301" s="548"/>
      <c r="AF301" s="548"/>
      <c r="AG301" s="548"/>
    </row>
    <row r="302" spans="3:33" ht="53.4" thickBot="1">
      <c r="C302" s="298" t="s">
        <v>146</v>
      </c>
      <c r="D302" s="298" t="s">
        <v>147</v>
      </c>
      <c r="E302" s="298" t="s">
        <v>148</v>
      </c>
      <c r="F302" s="298" t="s">
        <v>149</v>
      </c>
      <c r="G302" s="299">
        <v>247</v>
      </c>
      <c r="H302" s="299">
        <f>2*6*52*G302</f>
        <v>154128</v>
      </c>
      <c r="I302" s="548"/>
      <c r="J302" s="548"/>
      <c r="K302" s="548"/>
      <c r="L302" s="548"/>
      <c r="M302" s="548"/>
      <c r="N302" s="548"/>
      <c r="O302" s="548"/>
      <c r="P302" s="548"/>
      <c r="Q302" s="548"/>
      <c r="R302" s="548"/>
      <c r="S302" s="548"/>
      <c r="T302" s="548"/>
      <c r="U302" s="548"/>
      <c r="V302" s="548"/>
      <c r="W302" s="548"/>
      <c r="X302" s="548"/>
      <c r="Y302" s="548"/>
      <c r="Z302" s="548"/>
      <c r="AA302" s="548"/>
      <c r="AB302" s="548"/>
      <c r="AC302" s="548"/>
      <c r="AD302" s="548"/>
      <c r="AE302" s="548"/>
      <c r="AF302" s="548"/>
      <c r="AG302" s="548"/>
    </row>
    <row r="303" spans="3:33" ht="27" thickBot="1">
      <c r="C303" s="300" t="s">
        <v>150</v>
      </c>
      <c r="D303" s="300" t="s">
        <v>151</v>
      </c>
      <c r="E303" s="300" t="s">
        <v>148</v>
      </c>
      <c r="F303" s="300" t="s">
        <v>152</v>
      </c>
      <c r="G303" s="301">
        <v>317</v>
      </c>
      <c r="H303" s="301">
        <f>2*G303*2*52</f>
        <v>65936</v>
      </c>
      <c r="I303" s="548"/>
      <c r="J303" s="548"/>
      <c r="K303" s="548"/>
      <c r="L303" s="548"/>
      <c r="M303" s="548"/>
      <c r="N303" s="548"/>
      <c r="O303" s="548"/>
      <c r="P303" s="548"/>
      <c r="Q303" s="548"/>
      <c r="R303" s="548"/>
      <c r="S303" s="548"/>
      <c r="T303" s="548"/>
      <c r="U303" s="548"/>
      <c r="V303" s="548"/>
      <c r="W303" s="548"/>
      <c r="X303" s="548"/>
      <c r="Y303" s="548"/>
      <c r="Z303" s="548"/>
      <c r="AA303" s="548"/>
      <c r="AB303" s="548"/>
      <c r="AC303" s="548"/>
      <c r="AD303" s="548"/>
      <c r="AE303" s="548"/>
      <c r="AF303" s="548"/>
      <c r="AG303" s="548"/>
    </row>
    <row r="304" spans="3:33" ht="132.6" thickBot="1">
      <c r="C304" s="298" t="s">
        <v>153</v>
      </c>
      <c r="D304" s="298" t="s">
        <v>154</v>
      </c>
      <c r="E304" s="298" t="s">
        <v>155</v>
      </c>
      <c r="F304" s="298" t="s">
        <v>156</v>
      </c>
      <c r="G304" s="299">
        <v>312</v>
      </c>
      <c r="H304" s="299">
        <f>2*G304*3*52</f>
        <v>97344</v>
      </c>
      <c r="I304" s="548"/>
      <c r="J304" s="548"/>
      <c r="K304" s="548"/>
      <c r="L304" s="548"/>
      <c r="M304" s="548"/>
      <c r="N304" s="548"/>
      <c r="O304" s="548"/>
      <c r="P304" s="548"/>
      <c r="Q304" s="548"/>
      <c r="R304" s="548"/>
      <c r="S304" s="548"/>
      <c r="T304" s="548"/>
      <c r="U304" s="548"/>
      <c r="V304" s="548"/>
      <c r="W304" s="548"/>
      <c r="X304" s="548"/>
      <c r="Y304" s="548"/>
      <c r="Z304" s="548"/>
      <c r="AA304" s="548"/>
      <c r="AB304" s="548"/>
      <c r="AC304" s="548"/>
      <c r="AD304" s="548"/>
      <c r="AE304" s="548"/>
      <c r="AF304" s="548"/>
      <c r="AG304" s="548"/>
    </row>
    <row r="305" spans="3:33" ht="119.4" thickBot="1">
      <c r="C305" s="300" t="s">
        <v>157</v>
      </c>
      <c r="D305" s="300" t="s">
        <v>158</v>
      </c>
      <c r="E305" s="300" t="s">
        <v>159</v>
      </c>
      <c r="F305" s="300" t="s">
        <v>160</v>
      </c>
      <c r="G305" s="301">
        <v>64.2</v>
      </c>
      <c r="H305" s="301">
        <f>2*G305*35*52</f>
        <v>233688</v>
      </c>
      <c r="I305" s="548"/>
      <c r="J305" s="548"/>
      <c r="K305" s="548"/>
      <c r="L305" s="548"/>
      <c r="M305" s="548"/>
      <c r="N305" s="548"/>
      <c r="O305" s="548"/>
      <c r="P305" s="548"/>
      <c r="Q305" s="548"/>
      <c r="R305" s="548"/>
      <c r="S305" s="548"/>
      <c r="T305" s="548"/>
      <c r="U305" s="548"/>
      <c r="V305" s="548"/>
      <c r="W305" s="548"/>
      <c r="X305" s="548"/>
      <c r="Y305" s="548"/>
      <c r="Z305" s="548"/>
      <c r="AA305" s="548"/>
      <c r="AB305" s="548"/>
      <c r="AC305" s="548"/>
      <c r="AD305" s="548"/>
      <c r="AE305" s="548"/>
      <c r="AF305" s="548"/>
      <c r="AG305" s="548"/>
    </row>
    <row r="306" spans="3:33">
      <c r="C306" s="548" t="s">
        <v>700</v>
      </c>
      <c r="D306" s="548"/>
      <c r="E306" s="548"/>
      <c r="F306" s="548"/>
      <c r="G306" s="548"/>
      <c r="H306" s="548"/>
      <c r="I306" s="548"/>
      <c r="J306" s="548"/>
      <c r="K306" s="548"/>
      <c r="L306" s="548"/>
      <c r="M306" s="548"/>
      <c r="N306" s="548"/>
      <c r="O306" s="548"/>
      <c r="P306" s="548"/>
      <c r="Q306" s="548"/>
      <c r="R306" s="548"/>
      <c r="S306" s="548"/>
      <c r="T306" s="548"/>
      <c r="U306" s="548"/>
      <c r="V306" s="548"/>
      <c r="W306" s="548"/>
      <c r="X306" s="548"/>
      <c r="Y306" s="548"/>
      <c r="Z306" s="548"/>
      <c r="AA306" s="548"/>
      <c r="AB306" s="548"/>
      <c r="AC306" s="548"/>
      <c r="AD306" s="548"/>
      <c r="AE306" s="548"/>
      <c r="AF306" s="548"/>
      <c r="AG306" s="548"/>
    </row>
    <row r="307" spans="3:33">
      <c r="C307" s="548"/>
      <c r="D307" s="548"/>
      <c r="E307" s="548"/>
      <c r="F307" s="548"/>
      <c r="G307" s="548"/>
      <c r="H307" s="548"/>
      <c r="I307" s="548"/>
      <c r="J307" s="548"/>
      <c r="K307" s="548"/>
      <c r="L307" s="548"/>
      <c r="M307" s="548"/>
      <c r="N307" s="548"/>
      <c r="O307" s="548"/>
      <c r="P307" s="548"/>
      <c r="Q307" s="548"/>
      <c r="R307" s="548"/>
      <c r="S307" s="548"/>
      <c r="T307" s="548"/>
      <c r="U307" s="548"/>
      <c r="V307" s="548"/>
      <c r="W307" s="548"/>
      <c r="X307" s="548"/>
      <c r="Y307" s="548"/>
      <c r="Z307" s="548"/>
      <c r="AA307" s="548"/>
      <c r="AB307" s="548"/>
      <c r="AC307" s="548"/>
      <c r="AD307" s="548"/>
      <c r="AE307" s="548"/>
      <c r="AF307" s="548"/>
      <c r="AG307" s="548"/>
    </row>
    <row r="308" spans="3:33">
      <c r="C308" s="845" t="s">
        <v>705</v>
      </c>
      <c r="D308" s="845"/>
      <c r="E308" s="845" t="s">
        <v>706</v>
      </c>
      <c r="F308" s="845"/>
      <c r="G308" s="548"/>
      <c r="H308" s="548"/>
      <c r="I308" s="548"/>
      <c r="J308" s="548"/>
      <c r="K308" s="548"/>
      <c r="L308" s="548"/>
      <c r="M308" s="548"/>
      <c r="N308" s="548"/>
      <c r="O308" s="548"/>
      <c r="P308" s="548"/>
      <c r="Q308" s="548"/>
      <c r="R308" s="548"/>
      <c r="S308" s="548"/>
      <c r="T308" s="548"/>
      <c r="U308" s="548"/>
      <c r="V308" s="548"/>
      <c r="W308" s="548"/>
      <c r="X308" s="548"/>
      <c r="Y308" s="548"/>
      <c r="Z308" s="548"/>
      <c r="AA308" s="548"/>
      <c r="AB308" s="548"/>
      <c r="AC308" s="548"/>
      <c r="AD308" s="548"/>
      <c r="AE308" s="548"/>
      <c r="AF308" s="548"/>
      <c r="AG308" s="548"/>
    </row>
    <row r="309" spans="3:33">
      <c r="C309" s="548" t="s">
        <v>22</v>
      </c>
      <c r="D309" s="548" t="s">
        <v>707</v>
      </c>
      <c r="E309" s="548" t="s">
        <v>23</v>
      </c>
      <c r="F309" s="548" t="s">
        <v>707</v>
      </c>
      <c r="G309" s="153" t="s">
        <v>708</v>
      </c>
      <c r="H309" s="548"/>
      <c r="I309" s="548"/>
      <c r="J309" s="548"/>
      <c r="K309" s="548"/>
      <c r="L309" s="548"/>
      <c r="M309" s="548"/>
      <c r="N309" s="548"/>
      <c r="O309" s="548"/>
      <c r="P309" s="548"/>
      <c r="Q309" s="548"/>
      <c r="R309" s="548"/>
      <c r="S309" s="548"/>
      <c r="T309" s="548"/>
      <c r="U309" s="548"/>
      <c r="V309" s="548"/>
      <c r="W309" s="548"/>
      <c r="X309" s="548"/>
      <c r="Y309" s="548"/>
      <c r="Z309" s="548"/>
      <c r="AA309" s="548"/>
      <c r="AB309" s="548"/>
      <c r="AC309" s="548"/>
      <c r="AD309" s="548"/>
      <c r="AE309" s="548"/>
      <c r="AF309" s="548"/>
      <c r="AG309" s="548"/>
    </row>
    <row r="310" spans="3:33">
      <c r="C310" s="548" t="s">
        <v>701</v>
      </c>
      <c r="D310" s="548" t="s">
        <v>379</v>
      </c>
      <c r="E310" s="548" t="s">
        <v>702</v>
      </c>
      <c r="F310" s="548" t="s">
        <v>360</v>
      </c>
      <c r="G310" s="39">
        <v>6</v>
      </c>
      <c r="H310" s="548"/>
      <c r="I310" s="548"/>
      <c r="J310" s="548"/>
      <c r="K310" s="548"/>
      <c r="L310" s="548"/>
      <c r="M310" s="548"/>
      <c r="N310" s="548"/>
      <c r="O310" s="548"/>
      <c r="P310" s="548"/>
      <c r="Q310" s="548"/>
      <c r="R310" s="548"/>
      <c r="S310" s="548"/>
      <c r="T310" s="548"/>
      <c r="U310" s="548"/>
      <c r="V310" s="548"/>
      <c r="W310" s="548"/>
      <c r="X310" s="548"/>
      <c r="Y310" s="548"/>
      <c r="Z310" s="548"/>
      <c r="AA310" s="548"/>
      <c r="AB310" s="548"/>
      <c r="AC310" s="548"/>
      <c r="AD310" s="548"/>
      <c r="AE310" s="548"/>
      <c r="AF310" s="548"/>
      <c r="AG310" s="548"/>
    </row>
    <row r="311" spans="3:33">
      <c r="C311" s="548" t="s">
        <v>701</v>
      </c>
      <c r="D311" s="548" t="s">
        <v>379</v>
      </c>
      <c r="E311" s="548" t="s">
        <v>703</v>
      </c>
      <c r="F311" s="548" t="s">
        <v>376</v>
      </c>
      <c r="G311" s="548">
        <v>2</v>
      </c>
      <c r="H311" s="548"/>
      <c r="I311" s="548"/>
      <c r="J311" s="548"/>
      <c r="K311" s="548"/>
      <c r="L311" s="548"/>
      <c r="M311" s="548"/>
      <c r="N311" s="548"/>
      <c r="O311" s="548"/>
      <c r="P311" s="548"/>
      <c r="Q311" s="548"/>
      <c r="R311" s="548"/>
      <c r="S311" s="548"/>
      <c r="T311" s="548"/>
      <c r="U311" s="548"/>
      <c r="V311" s="548"/>
      <c r="W311" s="548"/>
      <c r="X311" s="548"/>
      <c r="Y311" s="548"/>
      <c r="Z311" s="548"/>
      <c r="AA311" s="548"/>
      <c r="AB311" s="548"/>
      <c r="AC311" s="548"/>
      <c r="AD311" s="548"/>
      <c r="AE311" s="548"/>
      <c r="AF311" s="548"/>
      <c r="AG311" s="548"/>
    </row>
    <row r="312" spans="3:33">
      <c r="C312" s="548" t="s">
        <v>701</v>
      </c>
      <c r="D312" s="548" t="s">
        <v>379</v>
      </c>
      <c r="E312" s="548" t="s">
        <v>376</v>
      </c>
      <c r="F312" s="548" t="s">
        <v>376</v>
      </c>
      <c r="G312" s="548">
        <v>3</v>
      </c>
      <c r="H312" s="548"/>
      <c r="I312" s="548"/>
      <c r="J312" s="548"/>
      <c r="K312" s="548"/>
      <c r="L312" s="548"/>
      <c r="M312" s="548"/>
      <c r="N312" s="548"/>
      <c r="O312" s="548"/>
      <c r="P312" s="548"/>
      <c r="Q312" s="548"/>
      <c r="R312" s="548"/>
      <c r="S312" s="548"/>
      <c r="T312" s="548"/>
      <c r="U312" s="548"/>
      <c r="V312" s="548"/>
      <c r="W312" s="548"/>
      <c r="X312" s="548"/>
      <c r="Y312" s="548"/>
      <c r="Z312" s="548"/>
      <c r="AA312" s="548"/>
      <c r="AB312" s="548"/>
      <c r="AC312" s="548"/>
      <c r="AD312" s="548"/>
      <c r="AE312" s="548"/>
      <c r="AF312" s="548"/>
      <c r="AG312" s="548"/>
    </row>
    <row r="313" spans="3:33">
      <c r="C313" s="548" t="s">
        <v>704</v>
      </c>
      <c r="D313" s="548" t="s">
        <v>366</v>
      </c>
      <c r="E313" s="548" t="s">
        <v>702</v>
      </c>
      <c r="F313" s="548" t="s">
        <v>360</v>
      </c>
      <c r="G313" s="548">
        <v>3</v>
      </c>
      <c r="H313" s="548"/>
      <c r="I313" s="548"/>
      <c r="J313" s="548"/>
      <c r="K313" s="548"/>
      <c r="L313" s="548"/>
      <c r="M313" s="548"/>
      <c r="N313" s="548"/>
      <c r="O313" s="548"/>
      <c r="P313" s="548"/>
      <c r="Q313" s="548"/>
      <c r="R313" s="548"/>
      <c r="S313" s="548"/>
      <c r="T313" s="548"/>
      <c r="U313" s="548"/>
      <c r="V313" s="548"/>
      <c r="W313" s="548"/>
      <c r="X313" s="548"/>
      <c r="Y313" s="548"/>
      <c r="Z313" s="548"/>
      <c r="AA313" s="548"/>
      <c r="AB313" s="548"/>
      <c r="AC313" s="548"/>
      <c r="AD313" s="548"/>
      <c r="AE313" s="548"/>
      <c r="AF313" s="548"/>
      <c r="AG313" s="548"/>
    </row>
    <row r="314" spans="3:33">
      <c r="C314" s="548"/>
      <c r="D314" s="548"/>
      <c r="E314" s="548"/>
      <c r="F314" s="548"/>
      <c r="G314" s="548"/>
      <c r="H314" s="548"/>
      <c r="I314" s="548"/>
      <c r="J314" s="548"/>
      <c r="K314" s="548"/>
      <c r="L314" s="548"/>
      <c r="M314" s="548"/>
      <c r="N314" s="548"/>
      <c r="O314" s="548"/>
      <c r="P314" s="548"/>
      <c r="Q314" s="548"/>
      <c r="R314" s="548"/>
      <c r="S314" s="548"/>
      <c r="T314" s="548"/>
      <c r="U314" s="548"/>
      <c r="V314" s="548"/>
      <c r="W314" s="548"/>
      <c r="X314" s="548"/>
      <c r="Y314" s="548"/>
      <c r="Z314" s="548"/>
      <c r="AA314" s="548"/>
      <c r="AB314" s="548"/>
      <c r="AC314" s="548"/>
      <c r="AD314" s="548"/>
      <c r="AE314" s="548"/>
      <c r="AF314" s="548"/>
      <c r="AG314" s="548"/>
    </row>
    <row r="315" spans="3:33">
      <c r="C315" s="4" t="s">
        <v>379</v>
      </c>
      <c r="D315" s="4" t="s">
        <v>360</v>
      </c>
      <c r="E315" s="4" t="s">
        <v>376</v>
      </c>
      <c r="F315" s="4" t="s">
        <v>366</v>
      </c>
      <c r="G315" s="4" t="s">
        <v>709</v>
      </c>
      <c r="H315" s="548"/>
      <c r="I315" s="548"/>
      <c r="J315" s="548"/>
      <c r="K315" s="548"/>
      <c r="L315" s="548"/>
      <c r="M315" s="548"/>
      <c r="N315" s="548"/>
      <c r="O315" s="548"/>
      <c r="P315" s="548"/>
      <c r="Q315" s="548"/>
      <c r="R315" s="548"/>
      <c r="S315" s="548"/>
      <c r="T315" s="548"/>
      <c r="U315" s="548"/>
      <c r="V315" s="548"/>
      <c r="W315" s="548"/>
      <c r="X315" s="548"/>
      <c r="Y315" s="548"/>
      <c r="Z315" s="548"/>
      <c r="AA315" s="548"/>
      <c r="AB315" s="548"/>
      <c r="AC315" s="548"/>
      <c r="AD315" s="548"/>
      <c r="AE315" s="548"/>
      <c r="AF315" s="548"/>
      <c r="AG315" s="548"/>
    </row>
    <row r="316" spans="3:33">
      <c r="C316" s="4">
        <f>SUM(G310:G312)/2</f>
        <v>5.5</v>
      </c>
      <c r="D316" s="4">
        <f>0.5*(G310+G313)</f>
        <v>4.5</v>
      </c>
      <c r="E316" s="4">
        <f>0.5*(G311+G312)</f>
        <v>2.5</v>
      </c>
      <c r="F316" s="4">
        <f>G313/2</f>
        <v>1.5</v>
      </c>
      <c r="G316" s="4">
        <f>SUM(C316:F316)</f>
        <v>14</v>
      </c>
      <c r="H316" s="548"/>
      <c r="I316" s="548"/>
      <c r="J316" s="548"/>
      <c r="K316" s="548"/>
      <c r="L316" s="548"/>
      <c r="M316" s="548"/>
      <c r="N316" s="548"/>
      <c r="O316" s="548"/>
      <c r="P316" s="548"/>
      <c r="Q316" s="548"/>
      <c r="R316" s="548"/>
      <c r="S316" s="548"/>
      <c r="T316" s="548"/>
      <c r="U316" s="548"/>
      <c r="V316" s="548"/>
      <c r="W316" s="548"/>
      <c r="X316" s="548"/>
      <c r="Y316" s="548"/>
      <c r="Z316" s="548"/>
      <c r="AA316" s="548"/>
      <c r="AB316" s="548"/>
      <c r="AC316" s="548"/>
      <c r="AD316" s="548"/>
      <c r="AE316" s="548"/>
      <c r="AF316" s="548"/>
      <c r="AG316" s="548"/>
    </row>
    <row r="317" spans="3:33">
      <c r="C317" s="297">
        <f>C316/$G$316</f>
        <v>0.39285714285714285</v>
      </c>
      <c r="D317" s="297">
        <f>D316/$G$316</f>
        <v>0.32142857142857145</v>
      </c>
      <c r="E317" s="297">
        <f>E316/$G$316</f>
        <v>0.17857142857142858</v>
      </c>
      <c r="F317" s="297">
        <f>F316/$G$316</f>
        <v>0.10714285714285714</v>
      </c>
      <c r="G317" s="297">
        <f>G316/$G$316</f>
        <v>1</v>
      </c>
      <c r="H317" s="548"/>
      <c r="I317" s="548"/>
      <c r="J317" s="548"/>
      <c r="K317" s="548"/>
      <c r="L317" s="548"/>
      <c r="M317" s="548"/>
      <c r="N317" s="548"/>
      <c r="O317" s="548"/>
      <c r="P317" s="548"/>
      <c r="Q317" s="548"/>
      <c r="R317" s="548"/>
      <c r="S317" s="548"/>
      <c r="T317" s="548"/>
      <c r="U317" s="548"/>
      <c r="V317" s="548"/>
      <c r="W317" s="548"/>
      <c r="X317" s="548"/>
      <c r="Y317" s="548"/>
      <c r="Z317" s="548"/>
      <c r="AA317" s="548"/>
      <c r="AB317" s="548"/>
      <c r="AC317" s="548"/>
      <c r="AD317" s="548"/>
      <c r="AE317" s="548"/>
      <c r="AF317" s="548"/>
      <c r="AG317" s="548"/>
    </row>
    <row r="318" spans="3:33">
      <c r="C318" s="548"/>
      <c r="D318" s="548"/>
      <c r="E318" s="548"/>
      <c r="F318" s="548"/>
      <c r="G318" s="548"/>
      <c r="H318" s="548"/>
      <c r="I318" s="548"/>
      <c r="J318" s="548"/>
      <c r="K318" s="548"/>
      <c r="L318" s="548"/>
      <c r="M318" s="548"/>
      <c r="N318" s="548"/>
      <c r="O318" s="548"/>
      <c r="P318" s="548"/>
      <c r="Q318" s="548"/>
      <c r="R318" s="548"/>
      <c r="S318" s="548"/>
      <c r="T318" s="548"/>
      <c r="U318" s="548"/>
      <c r="V318" s="548"/>
      <c r="W318" s="548"/>
      <c r="X318" s="548"/>
      <c r="Y318" s="548"/>
      <c r="Z318" s="548"/>
      <c r="AA318" s="548"/>
      <c r="AB318" s="548"/>
      <c r="AC318" s="548"/>
      <c r="AD318" s="548"/>
      <c r="AE318" s="548"/>
      <c r="AF318" s="548"/>
      <c r="AG318" s="548"/>
    </row>
    <row r="319" spans="3:33">
      <c r="C319" s="548"/>
      <c r="D319" s="548"/>
      <c r="E319" s="548"/>
      <c r="F319" s="548"/>
      <c r="G319" s="548"/>
      <c r="H319" s="548"/>
      <c r="I319" s="548"/>
      <c r="J319" s="548"/>
      <c r="K319" s="548"/>
      <c r="L319" s="548"/>
      <c r="M319" s="548"/>
      <c r="N319" s="548"/>
      <c r="O319" s="548"/>
      <c r="P319" s="548"/>
      <c r="Q319" s="548"/>
      <c r="R319" s="548"/>
      <c r="S319" s="548"/>
      <c r="T319" s="548"/>
      <c r="U319" s="548"/>
      <c r="V319" s="548"/>
      <c r="W319" s="548"/>
      <c r="X319" s="548"/>
      <c r="Y319" s="548"/>
      <c r="Z319" s="548"/>
      <c r="AA319" s="548"/>
      <c r="AB319" s="548"/>
      <c r="AC319" s="548"/>
      <c r="AD319" s="548"/>
      <c r="AE319" s="548"/>
      <c r="AF319" s="548"/>
      <c r="AG319" s="548"/>
    </row>
    <row r="320" spans="3:33">
      <c r="C320" s="548"/>
      <c r="D320" s="548"/>
      <c r="E320" s="548"/>
      <c r="F320" s="548"/>
      <c r="G320" s="548"/>
      <c r="H320" s="548"/>
      <c r="I320" s="548"/>
      <c r="J320" s="548"/>
      <c r="K320" s="548"/>
      <c r="L320" s="548"/>
      <c r="M320" s="548"/>
      <c r="N320" s="548"/>
      <c r="O320" s="548"/>
      <c r="P320" s="548"/>
      <c r="Q320" s="548"/>
      <c r="R320" s="548"/>
      <c r="S320" s="548"/>
      <c r="T320" s="548"/>
      <c r="U320" s="548"/>
      <c r="V320" s="548"/>
      <c r="W320" s="548"/>
      <c r="X320" s="548"/>
      <c r="Y320" s="548"/>
      <c r="Z320" s="548"/>
      <c r="AA320" s="548"/>
      <c r="AB320" s="548"/>
      <c r="AC320" s="548"/>
      <c r="AD320" s="548"/>
      <c r="AE320" s="548"/>
      <c r="AF320" s="548"/>
      <c r="AG320" s="548"/>
    </row>
    <row r="321" spans="3:33">
      <c r="C321" s="548"/>
      <c r="D321" s="548"/>
      <c r="E321" s="548"/>
      <c r="F321" s="548"/>
      <c r="G321" s="548"/>
      <c r="H321" s="548"/>
      <c r="I321" s="548"/>
      <c r="J321" s="548"/>
      <c r="K321" s="548"/>
      <c r="L321" s="548"/>
      <c r="M321" s="548"/>
      <c r="N321" s="548"/>
      <c r="O321" s="548"/>
      <c r="P321" s="548"/>
      <c r="Q321" s="548"/>
      <c r="R321" s="548"/>
      <c r="S321" s="548"/>
      <c r="T321" s="548"/>
      <c r="U321" s="548"/>
      <c r="V321" s="548"/>
      <c r="W321" s="548"/>
      <c r="X321" s="548"/>
      <c r="Y321" s="548"/>
      <c r="Z321" s="548"/>
      <c r="AA321" s="548"/>
      <c r="AB321" s="548"/>
      <c r="AC321" s="548"/>
      <c r="AD321" s="548"/>
      <c r="AE321" s="548"/>
      <c r="AF321" s="548"/>
      <c r="AG321" s="548"/>
    </row>
    <row r="322" spans="3:33">
      <c r="C322" s="548"/>
      <c r="D322" s="548"/>
      <c r="E322" s="548"/>
      <c r="F322" s="548"/>
      <c r="G322" s="548"/>
      <c r="H322" s="548"/>
      <c r="I322" s="548"/>
      <c r="J322" s="548"/>
      <c r="K322" s="548"/>
      <c r="L322" s="548"/>
      <c r="M322" s="548"/>
      <c r="N322" s="548"/>
      <c r="O322" s="548"/>
      <c r="P322" s="548"/>
      <c r="Q322" s="548"/>
      <c r="R322" s="548"/>
      <c r="S322" s="548"/>
      <c r="T322" s="548"/>
      <c r="U322" s="548"/>
      <c r="V322" s="548"/>
      <c r="W322" s="548"/>
      <c r="X322" s="548"/>
      <c r="Y322" s="548"/>
      <c r="Z322" s="548"/>
      <c r="AA322" s="548"/>
      <c r="AB322" s="548"/>
      <c r="AC322" s="548"/>
      <c r="AD322" s="548"/>
      <c r="AE322" s="548"/>
      <c r="AF322" s="548"/>
      <c r="AG322" s="548"/>
    </row>
    <row r="323" spans="3:33">
      <c r="C323" s="548"/>
      <c r="D323" s="548"/>
      <c r="E323" s="548"/>
      <c r="F323" s="548"/>
      <c r="G323" s="548"/>
      <c r="H323" s="548"/>
      <c r="I323" s="548"/>
      <c r="J323" s="548"/>
      <c r="K323" s="548"/>
      <c r="L323" s="548"/>
      <c r="M323" s="548"/>
      <c r="N323" s="548"/>
      <c r="O323" s="548"/>
      <c r="P323" s="548"/>
      <c r="Q323" s="548"/>
      <c r="R323" s="548"/>
      <c r="S323" s="548"/>
      <c r="T323" s="548"/>
      <c r="U323" s="548"/>
      <c r="V323" s="548"/>
      <c r="W323" s="548"/>
      <c r="X323" s="548"/>
      <c r="Y323" s="548"/>
      <c r="Z323" s="548"/>
      <c r="AA323" s="548"/>
      <c r="AB323" s="548"/>
      <c r="AC323" s="548"/>
      <c r="AD323" s="548"/>
      <c r="AE323" s="548"/>
      <c r="AF323" s="548"/>
      <c r="AG323" s="548"/>
    </row>
    <row r="324" spans="3:33">
      <c r="C324" s="548"/>
      <c r="D324" s="548"/>
      <c r="E324" s="548"/>
      <c r="F324" s="548"/>
      <c r="G324" s="548"/>
      <c r="H324" s="548"/>
      <c r="I324" s="548"/>
      <c r="J324" s="548"/>
      <c r="K324" s="548"/>
      <c r="L324" s="548"/>
      <c r="M324" s="548"/>
      <c r="N324" s="548"/>
      <c r="O324" s="548"/>
      <c r="P324" s="548"/>
      <c r="Q324" s="548"/>
      <c r="R324" s="548"/>
      <c r="S324" s="548"/>
      <c r="T324" s="548"/>
      <c r="U324" s="548"/>
      <c r="V324" s="548"/>
      <c r="W324" s="548"/>
      <c r="X324" s="548"/>
      <c r="Y324" s="548"/>
      <c r="Z324" s="548"/>
      <c r="AA324" s="548"/>
      <c r="AB324" s="548"/>
      <c r="AC324" s="548"/>
      <c r="AD324" s="548"/>
      <c r="AE324" s="548"/>
      <c r="AF324" s="548"/>
      <c r="AG324" s="548"/>
    </row>
    <row r="325" spans="3:33">
      <c r="C325" s="548"/>
      <c r="D325" s="548"/>
      <c r="E325" s="548"/>
      <c r="F325" s="548"/>
      <c r="G325" s="548"/>
      <c r="H325" s="548"/>
      <c r="I325" s="548"/>
      <c r="J325" s="548"/>
      <c r="K325" s="548"/>
      <c r="L325" s="548"/>
      <c r="M325" s="548"/>
      <c r="N325" s="548"/>
      <c r="O325" s="548"/>
      <c r="P325" s="548"/>
      <c r="Q325" s="548"/>
      <c r="R325" s="548"/>
      <c r="S325" s="548"/>
      <c r="T325" s="548"/>
      <c r="U325" s="548"/>
      <c r="V325" s="548"/>
      <c r="W325" s="548"/>
      <c r="X325" s="548"/>
      <c r="Y325" s="548"/>
      <c r="Z325" s="548"/>
      <c r="AA325" s="548"/>
      <c r="AB325" s="548"/>
      <c r="AC325" s="548"/>
      <c r="AD325" s="548"/>
      <c r="AE325" s="548"/>
      <c r="AF325" s="548"/>
      <c r="AG325" s="548"/>
    </row>
    <row r="326" spans="3:33">
      <c r="C326" s="548"/>
      <c r="D326" s="548"/>
      <c r="E326" s="548"/>
      <c r="F326" s="548"/>
      <c r="G326" s="548"/>
      <c r="H326" s="548"/>
      <c r="I326" s="548"/>
      <c r="J326" s="548"/>
      <c r="K326" s="548"/>
      <c r="L326" s="548"/>
      <c r="M326" s="548"/>
      <c r="N326" s="548"/>
      <c r="O326" s="548"/>
      <c r="P326" s="548"/>
      <c r="Q326" s="548"/>
      <c r="R326" s="548"/>
      <c r="S326" s="548"/>
      <c r="T326" s="548"/>
      <c r="U326" s="548"/>
      <c r="V326" s="548"/>
      <c r="W326" s="548"/>
      <c r="X326" s="548"/>
      <c r="Y326" s="548"/>
      <c r="Z326" s="548"/>
      <c r="AA326" s="548"/>
      <c r="AB326" s="548"/>
      <c r="AC326" s="548"/>
      <c r="AD326" s="548"/>
      <c r="AE326" s="548"/>
      <c r="AF326" s="548"/>
      <c r="AG326" s="548"/>
    </row>
    <row r="327" spans="3:33">
      <c r="C327" s="548"/>
      <c r="D327" s="548"/>
      <c r="E327" s="548"/>
      <c r="F327" s="548"/>
      <c r="G327" s="548"/>
      <c r="H327" s="548"/>
      <c r="I327" s="548"/>
      <c r="J327" s="548"/>
      <c r="K327" s="548"/>
      <c r="L327" s="548"/>
      <c r="M327" s="548"/>
      <c r="N327" s="548"/>
      <c r="O327" s="548"/>
      <c r="P327" s="548"/>
      <c r="Q327" s="548"/>
      <c r="R327" s="548"/>
      <c r="S327" s="548"/>
      <c r="T327" s="548"/>
      <c r="U327" s="548"/>
      <c r="V327" s="548"/>
      <c r="W327" s="548"/>
      <c r="X327" s="548"/>
      <c r="Y327" s="548"/>
      <c r="Z327" s="548"/>
      <c r="AA327" s="548"/>
      <c r="AB327" s="548"/>
      <c r="AC327" s="548"/>
      <c r="AD327" s="548"/>
      <c r="AE327" s="548"/>
      <c r="AF327" s="548"/>
      <c r="AG327" s="548"/>
    </row>
    <row r="328" spans="3:33">
      <c r="C328" s="548"/>
      <c r="D328" s="548"/>
      <c r="E328" s="548"/>
      <c r="F328" s="548"/>
      <c r="G328" s="548"/>
      <c r="H328" s="548"/>
      <c r="I328" s="548"/>
      <c r="J328" s="548"/>
      <c r="K328" s="548"/>
      <c r="L328" s="548"/>
      <c r="M328" s="548"/>
      <c r="N328" s="548"/>
      <c r="O328" s="548"/>
      <c r="P328" s="548"/>
      <c r="Q328" s="548"/>
      <c r="R328" s="548"/>
      <c r="S328" s="548"/>
      <c r="T328" s="548"/>
      <c r="U328" s="548"/>
      <c r="V328" s="548"/>
      <c r="W328" s="548"/>
      <c r="X328" s="548"/>
      <c r="Y328" s="548"/>
      <c r="Z328" s="548"/>
      <c r="AA328" s="548"/>
      <c r="AB328" s="548"/>
      <c r="AC328" s="548"/>
      <c r="AD328" s="548"/>
      <c r="AE328" s="548"/>
      <c r="AF328" s="548"/>
      <c r="AG328" s="548"/>
    </row>
    <row r="329" spans="3:33">
      <c r="C329" s="548"/>
      <c r="D329" s="548"/>
      <c r="E329" s="548"/>
      <c r="F329" s="548"/>
      <c r="G329" s="548"/>
      <c r="H329" s="548"/>
      <c r="I329" s="548"/>
      <c r="J329" s="548"/>
      <c r="K329" s="548"/>
      <c r="L329" s="548"/>
      <c r="M329" s="548"/>
      <c r="N329" s="548"/>
      <c r="O329" s="548"/>
      <c r="P329" s="548"/>
      <c r="Q329" s="548"/>
      <c r="R329" s="548"/>
      <c r="S329" s="548"/>
      <c r="T329" s="548"/>
      <c r="U329" s="548"/>
      <c r="V329" s="548"/>
      <c r="W329" s="548"/>
      <c r="X329" s="548"/>
      <c r="Y329" s="548"/>
      <c r="Z329" s="548"/>
      <c r="AA329" s="548"/>
      <c r="AB329" s="548"/>
      <c r="AC329" s="548"/>
      <c r="AD329" s="548"/>
      <c r="AE329" s="548"/>
      <c r="AF329" s="548"/>
      <c r="AG329" s="548"/>
    </row>
    <row r="330" spans="3:33">
      <c r="C330" s="548"/>
      <c r="D330" s="548"/>
      <c r="E330" s="548"/>
      <c r="F330" s="548"/>
      <c r="G330" s="548"/>
      <c r="H330" s="548"/>
      <c r="I330" s="548"/>
      <c r="J330" s="548"/>
      <c r="K330" s="548"/>
      <c r="L330" s="548"/>
      <c r="M330" s="548"/>
      <c r="N330" s="548"/>
      <c r="O330" s="548"/>
      <c r="P330" s="548"/>
      <c r="Q330" s="548"/>
      <c r="R330" s="548"/>
      <c r="S330" s="548"/>
      <c r="T330" s="548"/>
      <c r="U330" s="548"/>
      <c r="V330" s="548"/>
      <c r="W330" s="548"/>
      <c r="X330" s="548"/>
      <c r="Y330" s="548"/>
      <c r="Z330" s="548"/>
      <c r="AA330" s="548"/>
      <c r="AB330" s="548"/>
      <c r="AC330" s="548"/>
      <c r="AD330" s="548"/>
      <c r="AE330" s="548"/>
      <c r="AF330" s="548"/>
      <c r="AG330" s="548"/>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D110 D112 D114 C124 C131:C139 D125 C141:C145 C147 C149:D149 C150:C160 D155 C161:C165 D159 D127 D129 D131 C148 F148 D161 D163 F149:F161 F124:F127 F167 D157 F169:F171 E19" formula="1"/>
  </ignoredErrors>
  <legacy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66"/>
  <sheetViews>
    <sheetView zoomScale="85" zoomScaleNormal="85" workbookViewId="0">
      <selection activeCell="E14" sqref="E14:F15"/>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818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9">
        <f>C369/1000</f>
        <v>14.556561092397196</v>
      </c>
      <c r="D4" s="259">
        <f t="shared" ref="D4:AC4" si="0">D369/1000</f>
        <v>0.19075815329593268</v>
      </c>
      <c r="E4" s="259">
        <f t="shared" si="0"/>
        <v>3.813707778705095</v>
      </c>
      <c r="F4" s="259">
        <f t="shared" si="0"/>
        <v>0.70334338163959453</v>
      </c>
      <c r="G4" s="259">
        <f t="shared" si="0"/>
        <v>0.3263059331917631</v>
      </c>
      <c r="H4" s="259">
        <f t="shared" si="0"/>
        <v>0.25725946218495216</v>
      </c>
      <c r="I4" s="259">
        <f t="shared" si="0"/>
        <v>0.12926410609378711</v>
      </c>
      <c r="J4" s="259">
        <f t="shared" si="0"/>
        <v>0.37066642356770213</v>
      </c>
      <c r="K4" s="259">
        <f t="shared" si="0"/>
        <v>0.61012642539130313</v>
      </c>
      <c r="L4" s="259">
        <f t="shared" si="0"/>
        <v>0.25256357827040127</v>
      </c>
      <c r="M4" s="259">
        <f t="shared" si="0"/>
        <v>0.28627808516599751</v>
      </c>
      <c r="N4" s="259">
        <f t="shared" si="0"/>
        <v>0.49824919039150339</v>
      </c>
      <c r="O4" s="259">
        <f t="shared" si="0"/>
        <v>0.44072764898712008</v>
      </c>
      <c r="P4" s="259">
        <f t="shared" si="0"/>
        <v>0.38789417997018355</v>
      </c>
      <c r="Q4" s="259">
        <f t="shared" si="0"/>
        <v>1.6403528726430969</v>
      </c>
      <c r="R4" s="259">
        <f t="shared" si="0"/>
        <v>0.50223766282260618</v>
      </c>
      <c r="S4" s="259">
        <f t="shared" si="0"/>
        <v>0.59887772521592175</v>
      </c>
      <c r="T4" s="259">
        <f t="shared" si="0"/>
        <v>0.54597893159747035</v>
      </c>
      <c r="U4" s="259">
        <f t="shared" si="0"/>
        <v>0.36254754715779958</v>
      </c>
      <c r="V4" s="259">
        <f t="shared" si="0"/>
        <v>0.8103180854486004</v>
      </c>
      <c r="W4" s="259">
        <f t="shared" si="0"/>
        <v>0.10399821589805379</v>
      </c>
      <c r="X4" s="259">
        <f t="shared" si="0"/>
        <v>0.43396473286285792</v>
      </c>
      <c r="Y4" s="259">
        <f t="shared" si="0"/>
        <v>0.22701130303232972</v>
      </c>
      <c r="Z4" s="259">
        <f t="shared" si="0"/>
        <v>0.20014421509334299</v>
      </c>
      <c r="AA4" s="259">
        <f t="shared" si="0"/>
        <v>0.22324073939976716</v>
      </c>
      <c r="AB4" s="259">
        <f t="shared" si="0"/>
        <v>0.43304852577361913</v>
      </c>
      <c r="AC4" s="259">
        <f t="shared" si="0"/>
        <v>0.20769618859639608</v>
      </c>
    </row>
    <row r="5" spans="1:29">
      <c r="A5" s="190" t="str">
        <f>Commodities!C20</f>
        <v>TRAPM</v>
      </c>
      <c r="B5" s="201" t="str">
        <f>Commodities!E20</f>
        <v>Bpkm</v>
      </c>
      <c r="C5" s="259">
        <f>C383/1000</f>
        <v>31.276118540280986</v>
      </c>
      <c r="D5" s="259">
        <f t="shared" ref="D5:AC5" si="1">D383/1000</f>
        <v>0.43519149385547129</v>
      </c>
      <c r="E5" s="259">
        <f t="shared" si="1"/>
        <v>7.621153644998925</v>
      </c>
      <c r="F5" s="259">
        <f t="shared" si="1"/>
        <v>1.5519093827676476</v>
      </c>
      <c r="G5" s="259">
        <f t="shared" si="1"/>
        <v>0.73703191607760743</v>
      </c>
      <c r="H5" s="259">
        <f t="shared" si="1"/>
        <v>0.55451713599955721</v>
      </c>
      <c r="I5" s="259">
        <f t="shared" si="1"/>
        <v>0.28568437258778695</v>
      </c>
      <c r="J5" s="259">
        <f t="shared" si="1"/>
        <v>0.76950577172521428</v>
      </c>
      <c r="K5" s="259">
        <f t="shared" si="1"/>
        <v>1.3359499798250478</v>
      </c>
      <c r="L5" s="259">
        <f t="shared" si="1"/>
        <v>0.56616320344762294</v>
      </c>
      <c r="M5" s="259">
        <f t="shared" si="1"/>
        <v>0.63911185847443031</v>
      </c>
      <c r="N5" s="259">
        <f t="shared" si="1"/>
        <v>1.1334816009734383</v>
      </c>
      <c r="O5" s="259">
        <f t="shared" si="1"/>
        <v>0.96185938421931272</v>
      </c>
      <c r="P5" s="259">
        <f t="shared" si="1"/>
        <v>0.8723586108918423</v>
      </c>
      <c r="Q5" s="259">
        <f t="shared" si="1"/>
        <v>3.5254749048173277</v>
      </c>
      <c r="R5" s="259">
        <f t="shared" si="1"/>
        <v>1.1538869884003555</v>
      </c>
      <c r="S5" s="259">
        <f t="shared" si="1"/>
        <v>1.2995736671311431</v>
      </c>
      <c r="T5" s="259">
        <f t="shared" si="1"/>
        <v>1.2604324784412986</v>
      </c>
      <c r="U5" s="259">
        <f t="shared" si="1"/>
        <v>0.79517788054022265</v>
      </c>
      <c r="V5" s="259">
        <f t="shared" si="1"/>
        <v>1.7803554187858515</v>
      </c>
      <c r="W5" s="259">
        <f t="shared" si="1"/>
        <v>0.23333731031609198</v>
      </c>
      <c r="X5" s="259">
        <f t="shared" si="1"/>
        <v>0.98601597898071291</v>
      </c>
      <c r="Y5" s="259">
        <f t="shared" si="1"/>
        <v>0.53090140271719211</v>
      </c>
      <c r="Z5" s="259">
        <f t="shared" si="1"/>
        <v>0.43310682655274862</v>
      </c>
      <c r="AA5" s="259">
        <f t="shared" si="1"/>
        <v>0.47060177269376968</v>
      </c>
      <c r="AB5" s="259">
        <f t="shared" si="1"/>
        <v>0.86668930093951158</v>
      </c>
      <c r="AC5" s="259">
        <f t="shared" si="1"/>
        <v>0.47664625412085693</v>
      </c>
    </row>
    <row r="6" spans="1:29">
      <c r="A6" s="190" t="str">
        <f>Commodities!C21</f>
        <v>TRAPL</v>
      </c>
      <c r="B6" s="201" t="str">
        <f>Commodities!E21</f>
        <v>Bpkm</v>
      </c>
      <c r="C6" s="259">
        <f>C397/1000</f>
        <v>27.131577542973638</v>
      </c>
      <c r="D6" s="259">
        <f t="shared" ref="D6:AC6" si="2">D397/1000</f>
        <v>0.373897486374975</v>
      </c>
      <c r="E6" s="259">
        <f t="shared" si="2"/>
        <v>6.6607449340349936</v>
      </c>
      <c r="F6" s="259">
        <f t="shared" si="2"/>
        <v>1.3457957919305057</v>
      </c>
      <c r="G6" s="259">
        <f t="shared" si="2"/>
        <v>0.64805463087287241</v>
      </c>
      <c r="H6" s="259">
        <f t="shared" si="2"/>
        <v>0.48149946813234057</v>
      </c>
      <c r="I6" s="259">
        <f t="shared" si="2"/>
        <v>0.24792998248868531</v>
      </c>
      <c r="J6" s="259">
        <f t="shared" si="2"/>
        <v>0.6736874578715788</v>
      </c>
      <c r="K6" s="259">
        <f t="shared" si="2"/>
        <v>1.145614903113785</v>
      </c>
      <c r="L6" s="259">
        <f t="shared" si="2"/>
        <v>0.49378011021821833</v>
      </c>
      <c r="M6" s="259">
        <f t="shared" si="2"/>
        <v>0.54722173482691427</v>
      </c>
      <c r="N6" s="259">
        <f t="shared" si="2"/>
        <v>0.97262646758485327</v>
      </c>
      <c r="O6" s="259">
        <f t="shared" si="2"/>
        <v>0.83286416374941885</v>
      </c>
      <c r="P6" s="259">
        <f t="shared" si="2"/>
        <v>0.74674766413249039</v>
      </c>
      <c r="Q6" s="259">
        <f t="shared" si="2"/>
        <v>3.0449422514531714</v>
      </c>
      <c r="R6" s="259">
        <f t="shared" si="2"/>
        <v>1.0126394376791288</v>
      </c>
      <c r="S6" s="259">
        <f t="shared" si="2"/>
        <v>1.1217784798314174</v>
      </c>
      <c r="T6" s="259">
        <f t="shared" si="2"/>
        <v>1.0852427647392462</v>
      </c>
      <c r="U6" s="259">
        <f t="shared" si="2"/>
        <v>0.6834292413998585</v>
      </c>
      <c r="V6" s="259">
        <f t="shared" si="2"/>
        <v>1.5527405180508131</v>
      </c>
      <c r="W6" s="259">
        <f t="shared" si="2"/>
        <v>0.20031586047476843</v>
      </c>
      <c r="X6" s="259">
        <f t="shared" si="2"/>
        <v>0.86102306186829458</v>
      </c>
      <c r="Y6" s="259">
        <f t="shared" si="2"/>
        <v>0.4513160972888865</v>
      </c>
      <c r="Z6" s="259">
        <f t="shared" si="2"/>
        <v>0.37617525772313687</v>
      </c>
      <c r="AA6" s="259">
        <f t="shared" si="2"/>
        <v>0.40231788404487256</v>
      </c>
      <c r="AB6" s="259">
        <f t="shared" si="2"/>
        <v>0.74109890371757148</v>
      </c>
      <c r="AC6" s="259">
        <f t="shared" si="2"/>
        <v>0.42809298937083867</v>
      </c>
    </row>
    <row r="7" spans="1:29">
      <c r="A7" s="190" t="str">
        <f>Commodities!C22</f>
        <v>TRAF</v>
      </c>
      <c r="B7" s="201" t="str">
        <f>Commodities!E22</f>
        <v>Btkm</v>
      </c>
      <c r="C7" s="259">
        <f t="shared" ref="C7:AC7" si="3">(C525/1000)+C18</f>
        <v>11.625551</v>
      </c>
      <c r="D7" s="259">
        <f t="shared" si="3"/>
        <v>0.17794099599204954</v>
      </c>
      <c r="E7" s="259">
        <f t="shared" si="3"/>
        <v>2.6576907930321347</v>
      </c>
      <c r="F7" s="259">
        <f t="shared" si="3"/>
        <v>0.48228404218784626</v>
      </c>
      <c r="G7" s="259">
        <f t="shared" si="3"/>
        <v>0.31014966827589163</v>
      </c>
      <c r="H7" s="259">
        <f t="shared" si="3"/>
        <v>0.22090468018989404</v>
      </c>
      <c r="I7" s="259">
        <f t="shared" si="3"/>
        <v>0.10660397645018758</v>
      </c>
      <c r="J7" s="259">
        <f t="shared" si="3"/>
        <v>0.27935990585939297</v>
      </c>
      <c r="K7" s="259">
        <f t="shared" si="3"/>
        <v>0.43225128206324637</v>
      </c>
      <c r="L7" s="259">
        <f t="shared" si="3"/>
        <v>0.20333600685129727</v>
      </c>
      <c r="M7" s="259">
        <f t="shared" si="3"/>
        <v>0.23152778091853185</v>
      </c>
      <c r="N7" s="259">
        <f t="shared" si="3"/>
        <v>0.46795618987426485</v>
      </c>
      <c r="O7" s="259">
        <f t="shared" si="3"/>
        <v>0.30871042636808321</v>
      </c>
      <c r="P7" s="259">
        <f t="shared" si="3"/>
        <v>0.30378726686741447</v>
      </c>
      <c r="Q7" s="259">
        <f t="shared" si="3"/>
        <v>1.625427705266085</v>
      </c>
      <c r="R7" s="259">
        <f t="shared" si="3"/>
        <v>0.44225677339931185</v>
      </c>
      <c r="S7" s="259">
        <f t="shared" si="3"/>
        <v>0.49831113834882401</v>
      </c>
      <c r="T7" s="259">
        <f t="shared" si="3"/>
        <v>0.40793968700183131</v>
      </c>
      <c r="U7" s="259">
        <f t="shared" si="3"/>
        <v>0.37892082777350039</v>
      </c>
      <c r="V7" s="259">
        <f t="shared" si="3"/>
        <v>0.60506096800451603</v>
      </c>
      <c r="W7" s="259">
        <f t="shared" si="3"/>
        <v>8.0693470189707711E-2</v>
      </c>
      <c r="X7" s="259">
        <f t="shared" si="3"/>
        <v>0.34078379979033369</v>
      </c>
      <c r="Y7" s="259">
        <f t="shared" si="3"/>
        <v>0.1513344097795204</v>
      </c>
      <c r="Z7" s="259">
        <f t="shared" si="3"/>
        <v>0.16503078794415471</v>
      </c>
      <c r="AA7" s="259">
        <f t="shared" si="3"/>
        <v>0.19182704360164693</v>
      </c>
      <c r="AB7" s="259">
        <f t="shared" si="3"/>
        <v>0.40087863270627727</v>
      </c>
      <c r="AC7" s="259">
        <f t="shared" si="3"/>
        <v>0.15458274126405555</v>
      </c>
    </row>
    <row r="8" spans="1:29" s="201" customFormat="1">
      <c r="A8" s="373" t="str">
        <f>Commodities!C23</f>
        <v>TTURS</v>
      </c>
      <c r="B8" s="12" t="str">
        <f>Commodities!E23</f>
        <v>PJ</v>
      </c>
      <c r="C8" s="374">
        <f t="shared" ref="C8:AC8" si="4">C665</f>
        <v>7.7245727925227738</v>
      </c>
      <c r="D8" s="374">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73" t="str">
        <f>Commodities!C24</f>
        <v>TNAV</v>
      </c>
      <c r="B9" s="12" t="str">
        <f>Commodities!E24</f>
        <v>PJ</v>
      </c>
      <c r="C9" s="374">
        <f t="shared" ref="C9:AC9" si="5">C666</f>
        <v>3.513299808727715</v>
      </c>
      <c r="D9" s="374">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74">
        <f t="shared" ref="C10:AC10" si="6">C667</f>
        <v>21.784659175997088</v>
      </c>
      <c r="D10" s="374">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75">
        <f t="shared" ref="C11:AC11" si="7">C678</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39">
        <f t="shared" ref="C12:AC12" si="8">C679</f>
        <v>45.935836654432045</v>
      </c>
      <c r="D12" s="340">
        <f t="shared" si="8"/>
        <v>0</v>
      </c>
      <c r="E12" s="339">
        <f t="shared" si="8"/>
        <v>40.411547456014475</v>
      </c>
      <c r="F12" s="339">
        <f t="shared" si="8"/>
        <v>0</v>
      </c>
      <c r="G12" s="339">
        <f t="shared" si="8"/>
        <v>0</v>
      </c>
      <c r="H12" s="339">
        <f t="shared" si="8"/>
        <v>0</v>
      </c>
      <c r="I12" s="339">
        <f t="shared" si="8"/>
        <v>0</v>
      </c>
      <c r="J12" s="339">
        <f t="shared" si="8"/>
        <v>0</v>
      </c>
      <c r="K12" s="339">
        <f t="shared" si="8"/>
        <v>0</v>
      </c>
      <c r="L12" s="339">
        <f t="shared" si="8"/>
        <v>0</v>
      </c>
      <c r="M12" s="339">
        <f t="shared" si="8"/>
        <v>0</v>
      </c>
      <c r="N12" s="339">
        <f t="shared" si="8"/>
        <v>0</v>
      </c>
      <c r="O12" s="339">
        <f t="shared" si="8"/>
        <v>0</v>
      </c>
      <c r="P12" s="339">
        <f t="shared" si="8"/>
        <v>2.3928132767411885</v>
      </c>
      <c r="Q12" s="339">
        <f t="shared" si="8"/>
        <v>2.2124403851853933</v>
      </c>
      <c r="R12" s="339">
        <f t="shared" si="8"/>
        <v>0.2411025265315139</v>
      </c>
      <c r="S12" s="339">
        <f t="shared" si="8"/>
        <v>0</v>
      </c>
      <c r="T12" s="339">
        <f t="shared" si="8"/>
        <v>0</v>
      </c>
      <c r="U12" s="339">
        <f t="shared" si="8"/>
        <v>0</v>
      </c>
      <c r="V12" s="339">
        <f t="shared" si="8"/>
        <v>0</v>
      </c>
      <c r="W12" s="339">
        <f t="shared" si="8"/>
        <v>0</v>
      </c>
      <c r="X12" s="339">
        <f t="shared" si="8"/>
        <v>0.68832808501139164</v>
      </c>
      <c r="Y12" s="339">
        <f t="shared" si="8"/>
        <v>0</v>
      </c>
      <c r="Z12" s="339">
        <f t="shared" si="8"/>
        <v>0</v>
      </c>
      <c r="AA12" s="339">
        <f t="shared" si="8"/>
        <v>0</v>
      </c>
      <c r="AB12" s="339">
        <f t="shared" si="8"/>
        <v>0</v>
      </c>
      <c r="AC12" s="339">
        <f t="shared" si="8"/>
        <v>0</v>
      </c>
    </row>
    <row r="13" spans="1:29" s="201" customFormat="1">
      <c r="A13" s="2"/>
      <c r="B13" s="2"/>
      <c r="C13" s="418"/>
      <c r="D13" s="144"/>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row>
    <row r="14" spans="1:29" s="429" customFormat="1">
      <c r="A14" s="2"/>
      <c r="B14" s="2"/>
      <c r="C14" s="418"/>
      <c r="D14" s="144"/>
      <c r="E14"/>
      <c r="F14"/>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row>
    <row r="15" spans="1:29" s="429" customFormat="1">
      <c r="A15" s="2"/>
      <c r="B15" s="2"/>
      <c r="C15" s="418"/>
      <c r="D15" s="144"/>
      <c r="E15"/>
      <c r="F15"/>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row>
    <row r="16" spans="1:29" s="429" customFormat="1">
      <c r="A16" s="2" t="s">
        <v>1072</v>
      </c>
      <c r="B16" s="2"/>
      <c r="C16" s="418"/>
      <c r="D16" s="144"/>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row>
    <row r="17" spans="1:29" s="429" customFormat="1">
      <c r="A17" s="431" t="s">
        <v>61</v>
      </c>
      <c r="B17" s="431" t="s">
        <v>94</v>
      </c>
      <c r="C17" s="431" t="str">
        <f>C3</f>
        <v>IE</v>
      </c>
      <c r="D17" s="431" t="str">
        <f t="shared" ref="D17:AC17" si="9">D3</f>
        <v>IE-CW</v>
      </c>
      <c r="E17" s="431" t="str">
        <f t="shared" si="9"/>
        <v>IE-D</v>
      </c>
      <c r="F17" s="431" t="str">
        <f t="shared" si="9"/>
        <v>IE-KE</v>
      </c>
      <c r="G17" s="431" t="str">
        <f t="shared" si="9"/>
        <v>IE-KK</v>
      </c>
      <c r="H17" s="431" t="str">
        <f t="shared" si="9"/>
        <v>IE-LS</v>
      </c>
      <c r="I17" s="431" t="str">
        <f t="shared" si="9"/>
        <v>IE-LD</v>
      </c>
      <c r="J17" s="431" t="str">
        <f t="shared" si="9"/>
        <v>IE-LH</v>
      </c>
      <c r="K17" s="431" t="str">
        <f t="shared" si="9"/>
        <v>IE-MH</v>
      </c>
      <c r="L17" s="431" t="str">
        <f t="shared" si="9"/>
        <v>IE-OY</v>
      </c>
      <c r="M17" s="431" t="str">
        <f t="shared" si="9"/>
        <v>IE-WH</v>
      </c>
      <c r="N17" s="431" t="str">
        <f t="shared" si="9"/>
        <v>IE-WX</v>
      </c>
      <c r="O17" s="431" t="str">
        <f t="shared" si="9"/>
        <v>IE-WW</v>
      </c>
      <c r="P17" s="431" t="str">
        <f t="shared" si="9"/>
        <v>IE-CE</v>
      </c>
      <c r="Q17" s="431" t="str">
        <f t="shared" si="9"/>
        <v>IE-CO</v>
      </c>
      <c r="R17" s="431" t="str">
        <f t="shared" si="9"/>
        <v>IE-KY</v>
      </c>
      <c r="S17" s="431" t="str">
        <f t="shared" si="9"/>
        <v>IE-LK</v>
      </c>
      <c r="T17" s="431" t="str">
        <f t="shared" si="9"/>
        <v>IE-TA</v>
      </c>
      <c r="U17" s="431" t="str">
        <f t="shared" si="9"/>
        <v>IE-WD</v>
      </c>
      <c r="V17" s="431" t="str">
        <f t="shared" si="9"/>
        <v>IE-G</v>
      </c>
      <c r="W17" s="431" t="str">
        <f t="shared" si="9"/>
        <v>IE-LM</v>
      </c>
      <c r="X17" s="431" t="str">
        <f t="shared" si="9"/>
        <v>IE-MO</v>
      </c>
      <c r="Y17" s="431" t="str">
        <f t="shared" si="9"/>
        <v>IE-RN</v>
      </c>
      <c r="Z17" s="431" t="str">
        <f t="shared" si="9"/>
        <v>IE-SO</v>
      </c>
      <c r="AA17" s="431" t="str">
        <f t="shared" si="9"/>
        <v>IE-CN</v>
      </c>
      <c r="AB17" s="431" t="str">
        <f t="shared" si="9"/>
        <v>IE-DL</v>
      </c>
      <c r="AC17" s="431" t="str">
        <f t="shared" si="9"/>
        <v>IE-MN</v>
      </c>
    </row>
    <row r="18" spans="1:29" s="429" customFormat="1">
      <c r="A18" s="519"/>
      <c r="B18" s="519" t="s">
        <v>928</v>
      </c>
      <c r="C18" s="520">
        <f>G581/1000000</f>
        <v>8.8551000000000005E-2</v>
      </c>
      <c r="D18" s="519">
        <v>0</v>
      </c>
      <c r="E18" s="520">
        <f>C18*Stock!D317</f>
        <v>2.8462821428571431E-2</v>
      </c>
      <c r="F18" s="521">
        <v>0</v>
      </c>
      <c r="G18" s="521">
        <v>0</v>
      </c>
      <c r="H18" s="521">
        <v>0</v>
      </c>
      <c r="I18" s="521">
        <v>0</v>
      </c>
      <c r="J18" s="521">
        <v>0</v>
      </c>
      <c r="K18" s="520">
        <f>C18*Stock!F317</f>
        <v>9.4876071428571431E-3</v>
      </c>
      <c r="L18" s="521">
        <v>0</v>
      </c>
      <c r="M18" s="521">
        <v>0</v>
      </c>
      <c r="N18" s="521">
        <v>0</v>
      </c>
      <c r="O18" s="521">
        <v>0</v>
      </c>
      <c r="P18" s="521">
        <v>0</v>
      </c>
      <c r="Q18" s="521">
        <v>0</v>
      </c>
      <c r="R18" s="521">
        <v>0</v>
      </c>
      <c r="S18" s="521">
        <v>0</v>
      </c>
      <c r="T18" s="521">
        <v>0</v>
      </c>
      <c r="U18" s="520">
        <f>C18*Stock!E317</f>
        <v>1.5812678571428571E-2</v>
      </c>
      <c r="V18" s="521">
        <v>0</v>
      </c>
      <c r="W18" s="521">
        <v>0</v>
      </c>
      <c r="X18" s="520">
        <f>C18*Stock!C317</f>
        <v>3.4787892857142858E-2</v>
      </c>
      <c r="Y18" s="521">
        <v>0</v>
      </c>
      <c r="Z18" s="521">
        <v>0</v>
      </c>
      <c r="AA18" s="521">
        <v>0</v>
      </c>
      <c r="AB18" s="521">
        <v>0</v>
      </c>
      <c r="AC18" s="521">
        <v>0</v>
      </c>
    </row>
    <row r="19" spans="1:29" s="429" customFormat="1">
      <c r="A19" s="144"/>
      <c r="B19" s="144"/>
      <c r="C19" s="418"/>
      <c r="D19" s="144"/>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row>
    <row r="20" spans="1:29" s="201" customFormat="1">
      <c r="A20" s="2"/>
      <c r="B20" s="2"/>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917</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920</v>
      </c>
      <c r="B23" s="113" t="s">
        <v>434</v>
      </c>
      <c r="C23" s="433" t="str">
        <f>Regions!C3</f>
        <v>IE</v>
      </c>
      <c r="D23" s="433" t="str">
        <f>Regions!E3</f>
        <v>IE-CW</v>
      </c>
      <c r="E23" s="433" t="str">
        <f>Regions!F3</f>
        <v>IE-D</v>
      </c>
      <c r="F23" s="433" t="str">
        <f>Regions!G3</f>
        <v>IE-KE</v>
      </c>
      <c r="G23" s="433" t="str">
        <f>Regions!H3</f>
        <v>IE-KK</v>
      </c>
      <c r="H23" s="433" t="str">
        <f>Regions!I3</f>
        <v>IE-LS</v>
      </c>
      <c r="I23" s="433" t="str">
        <f>Regions!J3</f>
        <v>IE-LD</v>
      </c>
      <c r="J23" s="433" t="str">
        <f>Regions!K3</f>
        <v>IE-LH</v>
      </c>
      <c r="K23" s="433" t="str">
        <f>Regions!L3</f>
        <v>IE-MH</v>
      </c>
      <c r="L23" s="433" t="str">
        <f>Regions!M3</f>
        <v>IE-OY</v>
      </c>
      <c r="M23" s="433" t="str">
        <f>Regions!N3</f>
        <v>IE-WH</v>
      </c>
      <c r="N23" s="433" t="str">
        <f>Regions!O3</f>
        <v>IE-WX</v>
      </c>
      <c r="O23" s="433" t="str">
        <f>Regions!P3</f>
        <v>IE-WW</v>
      </c>
      <c r="P23" s="433" t="str">
        <f>Regions!Q3</f>
        <v>IE-CE</v>
      </c>
      <c r="Q23" s="433" t="str">
        <f>Regions!R3</f>
        <v>IE-CO</v>
      </c>
      <c r="R23" s="433" t="str">
        <f>Regions!S3</f>
        <v>IE-KY</v>
      </c>
      <c r="S23" s="433" t="str">
        <f>Regions!T3</f>
        <v>IE-LK</v>
      </c>
      <c r="T23" s="433" t="str">
        <f>Regions!U3</f>
        <v>IE-TA</v>
      </c>
      <c r="U23" s="433" t="str">
        <f>Regions!V3</f>
        <v>IE-WD</v>
      </c>
      <c r="V23" s="433" t="str">
        <f>Regions!W3</f>
        <v>IE-G</v>
      </c>
      <c r="W23" s="433" t="str">
        <f>Regions!X3</f>
        <v>IE-LM</v>
      </c>
      <c r="X23" s="433" t="str">
        <f>Regions!Y3</f>
        <v>IE-MO</v>
      </c>
      <c r="Y23" s="433" t="str">
        <f>Regions!Z3</f>
        <v>IE-RN</v>
      </c>
      <c r="Z23" s="433" t="str">
        <f>Regions!AA3</f>
        <v>IE-SO</v>
      </c>
      <c r="AA23" s="433" t="str">
        <f>Regions!AB3</f>
        <v>IE-CN</v>
      </c>
      <c r="AB23" s="433" t="str">
        <f>Regions!AC3</f>
        <v>IE-DL</v>
      </c>
      <c r="AC23" s="433" t="str">
        <f>Regions!AD3</f>
        <v>IE-MN</v>
      </c>
    </row>
    <row r="24" spans="1:29" s="201" customFormat="1">
      <c r="A24" s="201" t="s">
        <v>437</v>
      </c>
      <c r="B24" s="39" t="s">
        <v>918</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6" t="s">
        <v>919</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28"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922</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33" t="str">
        <f>Regions!C3</f>
        <v>IE</v>
      </c>
      <c r="D32" s="433" t="str">
        <f>Regions!E3</f>
        <v>IE-CW</v>
      </c>
      <c r="E32" s="433" t="str">
        <f>Regions!F3</f>
        <v>IE-D</v>
      </c>
      <c r="F32" s="433" t="str">
        <f>Regions!G3</f>
        <v>IE-KE</v>
      </c>
      <c r="G32" s="433" t="str">
        <f>Regions!H3</f>
        <v>IE-KK</v>
      </c>
      <c r="H32" s="433" t="str">
        <f>Regions!I3</f>
        <v>IE-LS</v>
      </c>
      <c r="I32" s="433" t="str">
        <f>Regions!J3</f>
        <v>IE-LD</v>
      </c>
      <c r="J32" s="433" t="str">
        <f>Regions!K3</f>
        <v>IE-LH</v>
      </c>
      <c r="K32" s="433" t="str">
        <f>Regions!L3</f>
        <v>IE-MH</v>
      </c>
      <c r="L32" s="433" t="str">
        <f>Regions!M3</f>
        <v>IE-OY</v>
      </c>
      <c r="M32" s="433" t="str">
        <f>Regions!N3</f>
        <v>IE-WH</v>
      </c>
      <c r="N32" s="433" t="str">
        <f>Regions!O3</f>
        <v>IE-WX</v>
      </c>
      <c r="O32" s="433" t="str">
        <f>Regions!P3</f>
        <v>IE-WW</v>
      </c>
      <c r="P32" s="433" t="str">
        <f>Regions!Q3</f>
        <v>IE-CE</v>
      </c>
      <c r="Q32" s="433" t="str">
        <f>Regions!R3</f>
        <v>IE-CO</v>
      </c>
      <c r="R32" s="433" t="str">
        <f>Regions!S3</f>
        <v>IE-KY</v>
      </c>
      <c r="S32" s="433" t="str">
        <f>Regions!T3</f>
        <v>IE-LK</v>
      </c>
      <c r="T32" s="433" t="str">
        <f>Regions!U3</f>
        <v>IE-TA</v>
      </c>
      <c r="U32" s="433" t="str">
        <f>Regions!V3</f>
        <v>IE-WD</v>
      </c>
      <c r="V32" s="433" t="str">
        <f>Regions!W3</f>
        <v>IE-G</v>
      </c>
      <c r="W32" s="433" t="str">
        <f>Regions!X3</f>
        <v>IE-LM</v>
      </c>
      <c r="X32" s="433" t="str">
        <f>Regions!Y3</f>
        <v>IE-MO</v>
      </c>
      <c r="Y32" s="433" t="str">
        <f>Regions!Z3</f>
        <v>IE-RN</v>
      </c>
      <c r="Z32" s="433" t="str">
        <f>Regions!AA3</f>
        <v>IE-SO</v>
      </c>
      <c r="AA32" s="433" t="str">
        <f>Regions!AB3</f>
        <v>IE-CN</v>
      </c>
      <c r="AB32" s="433" t="str">
        <f>Regions!AC3</f>
        <v>IE-DL</v>
      </c>
      <c r="AC32" s="433" t="str">
        <f>Regions!AD3</f>
        <v>IE-MN</v>
      </c>
    </row>
    <row r="33" spans="1:29" s="201" customFormat="1">
      <c r="A33" s="201" t="s">
        <v>352</v>
      </c>
      <c r="B33" s="201" t="s">
        <v>347</v>
      </c>
      <c r="C33" s="421">
        <f t="shared" ref="C33:D39" si="14">C361/C$369</f>
        <v>0.32377983784854231</v>
      </c>
      <c r="D33" s="421">
        <f t="shared" si="14"/>
        <v>0.29539615700051852</v>
      </c>
      <c r="E33" s="421">
        <f t="shared" ref="E33:AC33" si="15">E361/E$369</f>
        <v>0.34967728765163869</v>
      </c>
      <c r="F33" s="421">
        <f t="shared" si="15"/>
        <v>0.31311359703458036</v>
      </c>
      <c r="G33" s="421">
        <f t="shared" si="15"/>
        <v>0.30099430857485032</v>
      </c>
      <c r="H33" s="421">
        <f t="shared" si="15"/>
        <v>0.32585784427063491</v>
      </c>
      <c r="I33" s="421">
        <f t="shared" si="15"/>
        <v>0.31296089693181006</v>
      </c>
      <c r="J33" s="421">
        <f t="shared" si="15"/>
        <v>0.34414959934244926</v>
      </c>
      <c r="K33" s="421">
        <f t="shared" si="15"/>
        <v>0.31640567871855385</v>
      </c>
      <c r="L33" s="421">
        <f t="shared" si="15"/>
        <v>0.30551897544605799</v>
      </c>
      <c r="M33" s="421">
        <f t="shared" si="15"/>
        <v>0.30690900126975923</v>
      </c>
      <c r="N33" s="421">
        <f t="shared" si="15"/>
        <v>0.29742024558167873</v>
      </c>
      <c r="O33" s="421">
        <f t="shared" si="15"/>
        <v>0.31985079986061538</v>
      </c>
      <c r="P33" s="421">
        <f t="shared" si="15"/>
        <v>0.30317740338092081</v>
      </c>
      <c r="Q33" s="421">
        <f t="shared" si="15"/>
        <v>0.32755819451934742</v>
      </c>
      <c r="R33" s="421">
        <f t="shared" si="15"/>
        <v>0.29108733491927802</v>
      </c>
      <c r="S33" s="421">
        <f t="shared" si="15"/>
        <v>0.32210907481657336</v>
      </c>
      <c r="T33" s="421">
        <f t="shared" si="15"/>
        <v>0.28924149649685427</v>
      </c>
      <c r="U33" s="421">
        <f t="shared" si="15"/>
        <v>0.31716332192128543</v>
      </c>
      <c r="V33" s="421">
        <f t="shared" si="15"/>
        <v>0.31520515014132622</v>
      </c>
      <c r="W33" s="421">
        <f t="shared" si="15"/>
        <v>0.30496664626628506</v>
      </c>
      <c r="X33" s="421">
        <f t="shared" si="15"/>
        <v>0.29765342162432462</v>
      </c>
      <c r="Y33" s="421">
        <f t="shared" si="15"/>
        <v>0.28141024531167946</v>
      </c>
      <c r="Z33" s="421">
        <f t="shared" si="15"/>
        <v>0.32408712009988533</v>
      </c>
      <c r="AA33" s="421">
        <f t="shared" si="15"/>
        <v>0.33773511822059504</v>
      </c>
      <c r="AB33" s="421">
        <f t="shared" si="15"/>
        <v>0.36384480991771728</v>
      </c>
      <c r="AC33" s="421">
        <f t="shared" si="15"/>
        <v>0.29253128431407999</v>
      </c>
    </row>
    <row r="34" spans="1:29" s="201" customFormat="1">
      <c r="B34" s="201" t="s">
        <v>348</v>
      </c>
      <c r="C34" s="421">
        <f t="shared" si="14"/>
        <v>5.3963306308090382E-2</v>
      </c>
      <c r="D34" s="421">
        <f t="shared" si="14"/>
        <v>4.9232692833419758E-2</v>
      </c>
      <c r="E34" s="421">
        <f t="shared" ref="E34:AC34" si="16">E362/E$369</f>
        <v>5.8279547941939784E-2</v>
      </c>
      <c r="F34" s="421">
        <f t="shared" si="16"/>
        <v>5.2185599505763403E-2</v>
      </c>
      <c r="G34" s="421">
        <f t="shared" si="16"/>
        <v>5.016571809580838E-2</v>
      </c>
      <c r="H34" s="421">
        <f t="shared" si="16"/>
        <v>5.4309640711772487E-2</v>
      </c>
      <c r="I34" s="421">
        <f t="shared" si="16"/>
        <v>5.216014948863501E-2</v>
      </c>
      <c r="J34" s="421">
        <f t="shared" si="16"/>
        <v>5.7358266557074891E-2</v>
      </c>
      <c r="K34" s="421">
        <f t="shared" si="16"/>
        <v>5.2734279786425649E-2</v>
      </c>
      <c r="L34" s="421">
        <f t="shared" si="16"/>
        <v>5.0919829241009663E-2</v>
      </c>
      <c r="M34" s="421">
        <f t="shared" si="16"/>
        <v>5.1151500211626538E-2</v>
      </c>
      <c r="N34" s="421">
        <f t="shared" si="16"/>
        <v>4.95700409302798E-2</v>
      </c>
      <c r="O34" s="421">
        <f t="shared" si="16"/>
        <v>5.3308466643435894E-2</v>
      </c>
      <c r="P34" s="421">
        <f t="shared" si="16"/>
        <v>5.052956723015347E-2</v>
      </c>
      <c r="Q34" s="421">
        <f t="shared" si="16"/>
        <v>5.459303241989124E-2</v>
      </c>
      <c r="R34" s="421">
        <f t="shared" si="16"/>
        <v>4.8514555819879672E-2</v>
      </c>
      <c r="S34" s="421">
        <f t="shared" si="16"/>
        <v>5.3684845802762227E-2</v>
      </c>
      <c r="T34" s="421">
        <f t="shared" si="16"/>
        <v>4.8206916082809047E-2</v>
      </c>
      <c r="U34" s="421">
        <f t="shared" si="16"/>
        <v>5.2860553653547575E-2</v>
      </c>
      <c r="V34" s="421">
        <f t="shared" si="16"/>
        <v>5.2534191690221041E-2</v>
      </c>
      <c r="W34" s="421">
        <f t="shared" si="16"/>
        <v>5.0827774377714179E-2</v>
      </c>
      <c r="X34" s="421">
        <f t="shared" si="16"/>
        <v>4.9608903604054101E-2</v>
      </c>
      <c r="Y34" s="421">
        <f t="shared" si="16"/>
        <v>4.690170755194658E-2</v>
      </c>
      <c r="Z34" s="421">
        <f t="shared" si="16"/>
        <v>5.4014520016647569E-2</v>
      </c>
      <c r="AA34" s="421">
        <f t="shared" si="16"/>
        <v>5.6289186370099165E-2</v>
      </c>
      <c r="AB34" s="421">
        <f t="shared" si="16"/>
        <v>6.064080165295288E-2</v>
      </c>
      <c r="AC34" s="421">
        <f t="shared" si="16"/>
        <v>4.8755214052346667E-2</v>
      </c>
    </row>
    <row r="35" spans="1:29" s="201" customFormat="1">
      <c r="A35" s="201" t="s">
        <v>349</v>
      </c>
      <c r="B35" s="201" t="s">
        <v>355</v>
      </c>
      <c r="C35" s="426">
        <f t="shared" si="14"/>
        <v>1.2024577456126329E-3</v>
      </c>
      <c r="D35" s="421">
        <f t="shared" si="14"/>
        <v>8.4181954391599476E-4</v>
      </c>
      <c r="E35" s="421">
        <f t="shared" ref="E35:AC35" si="17">E363/E$369</f>
        <v>1.4316393209477573E-3</v>
      </c>
      <c r="F35" s="421">
        <f t="shared" si="17"/>
        <v>1.3698908311171865E-3</v>
      </c>
      <c r="G35" s="421">
        <f t="shared" si="17"/>
        <v>9.8425388735709995E-4</v>
      </c>
      <c r="H35" s="421">
        <f t="shared" si="17"/>
        <v>6.2421004942624992E-4</v>
      </c>
      <c r="I35" s="421">
        <f t="shared" si="17"/>
        <v>1.2422933671109623E-3</v>
      </c>
      <c r="J35" s="421">
        <f t="shared" si="17"/>
        <v>8.6646068484003841E-4</v>
      </c>
      <c r="K35" s="421">
        <f t="shared" si="17"/>
        <v>1.3159890714686659E-3</v>
      </c>
      <c r="L35" s="421">
        <f t="shared" si="17"/>
        <v>1.2716318220191991E-3</v>
      </c>
      <c r="M35" s="421">
        <f t="shared" si="17"/>
        <v>1.1218737998245681E-3</v>
      </c>
      <c r="N35" s="421">
        <f t="shared" si="17"/>
        <v>1.2891857705150252E-3</v>
      </c>
      <c r="O35" s="421">
        <f t="shared" si="17"/>
        <v>1.4574437703184118E-3</v>
      </c>
      <c r="P35" s="421">
        <f t="shared" si="17"/>
        <v>1.2419671387040388E-3</v>
      </c>
      <c r="Q35" s="421">
        <f t="shared" si="17"/>
        <v>1.4684396048311016E-3</v>
      </c>
      <c r="R35" s="421">
        <f t="shared" si="17"/>
        <v>9.5921086863546602E-4</v>
      </c>
      <c r="S35" s="421">
        <f t="shared" si="17"/>
        <v>1.0725657999581929E-3</v>
      </c>
      <c r="T35" s="421">
        <f t="shared" si="17"/>
        <v>1.1764845294377178E-3</v>
      </c>
      <c r="U35" s="421">
        <f t="shared" si="17"/>
        <v>1.3287962602263445E-3</v>
      </c>
      <c r="V35" s="427">
        <f t="shared" si="17"/>
        <v>7.9269582890742734E-4</v>
      </c>
      <c r="W35" s="427">
        <f>W363/W$369</f>
        <v>1.544102850410962E-3</v>
      </c>
      <c r="X35" s="421">
        <f t="shared" si="17"/>
        <v>7.4007830335184128E-4</v>
      </c>
      <c r="Y35" s="421">
        <f t="shared" si="17"/>
        <v>7.0738302217035411E-4</v>
      </c>
      <c r="Z35" s="421">
        <f t="shared" si="17"/>
        <v>8.0234115950314402E-4</v>
      </c>
      <c r="AA35" s="421">
        <f t="shared" si="17"/>
        <v>7.1933080869381386E-4</v>
      </c>
      <c r="AB35" s="421">
        <f t="shared" si="17"/>
        <v>7.4164409782466955E-4</v>
      </c>
      <c r="AC35" s="421">
        <f t="shared" si="17"/>
        <v>7.7316749378532367E-4</v>
      </c>
    </row>
    <row r="36" spans="1:29" s="201" customFormat="1">
      <c r="B36" s="201" t="s">
        <v>354</v>
      </c>
      <c r="C36" s="421">
        <f>C364/C$369</f>
        <v>0.51421690231633799</v>
      </c>
      <c r="D36" s="421">
        <f t="shared" si="14"/>
        <v>0.57696936147650701</v>
      </c>
      <c r="E36" s="421">
        <f t="shared" ref="E36:AC36" si="18">E364/E$369</f>
        <v>0.4152163996490737</v>
      </c>
      <c r="F36" s="421">
        <f t="shared" si="18"/>
        <v>0.53837411623785481</v>
      </c>
      <c r="G36" s="421">
        <f t="shared" si="18"/>
        <v>0.5273035898540861</v>
      </c>
      <c r="H36" s="421">
        <f t="shared" si="18"/>
        <v>0.54428190464659498</v>
      </c>
      <c r="I36" s="421">
        <f t="shared" si="18"/>
        <v>0.54724418926165252</v>
      </c>
      <c r="J36" s="421">
        <f t="shared" si="18"/>
        <v>0.50629481396736598</v>
      </c>
      <c r="K36" s="421">
        <f t="shared" si="18"/>
        <v>0.54969956239724382</v>
      </c>
      <c r="L36" s="421">
        <f t="shared" si="18"/>
        <v>0.54286879912927866</v>
      </c>
      <c r="M36" s="421">
        <f t="shared" si="18"/>
        <v>0.57050800443626981</v>
      </c>
      <c r="N36" s="421">
        <f t="shared" si="18"/>
        <v>0.57834017325166753</v>
      </c>
      <c r="O36" s="421">
        <f t="shared" si="18"/>
        <v>0.54807767476728875</v>
      </c>
      <c r="P36" s="421">
        <f t="shared" si="18"/>
        <v>0.57445550608131724</v>
      </c>
      <c r="Q36" s="421">
        <f t="shared" si="18"/>
        <v>0.54514159019281827</v>
      </c>
      <c r="R36" s="421">
        <f t="shared" si="18"/>
        <v>0.52942173322971142</v>
      </c>
      <c r="S36" s="421">
        <f t="shared" si="18"/>
        <v>0.54890743812317566</v>
      </c>
      <c r="T36" s="421">
        <f t="shared" si="18"/>
        <v>0.57655830557717536</v>
      </c>
      <c r="U36" s="421">
        <f t="shared" si="18"/>
        <v>0.56469028513375741</v>
      </c>
      <c r="V36" s="421">
        <f t="shared" si="18"/>
        <v>0.5314898835087899</v>
      </c>
      <c r="W36" s="421">
        <f t="shared" si="18"/>
        <v>0.57016316956487822</v>
      </c>
      <c r="X36" s="421">
        <f t="shared" si="18"/>
        <v>0.54463316447281129</v>
      </c>
      <c r="Y36" s="421">
        <f t="shared" si="18"/>
        <v>0.60580683229929833</v>
      </c>
      <c r="Z36" s="421">
        <f t="shared" si="18"/>
        <v>0.54575340066281097</v>
      </c>
      <c r="AA36" s="421">
        <f t="shared" si="18"/>
        <v>0.57130392959697351</v>
      </c>
      <c r="AB36" s="421">
        <f t="shared" si="18"/>
        <v>0.56067924597798535</v>
      </c>
      <c r="AC36" s="421">
        <f t="shared" si="18"/>
        <v>0.49285227418620653</v>
      </c>
    </row>
    <row r="37" spans="1:29" s="201" customFormat="1">
      <c r="A37" s="201" t="s">
        <v>313</v>
      </c>
      <c r="B37" s="201" t="s">
        <v>351</v>
      </c>
      <c r="C37" s="421">
        <f t="shared" si="14"/>
        <v>1.6399604421517593E-2</v>
      </c>
      <c r="D37" s="421">
        <f t="shared" si="14"/>
        <v>7.4490307781118984E-3</v>
      </c>
      <c r="E37" s="421">
        <f t="shared" ref="E37:AC37" si="19">E365/E$369</f>
        <v>3.2043055112662859E-2</v>
      </c>
      <c r="F37" s="421">
        <f t="shared" si="19"/>
        <v>1.4142087272297982E-2</v>
      </c>
      <c r="G37" s="421">
        <f t="shared" si="19"/>
        <v>7.8384539751406128E-3</v>
      </c>
      <c r="H37" s="421">
        <f t="shared" si="19"/>
        <v>9.942235039347571E-3</v>
      </c>
      <c r="I37" s="421">
        <f t="shared" si="19"/>
        <v>8.7941712391293846E-3</v>
      </c>
      <c r="J37" s="421">
        <f t="shared" si="19"/>
        <v>1.9167683727598969E-2</v>
      </c>
      <c r="K37" s="421">
        <f t="shared" si="19"/>
        <v>1.9563309645198885E-2</v>
      </c>
      <c r="L37" s="421">
        <f t="shared" si="19"/>
        <v>6.7513932047123726E-3</v>
      </c>
      <c r="M37" s="421">
        <f t="shared" si="19"/>
        <v>1.1912585101328303E-2</v>
      </c>
      <c r="N37" s="421">
        <f t="shared" si="19"/>
        <v>6.2742086519266488E-3</v>
      </c>
      <c r="O37" s="421">
        <f t="shared" si="19"/>
        <v>9.0275647633180547E-3</v>
      </c>
      <c r="P37" s="421">
        <f t="shared" si="19"/>
        <v>1.0257172186811273E-2</v>
      </c>
      <c r="Q37" s="421">
        <f t="shared" si="19"/>
        <v>1.2127565539618518E-2</v>
      </c>
      <c r="R37" s="421">
        <f t="shared" si="19"/>
        <v>1.0185353383353699E-2</v>
      </c>
      <c r="S37" s="421">
        <f t="shared" si="19"/>
        <v>1.2812635692286438E-2</v>
      </c>
      <c r="T37" s="421">
        <f t="shared" si="19"/>
        <v>5.2051948265462115E-3</v>
      </c>
      <c r="U37" s="421">
        <f t="shared" si="19"/>
        <v>8.6226466174633056E-3</v>
      </c>
      <c r="V37" s="421">
        <f t="shared" si="19"/>
        <v>1.3327262086971724E-2</v>
      </c>
      <c r="W37" s="421">
        <f t="shared" si="19"/>
        <v>8.1980061454330136E-3</v>
      </c>
      <c r="X37" s="421">
        <f t="shared" si="19"/>
        <v>7.2036254203120672E-3</v>
      </c>
      <c r="Y37" s="421">
        <f t="shared" si="19"/>
        <v>6.2594387860714779E-3</v>
      </c>
      <c r="Z37" s="421">
        <f t="shared" si="19"/>
        <v>8.5196368293601697E-3</v>
      </c>
      <c r="AA37" s="421">
        <f t="shared" si="19"/>
        <v>8.9112260712667282E-3</v>
      </c>
      <c r="AB37" s="421">
        <f t="shared" si="19"/>
        <v>9.8439085033626087E-3</v>
      </c>
      <c r="AC37" s="421">
        <f t="shared" si="19"/>
        <v>4.1049285439853662E-3</v>
      </c>
    </row>
    <row r="38" spans="1:29" s="201" customFormat="1">
      <c r="B38" s="201" t="s">
        <v>573</v>
      </c>
      <c r="C38" s="421">
        <f t="shared" si="14"/>
        <v>8.2740995898888392E-2</v>
      </c>
      <c r="D38" s="421">
        <f t="shared" si="14"/>
        <v>7.0110938367526743E-2</v>
      </c>
      <c r="E38" s="421">
        <f t="shared" ref="E38:AC38" si="20">E366/E$369</f>
        <v>0.11397374993285452</v>
      </c>
      <c r="F38" s="421">
        <f t="shared" si="20"/>
        <v>8.0814709118386313E-2</v>
      </c>
      <c r="G38" s="421">
        <f t="shared" si="20"/>
        <v>0.11271367561275741</v>
      </c>
      <c r="H38" s="421">
        <f t="shared" si="20"/>
        <v>6.4984165282223824E-2</v>
      </c>
      <c r="I38" s="421">
        <f t="shared" si="20"/>
        <v>7.7598299711661989E-2</v>
      </c>
      <c r="J38" s="421">
        <f t="shared" si="20"/>
        <v>7.216317572067088E-2</v>
      </c>
      <c r="K38" s="421">
        <f t="shared" si="20"/>
        <v>6.0281180381109148E-2</v>
      </c>
      <c r="L38" s="421">
        <f t="shared" si="20"/>
        <v>9.2669371156921962E-2</v>
      </c>
      <c r="M38" s="421">
        <f t="shared" si="20"/>
        <v>5.839703518119168E-2</v>
      </c>
      <c r="N38" s="421">
        <f t="shared" si="20"/>
        <v>6.7106145813932178E-2</v>
      </c>
      <c r="O38" s="421">
        <f t="shared" si="20"/>
        <v>6.8278050195023532E-2</v>
      </c>
      <c r="P38" s="421">
        <f t="shared" si="20"/>
        <v>6.0338383982093263E-2</v>
      </c>
      <c r="Q38" s="421">
        <f t="shared" si="20"/>
        <v>5.9111177723493433E-2</v>
      </c>
      <c r="R38" s="421">
        <f t="shared" si="20"/>
        <v>0.11983181177914175</v>
      </c>
      <c r="S38" s="421">
        <f t="shared" si="20"/>
        <v>6.1413439765244195E-2</v>
      </c>
      <c r="T38" s="421">
        <f t="shared" si="20"/>
        <v>7.9611602487177441E-2</v>
      </c>
      <c r="U38" s="421">
        <f t="shared" si="20"/>
        <v>5.5334396413720018E-2</v>
      </c>
      <c r="V38" s="421">
        <f t="shared" si="20"/>
        <v>8.6650816743783748E-2</v>
      </c>
      <c r="W38" s="421">
        <f t="shared" si="20"/>
        <v>6.4300300795278542E-2</v>
      </c>
      <c r="X38" s="421">
        <f t="shared" si="20"/>
        <v>0.10016080657514609</v>
      </c>
      <c r="Y38" s="421">
        <f t="shared" si="20"/>
        <v>5.8914393028833764E-2</v>
      </c>
      <c r="Z38" s="421">
        <f t="shared" si="20"/>
        <v>6.6822981231792783E-2</v>
      </c>
      <c r="AA38" s="421">
        <f t="shared" si="20"/>
        <v>2.5041208932371696E-2</v>
      </c>
      <c r="AB38" s="421">
        <f t="shared" si="20"/>
        <v>4.2495898501573662E-3</v>
      </c>
      <c r="AC38" s="421">
        <f t="shared" si="20"/>
        <v>0.16098313140959611</v>
      </c>
    </row>
    <row r="39" spans="1:29" s="201" customFormat="1">
      <c r="B39" s="201" t="s">
        <v>560</v>
      </c>
      <c r="C39" s="421">
        <f t="shared" si="14"/>
        <v>7.6968954610109105E-3</v>
      </c>
      <c r="D39" s="421">
        <f t="shared" si="14"/>
        <v>0</v>
      </c>
      <c r="E39" s="421">
        <f t="shared" ref="E39:AC39" si="21">E367/E$369</f>
        <v>2.9378320390882739E-2</v>
      </c>
      <c r="F39" s="421">
        <f t="shared" si="21"/>
        <v>0</v>
      </c>
      <c r="G39" s="421">
        <f t="shared" si="21"/>
        <v>0</v>
      </c>
      <c r="H39" s="421">
        <f t="shared" si="21"/>
        <v>0</v>
      </c>
      <c r="I39" s="421">
        <f t="shared" si="21"/>
        <v>0</v>
      </c>
      <c r="J39" s="421">
        <f t="shared" si="21"/>
        <v>0</v>
      </c>
      <c r="K39" s="421">
        <f t="shared" si="21"/>
        <v>0</v>
      </c>
      <c r="L39" s="421">
        <f t="shared" si="21"/>
        <v>0</v>
      </c>
      <c r="M39" s="421">
        <f t="shared" si="21"/>
        <v>0</v>
      </c>
      <c r="N39" s="421">
        <f t="shared" si="21"/>
        <v>0</v>
      </c>
      <c r="O39" s="421">
        <f t="shared" si="21"/>
        <v>0</v>
      </c>
      <c r="P39" s="421">
        <f t="shared" si="21"/>
        <v>0</v>
      </c>
      <c r="Q39" s="421">
        <f t="shared" si="21"/>
        <v>0</v>
      </c>
      <c r="R39" s="421">
        <f t="shared" si="21"/>
        <v>0</v>
      </c>
      <c r="S39" s="421">
        <f t="shared" si="21"/>
        <v>0</v>
      </c>
      <c r="T39" s="421">
        <f t="shared" si="21"/>
        <v>0</v>
      </c>
      <c r="U39" s="421">
        <f t="shared" si="21"/>
        <v>0</v>
      </c>
      <c r="V39" s="421">
        <f t="shared" si="21"/>
        <v>0</v>
      </c>
      <c r="W39" s="421">
        <f t="shared" si="21"/>
        <v>0</v>
      </c>
      <c r="X39" s="421">
        <f t="shared" si="21"/>
        <v>0</v>
      </c>
      <c r="Y39" s="421">
        <f t="shared" si="21"/>
        <v>0</v>
      </c>
      <c r="Z39" s="421">
        <f t="shared" si="21"/>
        <v>0</v>
      </c>
      <c r="AA39" s="421">
        <f t="shared" si="21"/>
        <v>0</v>
      </c>
      <c r="AB39" s="421">
        <f t="shared" si="21"/>
        <v>0</v>
      </c>
      <c r="AC39" s="421">
        <f t="shared" si="21"/>
        <v>0</v>
      </c>
    </row>
    <row r="40" spans="1:29" s="201" customFormat="1">
      <c r="B40" s="201" t="s">
        <v>353</v>
      </c>
      <c r="C40" s="421">
        <v>0</v>
      </c>
      <c r="D40" s="421">
        <v>0</v>
      </c>
      <c r="E40" s="421">
        <v>0</v>
      </c>
      <c r="F40" s="421">
        <v>0</v>
      </c>
      <c r="G40" s="421">
        <v>0</v>
      </c>
      <c r="H40" s="421">
        <v>0</v>
      </c>
      <c r="I40" s="421">
        <v>0</v>
      </c>
      <c r="J40" s="421">
        <v>0</v>
      </c>
      <c r="K40" s="421">
        <v>0</v>
      </c>
      <c r="L40" s="421">
        <v>0</v>
      </c>
      <c r="M40" s="421">
        <v>0</v>
      </c>
      <c r="N40" s="421">
        <v>0</v>
      </c>
      <c r="O40" s="421">
        <v>0</v>
      </c>
      <c r="P40" s="421">
        <v>0</v>
      </c>
      <c r="Q40" s="421">
        <v>0</v>
      </c>
      <c r="R40" s="421">
        <v>0</v>
      </c>
      <c r="S40" s="421">
        <v>0</v>
      </c>
      <c r="T40" s="421">
        <v>0</v>
      </c>
      <c r="U40" s="421">
        <v>0</v>
      </c>
      <c r="V40" s="421">
        <v>0</v>
      </c>
      <c r="W40" s="421">
        <v>0</v>
      </c>
      <c r="X40" s="421">
        <v>0</v>
      </c>
      <c r="Y40" s="421">
        <v>0</v>
      </c>
      <c r="Z40" s="421">
        <v>0</v>
      </c>
      <c r="AA40" s="421">
        <v>0</v>
      </c>
      <c r="AB40" s="421">
        <v>0</v>
      </c>
      <c r="AC40" s="421">
        <v>0</v>
      </c>
    </row>
    <row r="41" spans="1:29" s="201" customFormat="1">
      <c r="A41" s="200"/>
      <c r="B41" s="388"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924</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33" t="str">
        <f>Regions!C3</f>
        <v>IE</v>
      </c>
      <c r="D46" s="433" t="str">
        <f>Regions!E3</f>
        <v>IE-CW</v>
      </c>
      <c r="E46" s="433" t="str">
        <f>Regions!F3</f>
        <v>IE-D</v>
      </c>
      <c r="F46" s="433" t="str">
        <f>Regions!G3</f>
        <v>IE-KE</v>
      </c>
      <c r="G46" s="433" t="str">
        <f>Regions!H3</f>
        <v>IE-KK</v>
      </c>
      <c r="H46" s="433" t="str">
        <f>Regions!I3</f>
        <v>IE-LS</v>
      </c>
      <c r="I46" s="433" t="str">
        <f>Regions!J3</f>
        <v>IE-LD</v>
      </c>
      <c r="J46" s="433" t="str">
        <f>Regions!K3</f>
        <v>IE-LH</v>
      </c>
      <c r="K46" s="433" t="str">
        <f>Regions!L3</f>
        <v>IE-MH</v>
      </c>
      <c r="L46" s="433" t="str">
        <f>Regions!M3</f>
        <v>IE-OY</v>
      </c>
      <c r="M46" s="433" t="str">
        <f>Regions!N3</f>
        <v>IE-WH</v>
      </c>
      <c r="N46" s="433" t="str">
        <f>Regions!O3</f>
        <v>IE-WX</v>
      </c>
      <c r="O46" s="433" t="str">
        <f>Regions!P3</f>
        <v>IE-WW</v>
      </c>
      <c r="P46" s="433" t="str">
        <f>Regions!Q3</f>
        <v>IE-CE</v>
      </c>
      <c r="Q46" s="433" t="str">
        <f>Regions!R3</f>
        <v>IE-CO</v>
      </c>
      <c r="R46" s="433" t="str">
        <f>Regions!S3</f>
        <v>IE-KY</v>
      </c>
      <c r="S46" s="433" t="str">
        <f>Regions!T3</f>
        <v>IE-LK</v>
      </c>
      <c r="T46" s="433" t="str">
        <f>Regions!U3</f>
        <v>IE-TA</v>
      </c>
      <c r="U46" s="433" t="str">
        <f>Regions!V3</f>
        <v>IE-WD</v>
      </c>
      <c r="V46" s="433" t="str">
        <f>Regions!W3</f>
        <v>IE-G</v>
      </c>
      <c r="W46" s="433" t="str">
        <f>Regions!X3</f>
        <v>IE-LM</v>
      </c>
      <c r="X46" s="433" t="str">
        <f>Regions!Y3</f>
        <v>IE-MO</v>
      </c>
      <c r="Y46" s="433" t="str">
        <f>Regions!Z3</f>
        <v>IE-RN</v>
      </c>
      <c r="Z46" s="433" t="str">
        <f>Regions!AA3</f>
        <v>IE-SO</v>
      </c>
      <c r="AA46" s="433" t="str">
        <f>Regions!AB3</f>
        <v>IE-CN</v>
      </c>
      <c r="AB46" s="433" t="str">
        <f>Regions!AC3</f>
        <v>IE-DL</v>
      </c>
      <c r="AC46" s="433" t="str">
        <f>Regions!AD3</f>
        <v>IE-MN</v>
      </c>
    </row>
    <row r="47" spans="1:29" s="201" customFormat="1">
      <c r="A47" s="201" t="s">
        <v>352</v>
      </c>
      <c r="B47" s="201" t="s">
        <v>347</v>
      </c>
      <c r="C47" s="421">
        <f>C375/C$383</f>
        <v>0</v>
      </c>
      <c r="D47" s="421">
        <f t="shared" ref="D47:AC54" si="23">D375/D$383</f>
        <v>0</v>
      </c>
      <c r="E47" s="421">
        <f t="shared" si="23"/>
        <v>0</v>
      </c>
      <c r="F47" s="421">
        <f t="shared" si="23"/>
        <v>0</v>
      </c>
      <c r="G47" s="421">
        <f t="shared" si="23"/>
        <v>0</v>
      </c>
      <c r="H47" s="421">
        <f t="shared" si="23"/>
        <v>0</v>
      </c>
      <c r="I47" s="421">
        <f t="shared" si="23"/>
        <v>0</v>
      </c>
      <c r="J47" s="421">
        <f t="shared" si="23"/>
        <v>0</v>
      </c>
      <c r="K47" s="421">
        <f t="shared" si="23"/>
        <v>0</v>
      </c>
      <c r="L47" s="421">
        <f t="shared" si="23"/>
        <v>0</v>
      </c>
      <c r="M47" s="421">
        <f t="shared" si="23"/>
        <v>0</v>
      </c>
      <c r="N47" s="421">
        <f t="shared" si="23"/>
        <v>0</v>
      </c>
      <c r="O47" s="421">
        <f t="shared" si="23"/>
        <v>0</v>
      </c>
      <c r="P47" s="421">
        <f t="shared" si="23"/>
        <v>0</v>
      </c>
      <c r="Q47" s="421">
        <f t="shared" si="23"/>
        <v>0</v>
      </c>
      <c r="R47" s="421">
        <f t="shared" si="23"/>
        <v>0</v>
      </c>
      <c r="S47" s="421">
        <f t="shared" si="23"/>
        <v>0</v>
      </c>
      <c r="T47" s="421">
        <f t="shared" si="23"/>
        <v>0</v>
      </c>
      <c r="U47" s="421">
        <f t="shared" si="23"/>
        <v>0</v>
      </c>
      <c r="V47" s="421">
        <f t="shared" si="23"/>
        <v>0</v>
      </c>
      <c r="W47" s="421">
        <f t="shared" si="23"/>
        <v>0</v>
      </c>
      <c r="X47" s="421">
        <f t="shared" si="23"/>
        <v>0</v>
      </c>
      <c r="Y47" s="421">
        <f t="shared" si="23"/>
        <v>0</v>
      </c>
      <c r="Z47" s="421">
        <f t="shared" si="23"/>
        <v>0</v>
      </c>
      <c r="AA47" s="421">
        <f t="shared" si="23"/>
        <v>0</v>
      </c>
      <c r="AB47" s="421">
        <f t="shared" si="23"/>
        <v>0</v>
      </c>
      <c r="AC47" s="421">
        <f t="shared" si="23"/>
        <v>0</v>
      </c>
    </row>
    <row r="48" spans="1:29" s="201" customFormat="1">
      <c r="B48" s="201" t="s">
        <v>348</v>
      </c>
      <c r="C48" s="421">
        <f t="shared" ref="C48:R54" si="24">C376/C$383</f>
        <v>0</v>
      </c>
      <c r="D48" s="421">
        <f t="shared" si="24"/>
        <v>0</v>
      </c>
      <c r="E48" s="421">
        <f t="shared" si="24"/>
        <v>0</v>
      </c>
      <c r="F48" s="421">
        <f t="shared" si="24"/>
        <v>0</v>
      </c>
      <c r="G48" s="421">
        <f t="shared" si="24"/>
        <v>0</v>
      </c>
      <c r="H48" s="421">
        <f t="shared" si="24"/>
        <v>0</v>
      </c>
      <c r="I48" s="421">
        <f t="shared" si="24"/>
        <v>0</v>
      </c>
      <c r="J48" s="421">
        <f t="shared" si="24"/>
        <v>0</v>
      </c>
      <c r="K48" s="421">
        <f t="shared" si="24"/>
        <v>0</v>
      </c>
      <c r="L48" s="421">
        <f t="shared" si="24"/>
        <v>0</v>
      </c>
      <c r="M48" s="421">
        <f t="shared" si="24"/>
        <v>0</v>
      </c>
      <c r="N48" s="421">
        <f t="shared" si="24"/>
        <v>0</v>
      </c>
      <c r="O48" s="421">
        <f t="shared" si="24"/>
        <v>0</v>
      </c>
      <c r="P48" s="421">
        <f t="shared" si="24"/>
        <v>0</v>
      </c>
      <c r="Q48" s="421">
        <f t="shared" si="24"/>
        <v>0</v>
      </c>
      <c r="R48" s="421">
        <f t="shared" si="24"/>
        <v>0</v>
      </c>
      <c r="S48" s="421">
        <f t="shared" si="23"/>
        <v>0</v>
      </c>
      <c r="T48" s="421">
        <f t="shared" si="23"/>
        <v>0</v>
      </c>
      <c r="U48" s="421">
        <f t="shared" si="23"/>
        <v>0</v>
      </c>
      <c r="V48" s="421">
        <f t="shared" si="23"/>
        <v>0</v>
      </c>
      <c r="W48" s="421">
        <f t="shared" si="23"/>
        <v>0</v>
      </c>
      <c r="X48" s="421">
        <f t="shared" si="23"/>
        <v>0</v>
      </c>
      <c r="Y48" s="421">
        <f t="shared" si="23"/>
        <v>0</v>
      </c>
      <c r="Z48" s="421">
        <f t="shared" si="23"/>
        <v>0</v>
      </c>
      <c r="AA48" s="421">
        <f t="shared" si="23"/>
        <v>0</v>
      </c>
      <c r="AB48" s="421">
        <f t="shared" si="23"/>
        <v>0</v>
      </c>
      <c r="AC48" s="421">
        <f t="shared" si="23"/>
        <v>0</v>
      </c>
    </row>
    <row r="49" spans="1:29" s="201" customFormat="1">
      <c r="A49" s="201" t="s">
        <v>349</v>
      </c>
      <c r="B49" s="201" t="s">
        <v>355</v>
      </c>
      <c r="C49" s="426">
        <f t="shared" si="24"/>
        <v>3.2739468688573266E-3</v>
      </c>
      <c r="D49" s="421">
        <f t="shared" si="23"/>
        <v>2.1586268841599747E-3</v>
      </c>
      <c r="E49" s="421">
        <f t="shared" si="23"/>
        <v>4.1909857054726746E-3</v>
      </c>
      <c r="F49" s="421">
        <f t="shared" si="23"/>
        <v>3.6319751739066989E-3</v>
      </c>
      <c r="G49" s="421">
        <f t="shared" si="23"/>
        <v>2.5491869155235955E-3</v>
      </c>
      <c r="H49" s="421">
        <f t="shared" si="23"/>
        <v>1.6941154698507114E-3</v>
      </c>
      <c r="I49" s="421">
        <f t="shared" si="23"/>
        <v>3.2883004760979389E-3</v>
      </c>
      <c r="J49" s="421">
        <f t="shared" si="23"/>
        <v>2.4416088687366478E-3</v>
      </c>
      <c r="K49" s="421">
        <f t="shared" si="23"/>
        <v>3.5159102982178412E-3</v>
      </c>
      <c r="L49" s="421">
        <f t="shared" si="23"/>
        <v>3.3185344885490013E-3</v>
      </c>
      <c r="M49" s="421">
        <f t="shared" si="23"/>
        <v>2.939754742265497E-3</v>
      </c>
      <c r="N49" s="421">
        <f t="shared" si="23"/>
        <v>3.3151523856669103E-3</v>
      </c>
      <c r="O49" s="421">
        <f t="shared" si="23"/>
        <v>3.906666915379246E-3</v>
      </c>
      <c r="P49" s="421">
        <f t="shared" si="23"/>
        <v>3.2306073901205486E-3</v>
      </c>
      <c r="Q49" s="421">
        <f t="shared" si="23"/>
        <v>3.9969766503394092E-3</v>
      </c>
      <c r="R49" s="421">
        <f t="shared" si="23"/>
        <v>2.4423953155841079E-3</v>
      </c>
      <c r="S49" s="421">
        <f t="shared" si="23"/>
        <v>2.8914591982090753E-3</v>
      </c>
      <c r="T49" s="421">
        <f t="shared" si="23"/>
        <v>2.9812499263931389E-3</v>
      </c>
      <c r="U49" s="421">
        <f t="shared" si="23"/>
        <v>3.5441732524901714E-3</v>
      </c>
      <c r="V49" s="421">
        <f t="shared" si="23"/>
        <v>2.1106258862285242E-3</v>
      </c>
      <c r="W49" s="421">
        <f t="shared" si="23"/>
        <v>4.0260002016890241E-3</v>
      </c>
      <c r="X49" s="421">
        <f t="shared" si="23"/>
        <v>1.9054783663146626E-3</v>
      </c>
      <c r="Y49" s="421">
        <f t="shared" si="23"/>
        <v>1.7694736792673005E-3</v>
      </c>
      <c r="Z49" s="421">
        <f t="shared" si="23"/>
        <v>2.1690169741061518E-3</v>
      </c>
      <c r="AA49" s="421">
        <f t="shared" si="23"/>
        <v>1.996201699404686E-3</v>
      </c>
      <c r="AB49" s="421">
        <f t="shared" si="23"/>
        <v>2.1678265957034699E-3</v>
      </c>
      <c r="AC49" s="421">
        <f t="shared" si="23"/>
        <v>1.9708873200458749E-3</v>
      </c>
    </row>
    <row r="50" spans="1:29" s="201" customFormat="1">
      <c r="B50" s="201" t="s">
        <v>354</v>
      </c>
      <c r="C50" s="421">
        <f t="shared" si="24"/>
        <v>0.83405572391255312</v>
      </c>
      <c r="D50" s="421">
        <f t="shared" si="23"/>
        <v>0.88136996225712338</v>
      </c>
      <c r="E50" s="421">
        <f t="shared" si="23"/>
        <v>0.72410905133504211</v>
      </c>
      <c r="F50" s="421">
        <f t="shared" si="23"/>
        <v>0.85033097733510543</v>
      </c>
      <c r="G50" s="421">
        <f t="shared" si="23"/>
        <v>0.81358360125192186</v>
      </c>
      <c r="H50" s="421">
        <f t="shared" si="23"/>
        <v>0.88000079438796519</v>
      </c>
      <c r="I50" s="421">
        <f t="shared" si="23"/>
        <v>0.86292967512561713</v>
      </c>
      <c r="J50" s="421">
        <f t="shared" si="23"/>
        <v>0.84991917486050839</v>
      </c>
      <c r="K50" s="421">
        <f t="shared" si="23"/>
        <v>0.87489878054676506</v>
      </c>
      <c r="L50" s="421">
        <f t="shared" si="23"/>
        <v>0.84396948853578213</v>
      </c>
      <c r="M50" s="421">
        <f t="shared" si="23"/>
        <v>0.89058577172865516</v>
      </c>
      <c r="N50" s="421">
        <f t="shared" si="23"/>
        <v>0.88596847722847849</v>
      </c>
      <c r="O50" s="421">
        <f t="shared" si="23"/>
        <v>0.87519253516054751</v>
      </c>
      <c r="P50" s="421">
        <f t="shared" si="23"/>
        <v>0.89017909286971042</v>
      </c>
      <c r="Q50" s="421">
        <f t="shared" si="23"/>
        <v>0.88395825319439558</v>
      </c>
      <c r="R50" s="421">
        <f t="shared" si="23"/>
        <v>0.80306472393989703</v>
      </c>
      <c r="S50" s="421">
        <f t="shared" si="23"/>
        <v>0.88153417928289457</v>
      </c>
      <c r="T50" s="421">
        <f t="shared" si="23"/>
        <v>0.87036679499941227</v>
      </c>
      <c r="U50" s="421">
        <f t="shared" si="23"/>
        <v>0.89725064481847272</v>
      </c>
      <c r="V50" s="421">
        <f t="shared" si="23"/>
        <v>0.84303694258501916</v>
      </c>
      <c r="W50" s="421">
        <f t="shared" si="23"/>
        <v>0.88561230886447639</v>
      </c>
      <c r="X50" s="421">
        <f t="shared" si="23"/>
        <v>0.83536706688667051</v>
      </c>
      <c r="Y50" s="421">
        <f t="shared" si="23"/>
        <v>0.90275636290048633</v>
      </c>
      <c r="Z50" s="421">
        <f t="shared" si="23"/>
        <v>0.87891574758893642</v>
      </c>
      <c r="AA50" s="421">
        <f t="shared" si="23"/>
        <v>0.9444737396739924</v>
      </c>
      <c r="AB50" s="421">
        <f t="shared" si="23"/>
        <v>0.97631596747347482</v>
      </c>
      <c r="AC50" s="421">
        <f t="shared" si="23"/>
        <v>0.7484312106638259</v>
      </c>
    </row>
    <row r="51" spans="1:29" s="201" customFormat="1">
      <c r="A51" s="201" t="s">
        <v>313</v>
      </c>
      <c r="B51" s="201" t="s">
        <v>351</v>
      </c>
      <c r="C51" s="421">
        <f t="shared" si="24"/>
        <v>2.1905905312439161E-2</v>
      </c>
      <c r="D51" s="421">
        <f t="shared" si="23"/>
        <v>9.3709663140288998E-3</v>
      </c>
      <c r="E51" s="421">
        <f t="shared" si="23"/>
        <v>4.6019564968395495E-2</v>
      </c>
      <c r="F51" s="421">
        <f t="shared" si="23"/>
        <v>1.8394858695029128E-2</v>
      </c>
      <c r="G51" s="421">
        <f t="shared" si="23"/>
        <v>9.9598084318994508E-3</v>
      </c>
      <c r="H51" s="421">
        <f t="shared" si="23"/>
        <v>1.3237997918849932E-2</v>
      </c>
      <c r="I51" s="421">
        <f t="shared" si="23"/>
        <v>1.1420057155050359E-2</v>
      </c>
      <c r="J51" s="421">
        <f t="shared" si="23"/>
        <v>2.6498598054231513E-2</v>
      </c>
      <c r="K51" s="421">
        <f t="shared" si="23"/>
        <v>2.5642116158186581E-2</v>
      </c>
      <c r="L51" s="421">
        <f t="shared" si="23"/>
        <v>8.6437934593511252E-3</v>
      </c>
      <c r="M51" s="421">
        <f t="shared" si="23"/>
        <v>1.5314370184172183E-2</v>
      </c>
      <c r="N51" s="421">
        <f t="shared" si="23"/>
        <v>7.9154020817384443E-3</v>
      </c>
      <c r="O51" s="421">
        <f t="shared" si="23"/>
        <v>1.1871653704006174E-2</v>
      </c>
      <c r="P51" s="421">
        <f t="shared" si="23"/>
        <v>1.3089641552029165E-2</v>
      </c>
      <c r="Q51" s="421">
        <f t="shared" si="23"/>
        <v>1.6194784858342321E-2</v>
      </c>
      <c r="R51" s="421">
        <f t="shared" si="23"/>
        <v>1.272342398540301E-2</v>
      </c>
      <c r="S51" s="421">
        <f t="shared" si="23"/>
        <v>1.6945626580446856E-2</v>
      </c>
      <c r="T51" s="421">
        <f t="shared" si="23"/>
        <v>6.4710564013944778E-3</v>
      </c>
      <c r="U51" s="421">
        <f t="shared" si="23"/>
        <v>1.1282963024401618E-2</v>
      </c>
      <c r="V51" s="421">
        <f t="shared" si="23"/>
        <v>1.7408913059663488E-2</v>
      </c>
      <c r="W51" s="421">
        <f t="shared" si="23"/>
        <v>1.0486530825816983E-2</v>
      </c>
      <c r="X51" s="421">
        <f t="shared" si="23"/>
        <v>9.0992061135074936E-3</v>
      </c>
      <c r="Y51" s="421">
        <f t="shared" si="23"/>
        <v>7.6815860877352945E-3</v>
      </c>
      <c r="Z51" s="421">
        <f t="shared" si="23"/>
        <v>1.129928575321087E-2</v>
      </c>
      <c r="AA51" s="421">
        <f t="shared" si="23"/>
        <v>1.2132191360051241E-2</v>
      </c>
      <c r="AB51" s="421">
        <f t="shared" si="23"/>
        <v>1.4116355738962196E-2</v>
      </c>
      <c r="AC51" s="421">
        <f t="shared" si="23"/>
        <v>5.1335741680296381E-3</v>
      </c>
    </row>
    <row r="52" spans="1:29" s="201" customFormat="1">
      <c r="B52" s="201" t="s">
        <v>573</v>
      </c>
      <c r="C52" s="421">
        <f t="shared" si="24"/>
        <v>0.13420523697456904</v>
      </c>
      <c r="D52" s="421">
        <f t="shared" si="23"/>
        <v>0.10710044454468777</v>
      </c>
      <c r="E52" s="421">
        <f t="shared" si="23"/>
        <v>0.19876243811835848</v>
      </c>
      <c r="F52" s="421">
        <f t="shared" si="23"/>
        <v>0.12764218879595873</v>
      </c>
      <c r="G52" s="421">
        <f t="shared" si="23"/>
        <v>0.17390740340065505</v>
      </c>
      <c r="H52" s="421">
        <f t="shared" si="23"/>
        <v>0.10506709222333424</v>
      </c>
      <c r="I52" s="421">
        <f t="shared" si="23"/>
        <v>0.12236196724323453</v>
      </c>
      <c r="J52" s="421">
        <f t="shared" si="23"/>
        <v>0.12114061821652349</v>
      </c>
      <c r="K52" s="421">
        <f t="shared" si="23"/>
        <v>9.5943192996830379E-2</v>
      </c>
      <c r="L52" s="421">
        <f t="shared" si="23"/>
        <v>0.14406818351631784</v>
      </c>
      <c r="M52" s="421">
        <f t="shared" si="23"/>
        <v>9.1160103344907026E-2</v>
      </c>
      <c r="N52" s="421">
        <f t="shared" si="23"/>
        <v>0.10280096830411618</v>
      </c>
      <c r="O52" s="421">
        <f t="shared" si="23"/>
        <v>0.1090291442200671</v>
      </c>
      <c r="P52" s="421">
        <f t="shared" si="23"/>
        <v>9.3500658188139713E-2</v>
      </c>
      <c r="Q52" s="421">
        <f t="shared" si="23"/>
        <v>9.5849985296922749E-2</v>
      </c>
      <c r="R52" s="421">
        <f t="shared" si="23"/>
        <v>0.18176945675911579</v>
      </c>
      <c r="S52" s="421">
        <f t="shared" si="23"/>
        <v>9.8628734938449439E-2</v>
      </c>
      <c r="T52" s="421">
        <f t="shared" si="23"/>
        <v>0.1201808986728002</v>
      </c>
      <c r="U52" s="421">
        <f t="shared" si="23"/>
        <v>8.7922218904635543E-2</v>
      </c>
      <c r="V52" s="421">
        <f t="shared" si="23"/>
        <v>0.13744351846908884</v>
      </c>
      <c r="W52" s="421">
        <f t="shared" si="23"/>
        <v>9.9875160108017558E-2</v>
      </c>
      <c r="X52" s="421">
        <f t="shared" si="23"/>
        <v>0.15362824863350735</v>
      </c>
      <c r="Y52" s="421">
        <f t="shared" si="23"/>
        <v>8.779257733251114E-2</v>
      </c>
      <c r="Z52" s="421">
        <f t="shared" si="23"/>
        <v>0.10761594968374652</v>
      </c>
      <c r="AA52" s="421">
        <f t="shared" si="23"/>
        <v>4.1397867266551647E-2</v>
      </c>
      <c r="AB52" s="421">
        <f t="shared" si="23"/>
        <v>7.3998501918595234E-3</v>
      </c>
      <c r="AC52" s="421">
        <f t="shared" si="23"/>
        <v>0.24446432784809863</v>
      </c>
    </row>
    <row r="53" spans="1:29" s="201" customFormat="1">
      <c r="B53" s="201" t="s">
        <v>560</v>
      </c>
      <c r="C53" s="421">
        <f t="shared" si="24"/>
        <v>6.559186931581344E-3</v>
      </c>
      <c r="D53" s="421">
        <f t="shared" si="23"/>
        <v>0</v>
      </c>
      <c r="E53" s="421">
        <f t="shared" si="23"/>
        <v>2.6917959872731177E-2</v>
      </c>
      <c r="F53" s="421">
        <f t="shared" si="23"/>
        <v>0</v>
      </c>
      <c r="G53" s="421">
        <f t="shared" si="23"/>
        <v>0</v>
      </c>
      <c r="H53" s="421">
        <f t="shared" si="23"/>
        <v>0</v>
      </c>
      <c r="I53" s="421">
        <f t="shared" si="23"/>
        <v>0</v>
      </c>
      <c r="J53" s="421">
        <f t="shared" si="23"/>
        <v>0</v>
      </c>
      <c r="K53" s="421">
        <f t="shared" si="23"/>
        <v>0</v>
      </c>
      <c r="L53" s="421">
        <f t="shared" si="23"/>
        <v>0</v>
      </c>
      <c r="M53" s="421">
        <f t="shared" si="23"/>
        <v>0</v>
      </c>
      <c r="N53" s="421">
        <f t="shared" si="23"/>
        <v>0</v>
      </c>
      <c r="O53" s="421">
        <f t="shared" si="23"/>
        <v>0</v>
      </c>
      <c r="P53" s="421">
        <f t="shared" si="23"/>
        <v>0</v>
      </c>
      <c r="Q53" s="421">
        <f t="shared" si="23"/>
        <v>0</v>
      </c>
      <c r="R53" s="421">
        <f t="shared" si="23"/>
        <v>0</v>
      </c>
      <c r="S53" s="421">
        <f t="shared" si="23"/>
        <v>0</v>
      </c>
      <c r="T53" s="421">
        <f t="shared" si="23"/>
        <v>0</v>
      </c>
      <c r="U53" s="421">
        <f t="shared" si="23"/>
        <v>0</v>
      </c>
      <c r="V53" s="421">
        <f t="shared" si="23"/>
        <v>0</v>
      </c>
      <c r="W53" s="421">
        <f t="shared" si="23"/>
        <v>0</v>
      </c>
      <c r="X53" s="421">
        <f t="shared" si="23"/>
        <v>0</v>
      </c>
      <c r="Y53" s="421">
        <f t="shared" si="23"/>
        <v>0</v>
      </c>
      <c r="Z53" s="421">
        <f t="shared" si="23"/>
        <v>0</v>
      </c>
      <c r="AA53" s="421">
        <f t="shared" si="23"/>
        <v>0</v>
      </c>
      <c r="AB53" s="421">
        <f t="shared" si="23"/>
        <v>0</v>
      </c>
      <c r="AC53" s="421">
        <f t="shared" si="23"/>
        <v>0</v>
      </c>
    </row>
    <row r="54" spans="1:29" s="201" customFormat="1">
      <c r="B54" s="201" t="s">
        <v>353</v>
      </c>
      <c r="C54" s="421">
        <f t="shared" si="24"/>
        <v>0</v>
      </c>
      <c r="D54" s="421">
        <f t="shared" si="23"/>
        <v>0</v>
      </c>
      <c r="E54" s="421">
        <f t="shared" si="23"/>
        <v>0</v>
      </c>
      <c r="F54" s="421">
        <f t="shared" si="23"/>
        <v>0</v>
      </c>
      <c r="G54" s="421">
        <f t="shared" si="23"/>
        <v>0</v>
      </c>
      <c r="H54" s="421">
        <f t="shared" si="23"/>
        <v>0</v>
      </c>
      <c r="I54" s="421">
        <f t="shared" si="23"/>
        <v>0</v>
      </c>
      <c r="J54" s="421">
        <f t="shared" si="23"/>
        <v>0</v>
      </c>
      <c r="K54" s="421">
        <f t="shared" si="23"/>
        <v>0</v>
      </c>
      <c r="L54" s="421">
        <f t="shared" si="23"/>
        <v>0</v>
      </c>
      <c r="M54" s="421">
        <f t="shared" si="23"/>
        <v>0</v>
      </c>
      <c r="N54" s="421">
        <f t="shared" si="23"/>
        <v>0</v>
      </c>
      <c r="O54" s="421">
        <f t="shared" si="23"/>
        <v>0</v>
      </c>
      <c r="P54" s="421">
        <f t="shared" si="23"/>
        <v>0</v>
      </c>
      <c r="Q54" s="421">
        <f t="shared" si="23"/>
        <v>0</v>
      </c>
      <c r="R54" s="421">
        <f t="shared" si="23"/>
        <v>0</v>
      </c>
      <c r="S54" s="421">
        <f t="shared" si="23"/>
        <v>0</v>
      </c>
      <c r="T54" s="421">
        <f t="shared" si="23"/>
        <v>0</v>
      </c>
      <c r="U54" s="421">
        <f t="shared" si="23"/>
        <v>0</v>
      </c>
      <c r="V54" s="421">
        <f t="shared" si="23"/>
        <v>0</v>
      </c>
      <c r="W54" s="421">
        <f t="shared" si="23"/>
        <v>0</v>
      </c>
      <c r="X54" s="421">
        <f t="shared" si="23"/>
        <v>0</v>
      </c>
      <c r="Y54" s="421">
        <f t="shared" si="23"/>
        <v>0</v>
      </c>
      <c r="Z54" s="421">
        <f t="shared" si="23"/>
        <v>0</v>
      </c>
      <c r="AA54" s="421">
        <f t="shared" si="23"/>
        <v>0</v>
      </c>
      <c r="AB54" s="421">
        <f t="shared" si="23"/>
        <v>0</v>
      </c>
      <c r="AC54" s="421">
        <f t="shared" si="23"/>
        <v>0</v>
      </c>
    </row>
    <row r="55" spans="1:29" s="201" customFormat="1">
      <c r="A55" s="200"/>
      <c r="B55" s="388"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923</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33" t="str">
        <f>Regions!C3</f>
        <v>IE</v>
      </c>
      <c r="D60" s="433" t="str">
        <f>Regions!E3</f>
        <v>IE-CW</v>
      </c>
      <c r="E60" s="433" t="str">
        <f>Regions!F3</f>
        <v>IE-D</v>
      </c>
      <c r="F60" s="433" t="str">
        <f>Regions!G3</f>
        <v>IE-KE</v>
      </c>
      <c r="G60" s="433" t="str">
        <f>Regions!H3</f>
        <v>IE-KK</v>
      </c>
      <c r="H60" s="433" t="str">
        <f>Regions!I3</f>
        <v>IE-LS</v>
      </c>
      <c r="I60" s="433" t="str">
        <f>Regions!J3</f>
        <v>IE-LD</v>
      </c>
      <c r="J60" s="433" t="str">
        <f>Regions!K3</f>
        <v>IE-LH</v>
      </c>
      <c r="K60" s="433" t="str">
        <f>Regions!L3</f>
        <v>IE-MH</v>
      </c>
      <c r="L60" s="433" t="str">
        <f>Regions!M3</f>
        <v>IE-OY</v>
      </c>
      <c r="M60" s="433" t="str">
        <f>Regions!N3</f>
        <v>IE-WH</v>
      </c>
      <c r="N60" s="433" t="str">
        <f>Regions!O3</f>
        <v>IE-WX</v>
      </c>
      <c r="O60" s="433" t="str">
        <f>Regions!P3</f>
        <v>IE-WW</v>
      </c>
      <c r="P60" s="433" t="str">
        <f>Regions!Q3</f>
        <v>IE-CE</v>
      </c>
      <c r="Q60" s="433" t="str">
        <f>Regions!R3</f>
        <v>IE-CO</v>
      </c>
      <c r="R60" s="433" t="str">
        <f>Regions!S3</f>
        <v>IE-KY</v>
      </c>
      <c r="S60" s="433" t="str">
        <f>Regions!T3</f>
        <v>IE-LK</v>
      </c>
      <c r="T60" s="433" t="str">
        <f>Regions!U3</f>
        <v>IE-TA</v>
      </c>
      <c r="U60" s="433" t="str">
        <f>Regions!V3</f>
        <v>IE-WD</v>
      </c>
      <c r="V60" s="433" t="str">
        <f>Regions!W3</f>
        <v>IE-G</v>
      </c>
      <c r="W60" s="433" t="str">
        <f>Regions!X3</f>
        <v>IE-LM</v>
      </c>
      <c r="X60" s="433" t="str">
        <f>Regions!Y3</f>
        <v>IE-MO</v>
      </c>
      <c r="Y60" s="433" t="str">
        <f>Regions!Z3</f>
        <v>IE-RN</v>
      </c>
      <c r="Z60" s="433" t="str">
        <f>Regions!AA3</f>
        <v>IE-SO</v>
      </c>
      <c r="AA60" s="433" t="str">
        <f>Regions!AB3</f>
        <v>IE-CN</v>
      </c>
      <c r="AB60" s="433" t="str">
        <f>Regions!AC3</f>
        <v>IE-DL</v>
      </c>
      <c r="AC60" s="433" t="str">
        <f>Regions!AD3</f>
        <v>IE-MN</v>
      </c>
    </row>
    <row r="61" spans="1:29" s="201" customFormat="1">
      <c r="A61" s="201" t="s">
        <v>352</v>
      </c>
      <c r="B61" s="201" t="s">
        <v>347</v>
      </c>
      <c r="C61" s="421">
        <f>C389/C$397</f>
        <v>0</v>
      </c>
      <c r="D61" s="421">
        <f t="shared" ref="D61:AC68" si="50">D389/D$397</f>
        <v>0</v>
      </c>
      <c r="E61" s="421">
        <f t="shared" si="50"/>
        <v>0</v>
      </c>
      <c r="F61" s="421">
        <f t="shared" si="50"/>
        <v>0</v>
      </c>
      <c r="G61" s="421">
        <f t="shared" si="50"/>
        <v>0</v>
      </c>
      <c r="H61" s="421">
        <f t="shared" si="50"/>
        <v>0</v>
      </c>
      <c r="I61" s="421">
        <f t="shared" si="50"/>
        <v>0</v>
      </c>
      <c r="J61" s="421">
        <f t="shared" si="50"/>
        <v>0</v>
      </c>
      <c r="K61" s="421">
        <f t="shared" si="50"/>
        <v>0</v>
      </c>
      <c r="L61" s="421">
        <f t="shared" si="50"/>
        <v>0</v>
      </c>
      <c r="M61" s="421">
        <f t="shared" si="50"/>
        <v>0</v>
      </c>
      <c r="N61" s="421">
        <f t="shared" si="50"/>
        <v>0</v>
      </c>
      <c r="O61" s="421">
        <f t="shared" si="50"/>
        <v>0</v>
      </c>
      <c r="P61" s="421">
        <f t="shared" si="50"/>
        <v>0</v>
      </c>
      <c r="Q61" s="421">
        <f t="shared" si="50"/>
        <v>0</v>
      </c>
      <c r="R61" s="421">
        <f t="shared" si="50"/>
        <v>0</v>
      </c>
      <c r="S61" s="421">
        <f t="shared" si="50"/>
        <v>0</v>
      </c>
      <c r="T61" s="421">
        <f t="shared" si="50"/>
        <v>0</v>
      </c>
      <c r="U61" s="421">
        <f t="shared" si="50"/>
        <v>0</v>
      </c>
      <c r="V61" s="421">
        <f t="shared" si="50"/>
        <v>0</v>
      </c>
      <c r="W61" s="421">
        <f t="shared" si="50"/>
        <v>0</v>
      </c>
      <c r="X61" s="421">
        <f t="shared" si="50"/>
        <v>0</v>
      </c>
      <c r="Y61" s="421">
        <f t="shared" si="50"/>
        <v>0</v>
      </c>
      <c r="Z61" s="421">
        <f t="shared" si="50"/>
        <v>0</v>
      </c>
      <c r="AA61" s="421">
        <f t="shared" si="50"/>
        <v>0</v>
      </c>
      <c r="AB61" s="421">
        <f t="shared" si="50"/>
        <v>0</v>
      </c>
      <c r="AC61" s="421">
        <f t="shared" si="50"/>
        <v>0</v>
      </c>
    </row>
    <row r="62" spans="1:29" s="201" customFormat="1">
      <c r="B62" s="201" t="s">
        <v>348</v>
      </c>
      <c r="C62" s="421">
        <f t="shared" ref="C62:R68" si="51">C390/C$397</f>
        <v>0</v>
      </c>
      <c r="D62" s="421">
        <f t="shared" si="51"/>
        <v>0</v>
      </c>
      <c r="E62" s="421">
        <f t="shared" si="51"/>
        <v>0</v>
      </c>
      <c r="F62" s="421">
        <f t="shared" si="51"/>
        <v>0</v>
      </c>
      <c r="G62" s="421">
        <f t="shared" si="51"/>
        <v>0</v>
      </c>
      <c r="H62" s="421">
        <f t="shared" si="51"/>
        <v>0</v>
      </c>
      <c r="I62" s="421">
        <f t="shared" si="51"/>
        <v>0</v>
      </c>
      <c r="J62" s="421">
        <f t="shared" si="51"/>
        <v>0</v>
      </c>
      <c r="K62" s="421">
        <f t="shared" si="51"/>
        <v>0</v>
      </c>
      <c r="L62" s="421">
        <f t="shared" si="51"/>
        <v>0</v>
      </c>
      <c r="M62" s="421">
        <f t="shared" si="51"/>
        <v>0</v>
      </c>
      <c r="N62" s="421">
        <f t="shared" si="51"/>
        <v>0</v>
      </c>
      <c r="O62" s="421">
        <f t="shared" si="51"/>
        <v>0</v>
      </c>
      <c r="P62" s="421">
        <f t="shared" si="51"/>
        <v>0</v>
      </c>
      <c r="Q62" s="421">
        <f t="shared" si="51"/>
        <v>0</v>
      </c>
      <c r="R62" s="421">
        <f t="shared" si="51"/>
        <v>0</v>
      </c>
      <c r="S62" s="421">
        <f t="shared" si="50"/>
        <v>0</v>
      </c>
      <c r="T62" s="421">
        <f t="shared" si="50"/>
        <v>0</v>
      </c>
      <c r="U62" s="421">
        <f t="shared" si="50"/>
        <v>0</v>
      </c>
      <c r="V62" s="421">
        <f t="shared" si="50"/>
        <v>0</v>
      </c>
      <c r="W62" s="421">
        <f t="shared" si="50"/>
        <v>0</v>
      </c>
      <c r="X62" s="421">
        <f t="shared" si="50"/>
        <v>0</v>
      </c>
      <c r="Y62" s="421">
        <f t="shared" si="50"/>
        <v>0</v>
      </c>
      <c r="Z62" s="421">
        <f t="shared" si="50"/>
        <v>0</v>
      </c>
      <c r="AA62" s="421">
        <f t="shared" si="50"/>
        <v>0</v>
      </c>
      <c r="AB62" s="421">
        <f t="shared" si="50"/>
        <v>0</v>
      </c>
      <c r="AC62" s="421">
        <f t="shared" si="50"/>
        <v>0</v>
      </c>
    </row>
    <row r="63" spans="1:29" s="201" customFormat="1">
      <c r="A63" s="201" t="s">
        <v>349</v>
      </c>
      <c r="B63" s="201" t="s">
        <v>355</v>
      </c>
      <c r="C63" s="427">
        <f t="shared" si="51"/>
        <v>0</v>
      </c>
      <c r="D63" s="421">
        <f t="shared" si="50"/>
        <v>0</v>
      </c>
      <c r="E63" s="421">
        <f t="shared" si="50"/>
        <v>0</v>
      </c>
      <c r="F63" s="421">
        <f t="shared" si="50"/>
        <v>0</v>
      </c>
      <c r="G63" s="421">
        <f t="shared" si="50"/>
        <v>0</v>
      </c>
      <c r="H63" s="421">
        <f t="shared" si="50"/>
        <v>0</v>
      </c>
      <c r="I63" s="421">
        <f t="shared" si="50"/>
        <v>0</v>
      </c>
      <c r="J63" s="421">
        <f t="shared" si="50"/>
        <v>0</v>
      </c>
      <c r="K63" s="421">
        <f t="shared" si="50"/>
        <v>0</v>
      </c>
      <c r="L63" s="421">
        <f t="shared" si="50"/>
        <v>0</v>
      </c>
      <c r="M63" s="421">
        <f t="shared" si="50"/>
        <v>0</v>
      </c>
      <c r="N63" s="421">
        <f t="shared" si="50"/>
        <v>0</v>
      </c>
      <c r="O63" s="421">
        <f t="shared" si="50"/>
        <v>0</v>
      </c>
      <c r="P63" s="421">
        <f t="shared" si="50"/>
        <v>0</v>
      </c>
      <c r="Q63" s="421">
        <f t="shared" si="50"/>
        <v>0</v>
      </c>
      <c r="R63" s="421">
        <f t="shared" si="50"/>
        <v>0</v>
      </c>
      <c r="S63" s="421">
        <f t="shared" si="50"/>
        <v>0</v>
      </c>
      <c r="T63" s="421">
        <f t="shared" si="50"/>
        <v>0</v>
      </c>
      <c r="U63" s="421">
        <f t="shared" si="50"/>
        <v>0</v>
      </c>
      <c r="V63" s="421">
        <f t="shared" si="50"/>
        <v>0</v>
      </c>
      <c r="W63" s="421">
        <f t="shared" si="50"/>
        <v>0</v>
      </c>
      <c r="X63" s="421">
        <f t="shared" si="50"/>
        <v>0</v>
      </c>
      <c r="Y63" s="421">
        <f t="shared" si="50"/>
        <v>0</v>
      </c>
      <c r="Z63" s="421">
        <f t="shared" si="50"/>
        <v>0</v>
      </c>
      <c r="AA63" s="421">
        <f t="shared" si="50"/>
        <v>0</v>
      </c>
      <c r="AB63" s="421">
        <f t="shared" si="50"/>
        <v>0</v>
      </c>
      <c r="AC63" s="421">
        <f t="shared" si="50"/>
        <v>0</v>
      </c>
    </row>
    <row r="64" spans="1:29" s="201" customFormat="1">
      <c r="B64" s="201" t="s">
        <v>354</v>
      </c>
      <c r="C64" s="421">
        <f t="shared" si="51"/>
        <v>0.74108639947108168</v>
      </c>
      <c r="D64" s="421">
        <f t="shared" si="50"/>
        <v>0.79071880912169545</v>
      </c>
      <c r="E64" s="421">
        <f t="shared" si="50"/>
        <v>0.6386131571238467</v>
      </c>
      <c r="F64" s="421">
        <f t="shared" si="50"/>
        <v>0.75580744416441215</v>
      </c>
      <c r="G64" s="421">
        <f t="shared" si="50"/>
        <v>0.71320246300225565</v>
      </c>
      <c r="H64" s="421">
        <f t="shared" si="50"/>
        <v>0.78115676031065473</v>
      </c>
      <c r="I64" s="421">
        <f t="shared" si="50"/>
        <v>0.76642349622098382</v>
      </c>
      <c r="J64" s="421">
        <f t="shared" si="50"/>
        <v>0.74828496387185417</v>
      </c>
      <c r="K64" s="421">
        <f t="shared" si="50"/>
        <v>0.78640329755658556</v>
      </c>
      <c r="L64" s="421">
        <f t="shared" si="50"/>
        <v>0.74588309703681677</v>
      </c>
      <c r="M64" s="421">
        <f t="shared" si="50"/>
        <v>0.80172469534468704</v>
      </c>
      <c r="N64" s="421">
        <f t="shared" si="50"/>
        <v>0.79583426304303684</v>
      </c>
      <c r="O64" s="421">
        <f t="shared" si="50"/>
        <v>0.77907090765006382</v>
      </c>
      <c r="P64" s="421">
        <f t="shared" si="50"/>
        <v>0.80155723993574601</v>
      </c>
      <c r="Q64" s="421">
        <f t="shared" si="50"/>
        <v>0.78887154985237196</v>
      </c>
      <c r="R64" s="421">
        <f t="shared" si="50"/>
        <v>0.70533422841274862</v>
      </c>
      <c r="S64" s="421">
        <f t="shared" si="50"/>
        <v>0.78717070970762593</v>
      </c>
      <c r="T64" s="421">
        <f t="shared" si="50"/>
        <v>0.77916775606401434</v>
      </c>
      <c r="U64" s="421">
        <f t="shared" si="50"/>
        <v>0.80467495581567261</v>
      </c>
      <c r="V64" s="421">
        <f t="shared" si="50"/>
        <v>0.74505854970828844</v>
      </c>
      <c r="W64" s="421">
        <f t="shared" si="50"/>
        <v>0.79514890678426453</v>
      </c>
      <c r="X64" s="421">
        <f t="shared" si="50"/>
        <v>0.73736495113760858</v>
      </c>
      <c r="Y64" s="421">
        <f t="shared" si="50"/>
        <v>0.81853938082108479</v>
      </c>
      <c r="Z64" s="421">
        <f t="shared" si="50"/>
        <v>0.77998817627338324</v>
      </c>
      <c r="AA64" s="421">
        <f t="shared" si="50"/>
        <v>0.85154985463859412</v>
      </c>
      <c r="AB64" s="421">
        <f t="shared" si="50"/>
        <v>0.88006272796227247</v>
      </c>
      <c r="AC64" s="421">
        <f t="shared" si="50"/>
        <v>0.64231184378282558</v>
      </c>
    </row>
    <row r="65" spans="1:29" s="201" customFormat="1">
      <c r="A65" s="201" t="s">
        <v>313</v>
      </c>
      <c r="B65" s="201" t="s">
        <v>351</v>
      </c>
      <c r="C65" s="421">
        <f t="shared" si="51"/>
        <v>1.214216695359136E-2</v>
      </c>
      <c r="D65" s="421">
        <f t="shared" si="50"/>
        <v>5.244564356444866E-3</v>
      </c>
      <c r="E65" s="421">
        <f t="shared" si="50"/>
        <v>2.5318479036608464E-2</v>
      </c>
      <c r="F65" s="421">
        <f t="shared" si="50"/>
        <v>1.0199545943263343E-2</v>
      </c>
      <c r="G65" s="421">
        <f t="shared" si="50"/>
        <v>5.4465670112681473E-3</v>
      </c>
      <c r="H65" s="421">
        <f t="shared" si="50"/>
        <v>7.3305854058422536E-3</v>
      </c>
      <c r="I65" s="421">
        <f t="shared" si="50"/>
        <v>6.327365203104513E-3</v>
      </c>
      <c r="J65" s="421">
        <f t="shared" si="50"/>
        <v>1.4553702960433654E-2</v>
      </c>
      <c r="K65" s="421">
        <f t="shared" si="50"/>
        <v>1.4378136289327563E-2</v>
      </c>
      <c r="L65" s="421">
        <f t="shared" si="50"/>
        <v>4.7655125577413509E-3</v>
      </c>
      <c r="M65" s="421">
        <f t="shared" si="50"/>
        <v>8.6002260738130814E-3</v>
      </c>
      <c r="N65" s="421">
        <f t="shared" si="50"/>
        <v>4.4354589246647135E-3</v>
      </c>
      <c r="O65" s="421">
        <f t="shared" si="50"/>
        <v>6.592434448494537E-3</v>
      </c>
      <c r="P65" s="421">
        <f t="shared" si="50"/>
        <v>7.3526877521562662E-3</v>
      </c>
      <c r="Q65" s="421">
        <f t="shared" si="50"/>
        <v>9.0159384819168999E-3</v>
      </c>
      <c r="R65" s="421">
        <f t="shared" si="50"/>
        <v>6.9712334769449829E-3</v>
      </c>
      <c r="S65" s="421">
        <f t="shared" si="50"/>
        <v>9.4394919428535985E-3</v>
      </c>
      <c r="T65" s="421">
        <f t="shared" si="50"/>
        <v>3.6138078846859318E-3</v>
      </c>
      <c r="U65" s="421">
        <f t="shared" si="50"/>
        <v>6.3123502546919919E-3</v>
      </c>
      <c r="V65" s="421">
        <f t="shared" si="50"/>
        <v>9.5979099500525071E-3</v>
      </c>
      <c r="W65" s="421">
        <f t="shared" si="50"/>
        <v>5.8735122381989901E-3</v>
      </c>
      <c r="X65" s="421">
        <f t="shared" si="50"/>
        <v>5.0103707288089395E-3</v>
      </c>
      <c r="Y65" s="421">
        <f t="shared" si="50"/>
        <v>4.3449135578945168E-3</v>
      </c>
      <c r="Z65" s="421">
        <f t="shared" si="50"/>
        <v>6.2553697184935773E-3</v>
      </c>
      <c r="AA65" s="421">
        <f t="shared" si="50"/>
        <v>6.8237115745591239E-3</v>
      </c>
      <c r="AB65" s="421">
        <f t="shared" si="50"/>
        <v>7.9379260453763534E-3</v>
      </c>
      <c r="AC65" s="421">
        <f t="shared" si="50"/>
        <v>2.7483693665086213E-3</v>
      </c>
    </row>
    <row r="66" spans="1:29" s="201" customFormat="1">
      <c r="B66" s="201" t="s">
        <v>573</v>
      </c>
      <c r="C66" s="421">
        <f t="shared" si="51"/>
        <v>0.1626965950818042</v>
      </c>
      <c r="D66" s="421">
        <f t="shared" si="50"/>
        <v>0.13109626623170204</v>
      </c>
      <c r="E66" s="421">
        <f t="shared" si="50"/>
        <v>0.23916819504950479</v>
      </c>
      <c r="F66" s="421">
        <f t="shared" si="50"/>
        <v>0.15479346868381608</v>
      </c>
      <c r="G66" s="421">
        <f t="shared" si="50"/>
        <v>0.20800029152740038</v>
      </c>
      <c r="H66" s="421">
        <f t="shared" si="50"/>
        <v>0.12724978858051844</v>
      </c>
      <c r="I66" s="421">
        <f t="shared" si="50"/>
        <v>0.14827744084788594</v>
      </c>
      <c r="J66" s="421">
        <f t="shared" si="50"/>
        <v>0.14551722418000443</v>
      </c>
      <c r="K66" s="421">
        <f t="shared" si="50"/>
        <v>0.11766218454461841</v>
      </c>
      <c r="L66" s="421">
        <f t="shared" si="50"/>
        <v>0.17371900154534914</v>
      </c>
      <c r="M66" s="421">
        <f t="shared" si="50"/>
        <v>0.11196687123703571</v>
      </c>
      <c r="N66" s="421">
        <f t="shared" si="50"/>
        <v>0.12599020808803368</v>
      </c>
      <c r="O66" s="421">
        <f t="shared" si="50"/>
        <v>0.13241927644257739</v>
      </c>
      <c r="P66" s="421">
        <f t="shared" si="50"/>
        <v>0.11487011188674058</v>
      </c>
      <c r="Q66" s="421">
        <f t="shared" si="50"/>
        <v>0.11670831913312733</v>
      </c>
      <c r="R66" s="421">
        <f t="shared" si="50"/>
        <v>0.2178213998684824</v>
      </c>
      <c r="S66" s="421">
        <f t="shared" si="50"/>
        <v>0.12016236232976817</v>
      </c>
      <c r="T66" s="421">
        <f t="shared" si="50"/>
        <v>0.14679096653005977</v>
      </c>
      <c r="U66" s="421">
        <f t="shared" si="50"/>
        <v>0.10758223700696061</v>
      </c>
      <c r="V66" s="421">
        <f t="shared" si="50"/>
        <v>0.1657308225029282</v>
      </c>
      <c r="W66" s="421">
        <f t="shared" si="50"/>
        <v>0.12234818626194599</v>
      </c>
      <c r="X66" s="421">
        <f t="shared" si="50"/>
        <v>0.18501691930313938</v>
      </c>
      <c r="Y66" s="421">
        <f t="shared" si="50"/>
        <v>0.10860805699514527</v>
      </c>
      <c r="Z66" s="421">
        <f t="shared" si="50"/>
        <v>0.13030246782805119</v>
      </c>
      <c r="AA66" s="421">
        <f t="shared" si="50"/>
        <v>5.0925275195199252E-2</v>
      </c>
      <c r="AB66" s="421">
        <f t="shared" si="50"/>
        <v>9.1008381034736394E-3</v>
      </c>
      <c r="AC66" s="421">
        <f t="shared" si="50"/>
        <v>0.28624951607603277</v>
      </c>
    </row>
    <row r="67" spans="1:29" s="201" customFormat="1">
      <c r="B67" s="201" t="s">
        <v>560</v>
      </c>
      <c r="C67" s="421">
        <f t="shared" si="51"/>
        <v>0</v>
      </c>
      <c r="D67" s="421">
        <f t="shared" si="50"/>
        <v>0</v>
      </c>
      <c r="E67" s="421">
        <f t="shared" si="50"/>
        <v>0</v>
      </c>
      <c r="F67" s="421">
        <f t="shared" si="50"/>
        <v>0</v>
      </c>
      <c r="G67" s="421">
        <f t="shared" si="50"/>
        <v>0</v>
      </c>
      <c r="H67" s="421">
        <f t="shared" si="50"/>
        <v>0</v>
      </c>
      <c r="I67" s="421">
        <f t="shared" si="50"/>
        <v>0</v>
      </c>
      <c r="J67" s="421">
        <f t="shared" si="50"/>
        <v>0</v>
      </c>
      <c r="K67" s="421">
        <f t="shared" si="50"/>
        <v>0</v>
      </c>
      <c r="L67" s="421">
        <f t="shared" si="50"/>
        <v>0</v>
      </c>
      <c r="M67" s="421">
        <f t="shared" si="50"/>
        <v>0</v>
      </c>
      <c r="N67" s="421">
        <f t="shared" si="50"/>
        <v>0</v>
      </c>
      <c r="O67" s="421">
        <f t="shared" si="50"/>
        <v>0</v>
      </c>
      <c r="P67" s="421">
        <f t="shared" si="50"/>
        <v>0</v>
      </c>
      <c r="Q67" s="421">
        <f t="shared" si="50"/>
        <v>0</v>
      </c>
      <c r="R67" s="421">
        <f t="shared" si="50"/>
        <v>0</v>
      </c>
      <c r="S67" s="421">
        <f t="shared" si="50"/>
        <v>0</v>
      </c>
      <c r="T67" s="421">
        <f t="shared" si="50"/>
        <v>0</v>
      </c>
      <c r="U67" s="421">
        <f t="shared" si="50"/>
        <v>0</v>
      </c>
      <c r="V67" s="421">
        <f t="shared" si="50"/>
        <v>0</v>
      </c>
      <c r="W67" s="421">
        <f t="shared" si="50"/>
        <v>0</v>
      </c>
      <c r="X67" s="421">
        <f t="shared" si="50"/>
        <v>0</v>
      </c>
      <c r="Y67" s="421">
        <f t="shared" si="50"/>
        <v>0</v>
      </c>
      <c r="Z67" s="421">
        <f t="shared" si="50"/>
        <v>0</v>
      </c>
      <c r="AA67" s="421">
        <f t="shared" si="50"/>
        <v>0</v>
      </c>
      <c r="AB67" s="421">
        <f t="shared" si="50"/>
        <v>0</v>
      </c>
      <c r="AC67" s="421">
        <f t="shared" si="50"/>
        <v>0</v>
      </c>
    </row>
    <row r="68" spans="1:29" s="201" customFormat="1">
      <c r="B68" s="201" t="s">
        <v>353</v>
      </c>
      <c r="C68" s="421">
        <f t="shared" si="51"/>
        <v>8.4074838493522847E-2</v>
      </c>
      <c r="D68" s="421">
        <f t="shared" si="50"/>
        <v>7.2940360290157685E-2</v>
      </c>
      <c r="E68" s="421">
        <f t="shared" si="50"/>
        <v>9.6900168790040125E-2</v>
      </c>
      <c r="F68" s="421">
        <f t="shared" si="50"/>
        <v>7.91995412085085E-2</v>
      </c>
      <c r="G68" s="421">
        <f t="shared" si="50"/>
        <v>7.3350678459075919E-2</v>
      </c>
      <c r="H68" s="421">
        <f t="shared" si="50"/>
        <v>8.426286570298451E-2</v>
      </c>
      <c r="I68" s="421">
        <f t="shared" si="50"/>
        <v>7.8971697728025606E-2</v>
      </c>
      <c r="J68" s="421">
        <f t="shared" si="50"/>
        <v>9.1644108987707917E-2</v>
      </c>
      <c r="K68" s="421">
        <f t="shared" si="50"/>
        <v>8.1556381609468237E-2</v>
      </c>
      <c r="L68" s="421">
        <f t="shared" si="50"/>
        <v>7.5632388860092645E-2</v>
      </c>
      <c r="M68" s="421">
        <f t="shared" si="50"/>
        <v>7.7708207344464181E-2</v>
      </c>
      <c r="N68" s="421">
        <f t="shared" si="50"/>
        <v>7.3740069944264783E-2</v>
      </c>
      <c r="O68" s="421">
        <f t="shared" si="50"/>
        <v>8.1917381458864319E-2</v>
      </c>
      <c r="P68" s="421">
        <f t="shared" si="50"/>
        <v>7.6219960425357156E-2</v>
      </c>
      <c r="Q68" s="421">
        <f t="shared" si="50"/>
        <v>8.5404192532583911E-2</v>
      </c>
      <c r="R68" s="421">
        <f t="shared" si="50"/>
        <v>6.987313824182402E-2</v>
      </c>
      <c r="S68" s="421">
        <f t="shared" si="50"/>
        <v>8.3227436019752521E-2</v>
      </c>
      <c r="T68" s="421">
        <f t="shared" si="50"/>
        <v>7.0427469521239974E-2</v>
      </c>
      <c r="U68" s="421">
        <f t="shared" si="50"/>
        <v>8.1430456922674907E-2</v>
      </c>
      <c r="V68" s="421">
        <f t="shared" si="50"/>
        <v>7.9612717838730945E-2</v>
      </c>
      <c r="W68" s="421">
        <f t="shared" si="50"/>
        <v>7.6629394715590618E-2</v>
      </c>
      <c r="X68" s="421">
        <f t="shared" si="50"/>
        <v>7.2607758830443E-2</v>
      </c>
      <c r="Y68" s="421">
        <f t="shared" si="50"/>
        <v>6.8507648625875522E-2</v>
      </c>
      <c r="Z68" s="421">
        <f t="shared" si="50"/>
        <v>8.3453986180072076E-2</v>
      </c>
      <c r="AA68" s="421">
        <f t="shared" si="50"/>
        <v>9.070115859164736E-2</v>
      </c>
      <c r="AB68" s="421">
        <f t="shared" si="50"/>
        <v>0.10289850788887757</v>
      </c>
      <c r="AC68" s="421">
        <f t="shared" si="50"/>
        <v>6.8690270774633036E-2</v>
      </c>
    </row>
    <row r="69" spans="1:29" s="201" customFormat="1">
      <c r="A69" s="200"/>
      <c r="B69" s="388"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29"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s="201" customFormat="1">
      <c r="A71" s="2"/>
      <c r="B71" s="2"/>
      <c r="C71" s="418"/>
      <c r="D71" s="144"/>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row>
    <row r="72" spans="1:29" s="201" customFormat="1">
      <c r="C72" s="10"/>
      <c r="D72" s="10"/>
      <c r="E72" s="10"/>
      <c r="F72" s="10"/>
      <c r="G72" s="10"/>
      <c r="H72" s="10"/>
      <c r="I72" s="10"/>
      <c r="J72" s="10"/>
      <c r="K72" s="10"/>
      <c r="L72" s="10"/>
      <c r="M72" s="10"/>
      <c r="T72" s="10"/>
      <c r="U72" s="10"/>
      <c r="V72" s="10"/>
      <c r="W72" s="10"/>
      <c r="X72" s="10"/>
      <c r="Y72" s="10"/>
      <c r="Z72" s="10"/>
      <c r="AA72" s="10"/>
      <c r="AB72" s="10"/>
      <c r="AC72" s="10"/>
    </row>
    <row r="73" spans="1:29" s="201" customFormat="1">
      <c r="A73" s="331" t="s">
        <v>761</v>
      </c>
      <c r="B73" s="856" t="s">
        <v>762</v>
      </c>
      <c r="C73" s="856"/>
      <c r="D73" s="213"/>
      <c r="E73" s="10"/>
      <c r="F73" s="10"/>
      <c r="G73" s="10"/>
      <c r="H73" s="10"/>
      <c r="I73" s="10"/>
      <c r="J73" s="259"/>
      <c r="K73" s="10"/>
      <c r="L73" s="10"/>
      <c r="M73" s="10"/>
      <c r="T73" s="10"/>
      <c r="U73" s="10"/>
      <c r="V73" s="10"/>
      <c r="W73" s="10"/>
      <c r="X73" s="10"/>
      <c r="Y73" s="10"/>
      <c r="Z73" s="10"/>
      <c r="AA73" s="10"/>
      <c r="AB73" s="10"/>
    </row>
    <row r="74" spans="1:29" s="201" customFormat="1">
      <c r="A74" s="324"/>
      <c r="B74" s="336" t="s">
        <v>750</v>
      </c>
      <c r="C74" s="336" t="s">
        <v>544</v>
      </c>
      <c r="D74" s="325" t="s">
        <v>210</v>
      </c>
      <c r="E74" s="10"/>
      <c r="F74" s="10"/>
      <c r="G74" s="10"/>
      <c r="H74" s="10"/>
      <c r="I74" s="10"/>
      <c r="J74" s="10"/>
      <c r="K74" s="10"/>
      <c r="T74" s="10"/>
      <c r="U74" s="10"/>
      <c r="V74" s="10"/>
      <c r="W74" s="10"/>
      <c r="X74" s="10"/>
      <c r="Y74" s="10"/>
      <c r="Z74" s="10"/>
      <c r="AA74" s="10"/>
      <c r="AB74" s="10"/>
    </row>
    <row r="75" spans="1:29" s="201" customFormat="1">
      <c r="A75" s="327" t="str">
        <f>Processes!D11</f>
        <v>T-CAR-ICE_GSL00</v>
      </c>
      <c r="B75" s="342">
        <f>Stock!G8*AF!D7/Efficiency!E8/0.041868/2</f>
        <v>357.72587236873608</v>
      </c>
      <c r="C75" s="867">
        <f>'EB2018'!AQ48</f>
        <v>2065.1892545455989</v>
      </c>
      <c r="D75" s="861">
        <f>(B84-C75)/C75</f>
        <v>-0.19419458115005955</v>
      </c>
      <c r="E75" s="10"/>
      <c r="F75" s="10"/>
      <c r="G75" s="10"/>
      <c r="H75" s="10"/>
      <c r="I75" s="10"/>
      <c r="J75" s="10"/>
      <c r="K75" s="10"/>
      <c r="T75" s="10"/>
      <c r="U75" s="10"/>
      <c r="V75" s="10"/>
      <c r="W75" s="10"/>
      <c r="X75" s="10"/>
      <c r="Y75" s="10"/>
      <c r="Z75" s="10"/>
      <c r="AA75" s="10"/>
      <c r="AB75" s="10"/>
    </row>
    <row r="76" spans="1:29" s="201" customFormat="1">
      <c r="A76" s="332" t="str">
        <f>Processes!D12</f>
        <v>T-CAR-ICE_DST00</v>
      </c>
      <c r="B76" s="343">
        <f>Stock!G9*AF!D8/Efficiency!E9/0.041868</f>
        <v>1277.6817654050137</v>
      </c>
      <c r="C76" s="867"/>
      <c r="D76" s="862"/>
      <c r="E76" s="10"/>
      <c r="F76" s="10"/>
      <c r="G76" s="10"/>
      <c r="H76" s="10"/>
      <c r="I76" s="10"/>
      <c r="J76" s="10"/>
      <c r="K76" s="10"/>
      <c r="T76" s="10"/>
      <c r="U76" s="10"/>
      <c r="V76" s="10"/>
      <c r="W76" s="10"/>
      <c r="X76" s="10"/>
      <c r="Y76" s="10"/>
      <c r="Z76" s="10"/>
      <c r="AA76" s="10"/>
      <c r="AB76" s="10"/>
    </row>
    <row r="77" spans="1:29" s="201" customFormat="1">
      <c r="A77" s="332" t="str">
        <f>Processes!D13</f>
        <v>T-CAR-ICE_DF00</v>
      </c>
      <c r="B77" s="343">
        <f>Stock!G10*AF!D9/Efficiency!E10/0.041868</f>
        <v>6.2102813626156654E-2</v>
      </c>
      <c r="C77" s="867"/>
      <c r="D77" s="862"/>
      <c r="E77" s="10"/>
      <c r="F77" s="10"/>
      <c r="G77" s="10"/>
      <c r="H77" s="10"/>
      <c r="I77" s="10"/>
      <c r="J77" s="10"/>
      <c r="K77" s="10"/>
      <c r="T77" s="10"/>
      <c r="U77" s="10"/>
      <c r="V77" s="10"/>
      <c r="W77" s="10"/>
      <c r="X77" s="10"/>
      <c r="Y77" s="10"/>
      <c r="Z77" s="10"/>
      <c r="AA77" s="10"/>
      <c r="AB77" s="10"/>
    </row>
    <row r="78" spans="1:29" s="201" customFormat="1">
      <c r="A78" s="332" t="str">
        <f>Processes!D14</f>
        <v>T-CAR-ICE_E8500</v>
      </c>
      <c r="B78" s="343">
        <f>Stock!G11*AF!D10/Efficiency!E11/0.041868</f>
        <v>6.5998055493933458</v>
      </c>
      <c r="C78" s="867"/>
      <c r="D78" s="862"/>
      <c r="E78" s="10"/>
      <c r="F78" s="10"/>
      <c r="G78" s="10"/>
      <c r="H78" s="10"/>
      <c r="I78" s="10"/>
      <c r="J78" s="10"/>
      <c r="K78" s="10"/>
      <c r="T78" s="10"/>
      <c r="U78" s="10"/>
      <c r="V78" s="10"/>
      <c r="W78" s="10"/>
      <c r="X78" s="10"/>
      <c r="Y78" s="10"/>
      <c r="Z78" s="10"/>
      <c r="AA78" s="10"/>
      <c r="AB78" s="10"/>
    </row>
    <row r="79" spans="1:29" s="201" customFormat="1">
      <c r="A79" s="332" t="str">
        <f>Processes!D15</f>
        <v>T-CAR-HEV_GSL00</v>
      </c>
      <c r="B79" s="343">
        <f>Stock!G12*AF!D11/Efficiency!E12/0.041868</f>
        <v>18.720592814009517</v>
      </c>
      <c r="C79" s="867"/>
      <c r="D79" s="862"/>
      <c r="E79" s="10"/>
      <c r="F79" s="10"/>
      <c r="G79" s="10"/>
      <c r="H79" s="10"/>
      <c r="I79" s="10"/>
      <c r="J79" s="10"/>
      <c r="K79" s="10"/>
      <c r="T79" s="140"/>
      <c r="U79" s="140"/>
      <c r="V79" s="140"/>
      <c r="W79" s="140"/>
      <c r="X79" s="140"/>
      <c r="Y79" s="140"/>
      <c r="Z79" s="140"/>
      <c r="AA79" s="140"/>
      <c r="AB79" s="140"/>
    </row>
    <row r="80" spans="1:29" s="201" customFormat="1">
      <c r="A80" s="332" t="str">
        <f>Processes!D16</f>
        <v>T-CAR-HEV_DST00</v>
      </c>
      <c r="B80" s="343">
        <f>Stock!G13*AF!D12/Efficiency!E13/0.041868</f>
        <v>0.77280168412880923</v>
      </c>
      <c r="C80" s="867"/>
      <c r="D80" s="862"/>
      <c r="E80" s="10"/>
      <c r="F80" s="10"/>
      <c r="G80" s="10"/>
      <c r="H80" s="10"/>
      <c r="I80" s="10"/>
      <c r="J80" s="10"/>
      <c r="K80" s="10"/>
    </row>
    <row r="81" spans="1:17" s="201" customFormat="1">
      <c r="A81" s="332" t="str">
        <f>Processes!D17</f>
        <v>T-CAR-PHEV_GSL00</v>
      </c>
      <c r="B81" s="343">
        <f>Stock!G14*AF!D13/Efficiency!E14/0.041868</f>
        <v>1.3184587114421897</v>
      </c>
      <c r="C81" s="867"/>
      <c r="D81" s="862"/>
      <c r="E81" s="10"/>
      <c r="F81" s="10"/>
      <c r="G81" s="10"/>
      <c r="H81" s="10"/>
      <c r="I81" s="10"/>
      <c r="J81" s="10"/>
      <c r="K81" s="10"/>
    </row>
    <row r="82" spans="1:17" s="201" customFormat="1">
      <c r="A82" s="332" t="str">
        <f>Processes!D18</f>
        <v>T-CAR-PHEV_DST00</v>
      </c>
      <c r="B82" s="343">
        <f>Stock!G15*AF!D14/Efficiency!E15/0.041868</f>
        <v>1.9463942395372347E-2</v>
      </c>
      <c r="C82" s="867"/>
      <c r="D82" s="862"/>
      <c r="E82" s="10"/>
      <c r="F82" s="10"/>
      <c r="G82" s="10"/>
      <c r="H82" s="10"/>
      <c r="I82" s="10"/>
      <c r="J82" s="10"/>
      <c r="K82" s="10"/>
    </row>
    <row r="83" spans="1:17" s="201" customFormat="1">
      <c r="A83" s="332" t="str">
        <f>Processes!D19</f>
        <v>T-CAR-BEV_ELC00</v>
      </c>
      <c r="B83" s="343">
        <f>Stock!G16*AF!D15/Efficiency!E16/0.041868</f>
        <v>1.2398289747677393</v>
      </c>
      <c r="C83" s="867"/>
      <c r="D83" s="862"/>
      <c r="E83" s="10"/>
      <c r="F83" s="10"/>
      <c r="G83" s="10"/>
      <c r="H83" s="10"/>
      <c r="I83" s="10"/>
      <c r="J83" s="10"/>
      <c r="K83" s="10"/>
    </row>
    <row r="84" spans="1:17" s="201" customFormat="1" ht="15.6">
      <c r="A84" s="328" t="s">
        <v>749</v>
      </c>
      <c r="B84" s="341">
        <f>SUM(B75:B83)</f>
        <v>1664.1406922635126</v>
      </c>
      <c r="C84" s="867"/>
      <c r="D84" s="863"/>
      <c r="E84" s="10"/>
      <c r="F84" s="10"/>
      <c r="G84" s="10"/>
      <c r="H84" s="10"/>
      <c r="I84" s="10"/>
      <c r="J84" s="10"/>
      <c r="K84" s="10"/>
    </row>
    <row r="85" spans="1:17" s="201" customFormat="1">
      <c r="A85" s="201" t="s">
        <v>763</v>
      </c>
      <c r="F85" s="10"/>
      <c r="G85" s="10"/>
      <c r="H85" s="10"/>
      <c r="I85" s="10"/>
      <c r="J85" s="10"/>
      <c r="K85" s="10"/>
    </row>
    <row r="86" spans="1:17" s="201" customFormat="1">
      <c r="F86" s="10"/>
      <c r="G86" s="10"/>
      <c r="H86" s="10"/>
      <c r="I86" s="10"/>
      <c r="J86" s="10"/>
      <c r="K86" s="10"/>
    </row>
    <row r="87" spans="1:17" s="201" customFormat="1">
      <c r="F87" s="10"/>
      <c r="G87" s="10"/>
      <c r="H87" s="10"/>
      <c r="I87" s="10"/>
      <c r="J87" s="10"/>
      <c r="K87" s="10"/>
    </row>
    <row r="88" spans="1:17" s="201" customFormat="1">
      <c r="F88" s="10"/>
      <c r="G88" s="10"/>
      <c r="H88" s="10"/>
      <c r="I88" s="10"/>
      <c r="J88" s="10"/>
      <c r="K88" s="10"/>
    </row>
    <row r="89" spans="1:17" s="201" customFormat="1">
      <c r="A89" s="331" t="s">
        <v>764</v>
      </c>
      <c r="B89" s="856" t="s">
        <v>762</v>
      </c>
      <c r="C89" s="856"/>
      <c r="D89" s="213"/>
      <c r="F89" s="10"/>
      <c r="G89" s="10"/>
      <c r="H89" s="10"/>
      <c r="I89" s="10"/>
      <c r="J89" s="10"/>
      <c r="K89" s="10"/>
    </row>
    <row r="90" spans="1:17" s="201" customFormat="1">
      <c r="A90" s="324"/>
      <c r="B90" s="337" t="s">
        <v>750</v>
      </c>
      <c r="C90" s="336" t="s">
        <v>544</v>
      </c>
      <c r="D90" s="336" t="s">
        <v>210</v>
      </c>
      <c r="F90" s="10"/>
      <c r="G90" s="10"/>
      <c r="H90" s="10"/>
      <c r="I90" s="10"/>
      <c r="J90" s="10"/>
      <c r="K90" s="10"/>
    </row>
    <row r="91" spans="1:17" s="201" customFormat="1">
      <c r="A91" s="327" t="str">
        <f>Processes!D32</f>
        <v>T-LGT-ICE_GSL00</v>
      </c>
      <c r="B91" s="344">
        <f>(Stock!G28*AF!D23/1000)/Efficiency!E24/0.041868</f>
        <v>1.5179759916566669E-3</v>
      </c>
      <c r="C91" s="857">
        <f>'EB2018'!AQ46+'EB2018'!AQ47</f>
        <v>1065.6692235430016</v>
      </c>
      <c r="D91" s="861">
        <f>(B94-C91)/C91</f>
        <v>-0.9998466397994652</v>
      </c>
      <c r="F91" s="10"/>
      <c r="G91" s="10"/>
      <c r="H91" s="10"/>
      <c r="I91" s="10"/>
      <c r="J91" s="10"/>
      <c r="K91" s="10"/>
    </row>
    <row r="92" spans="1:17" s="201" customFormat="1">
      <c r="A92" s="326" t="str">
        <f>Processes!D35</f>
        <v>T-HGT-ICE_DST00</v>
      </c>
      <c r="B92" s="345">
        <f>(Stock!G31*AF!D26/1000)/Efficiency!E27/0.041868</f>
        <v>0.15911937712801305</v>
      </c>
      <c r="C92" s="858"/>
      <c r="D92" s="862"/>
      <c r="F92" s="10"/>
      <c r="G92" s="10"/>
      <c r="H92" s="10"/>
      <c r="I92" s="10"/>
      <c r="J92" s="10"/>
      <c r="K92" s="10"/>
    </row>
    <row r="93" spans="1:17" s="201" customFormat="1">
      <c r="A93" s="326" t="str">
        <f>Processes!D36</f>
        <v>T-GTR-ICE_DST00</v>
      </c>
      <c r="B93" s="345">
        <f>(Stock!G32*AF!D27/1000)/Efficiency!E28/0.041868</f>
        <v>2.7938927066507233E-3</v>
      </c>
      <c r="C93" s="858"/>
      <c r="D93" s="862"/>
      <c r="F93" s="10"/>
      <c r="G93" s="10"/>
      <c r="H93" s="10"/>
      <c r="I93" s="10"/>
      <c r="J93" s="10"/>
      <c r="K93" s="10"/>
    </row>
    <row r="94" spans="1:17" s="201" customFormat="1" ht="15.6">
      <c r="A94" s="328" t="s">
        <v>765</v>
      </c>
      <c r="B94" s="341">
        <f>SUM(B91:B93)</f>
        <v>0.16343124582632046</v>
      </c>
      <c r="C94" s="859"/>
      <c r="D94" s="863"/>
      <c r="G94" s="10"/>
      <c r="H94" s="10"/>
      <c r="I94" s="10"/>
      <c r="J94" s="10"/>
      <c r="K94" s="10"/>
      <c r="L94" s="10"/>
    </row>
    <row r="95" spans="1:17" s="201" customFormat="1">
      <c r="A95" s="201" t="s">
        <v>766</v>
      </c>
      <c r="G95" s="10"/>
      <c r="H95" s="10"/>
      <c r="I95" s="10"/>
      <c r="J95" s="10"/>
      <c r="K95" s="10"/>
      <c r="L95" s="10"/>
      <c r="O95" s="203"/>
      <c r="Q95" s="118"/>
    </row>
    <row r="96" spans="1:17" s="201" customFormat="1">
      <c r="O96" s="203"/>
      <c r="Q96" s="118"/>
    </row>
    <row r="97" spans="1:17" s="201" customFormat="1">
      <c r="Q97" s="118"/>
    </row>
    <row r="98" spans="1:17" s="201" customFormat="1">
      <c r="Q98" s="118"/>
    </row>
    <row r="99" spans="1:17" s="201" customFormat="1">
      <c r="A99" s="331" t="s">
        <v>773</v>
      </c>
      <c r="B99" s="856" t="s">
        <v>762</v>
      </c>
      <c r="C99" s="856"/>
      <c r="D99" s="213"/>
      <c r="Q99" s="118"/>
    </row>
    <row r="100" spans="1:17" s="201" customFormat="1">
      <c r="A100" s="324"/>
      <c r="B100" s="336" t="s">
        <v>750</v>
      </c>
      <c r="C100" s="336" t="s">
        <v>544</v>
      </c>
      <c r="D100" s="336" t="s">
        <v>210</v>
      </c>
      <c r="Q100" s="118"/>
    </row>
    <row r="101" spans="1:17" s="201" customFormat="1">
      <c r="A101" s="333" t="str">
        <f>Processes!D21</f>
        <v>T-TAX-ICE_GSL00</v>
      </c>
      <c r="B101" s="347">
        <f>(Stock!G18*AF!D16)/Efficiency!E17/0.041868</f>
        <v>5.5926270242130149</v>
      </c>
      <c r="C101" s="857">
        <f>'EB2018'!AQ49</f>
        <v>137.42368455991922</v>
      </c>
      <c r="D101" s="861">
        <f>(B105-C101)/C101</f>
        <v>3.1739889328294801E-2</v>
      </c>
      <c r="Q101" s="118"/>
    </row>
    <row r="102" spans="1:17" s="201" customFormat="1">
      <c r="A102" s="335" t="str">
        <f>Processes!D22</f>
        <v>T-TAX-ICE_DST00</v>
      </c>
      <c r="B102" s="347">
        <f>(Stock!G19*AF!D17)/Efficiency!E18/0.041868</f>
        <v>39.815351909987868</v>
      </c>
      <c r="C102" s="858"/>
      <c r="D102" s="862"/>
      <c r="Q102" s="118"/>
    </row>
    <row r="103" spans="1:17" s="201" customFormat="1">
      <c r="A103" s="335" t="str">
        <f>Processes!D23</f>
        <v>T-TAX-HEV_GSL00</v>
      </c>
      <c r="B103" s="347">
        <f>(Stock!G20*AF!D18)/Efficiency!E19/0.041868</f>
        <v>2.6942012356171219</v>
      </c>
      <c r="C103" s="858"/>
      <c r="D103" s="862"/>
      <c r="Q103" s="118"/>
    </row>
    <row r="104" spans="1:17" s="201" customFormat="1">
      <c r="A104" s="335" t="str">
        <f>Processes!D25</f>
        <v>T-BUS-ICE_DST00</v>
      </c>
      <c r="B104" s="347">
        <f>(Stock!G22*AF!D19)/Efficiency!E20/0.041868</f>
        <v>93.683316929119542</v>
      </c>
      <c r="C104" s="858"/>
      <c r="D104" s="862"/>
      <c r="Q104" s="118"/>
    </row>
    <row r="105" spans="1:17" s="201" customFormat="1" ht="15.6">
      <c r="A105" s="334" t="s">
        <v>826</v>
      </c>
      <c r="B105" s="346">
        <f>SUM(B101:B104)</f>
        <v>141.78549709893755</v>
      </c>
      <c r="C105" s="859"/>
      <c r="D105" s="863"/>
      <c r="Q105" s="118"/>
    </row>
    <row r="106" spans="1:17" s="201" customFormat="1">
      <c r="A106" s="201" t="s">
        <v>827</v>
      </c>
      <c r="Q106" s="118"/>
    </row>
    <row r="107" spans="1:17" s="201" customFormat="1">
      <c r="Q107" s="118"/>
    </row>
    <row r="108" spans="1:17" s="201" customFormat="1">
      <c r="Q108" s="118"/>
    </row>
    <row r="109" spans="1:17" s="201" customFormat="1"/>
    <row r="110" spans="1:17" s="201" customFormat="1">
      <c r="A110" s="331" t="s">
        <v>775</v>
      </c>
      <c r="B110" s="856" t="s">
        <v>762</v>
      </c>
      <c r="C110" s="856"/>
      <c r="D110" s="213"/>
    </row>
    <row r="111" spans="1:17" s="201" customFormat="1">
      <c r="A111" s="324"/>
      <c r="B111" s="336" t="s">
        <v>750</v>
      </c>
      <c r="C111" s="336" t="s">
        <v>544</v>
      </c>
      <c r="D111" s="336" t="s">
        <v>210</v>
      </c>
    </row>
    <row r="112" spans="1:17" s="201" customFormat="1">
      <c r="A112" s="333" t="str">
        <f>Processes!D27</f>
        <v>T-LPT-BEV_ELC00</v>
      </c>
      <c r="B112" s="347">
        <f>C134/Efficiency!E21/0.041868</f>
        <v>2.4094862952239589</v>
      </c>
      <c r="C112" s="857">
        <f>'EB2018'!AQ50</f>
        <v>42.35131266393914</v>
      </c>
      <c r="D112" s="861" t="e">
        <f>(B116-C112)/C112</f>
        <v>#REF!</v>
      </c>
    </row>
    <row r="113" spans="1:88" s="201" customFormat="1">
      <c r="A113" s="335" t="str">
        <f>Processes!D28</f>
        <v>T-HPT-BEV_ELC00</v>
      </c>
      <c r="B113" s="347">
        <f>B112</f>
        <v>2.4094862952239589</v>
      </c>
      <c r="C113" s="858"/>
      <c r="D113" s="862"/>
    </row>
    <row r="114" spans="1:88" s="201" customFormat="1">
      <c r="A114" s="335" t="str">
        <f>Processes!D29</f>
        <v>T-HPT-ICE_DST00</v>
      </c>
      <c r="B114" s="347" t="e">
        <f>#REF!/ACT2FLO!E68/Efficiency!E23/0.041868</f>
        <v>#REF!</v>
      </c>
      <c r="C114" s="858"/>
      <c r="D114" s="862"/>
    </row>
    <row r="115" spans="1:88" s="201" customFormat="1">
      <c r="A115" s="335" t="str">
        <f>Processes!D36</f>
        <v>T-GTR-ICE_DST00</v>
      </c>
      <c r="B115" s="347" t="e">
        <f>#REF!/ACT2FLO!E74/Efficiency!E28/0.041868</f>
        <v>#REF!</v>
      </c>
      <c r="C115" s="858"/>
      <c r="D115" s="862"/>
    </row>
    <row r="116" spans="1:88" s="201" customFormat="1" ht="15.6">
      <c r="A116" s="334" t="s">
        <v>765</v>
      </c>
      <c r="B116" s="346" t="e">
        <f>SUM(B112:B115)</f>
        <v>#REF!</v>
      </c>
      <c r="C116" s="859"/>
      <c r="D116" s="863"/>
    </row>
    <row r="117" spans="1:88" s="201" customFormat="1"/>
    <row r="118" spans="1:88">
      <c r="A118" s="201"/>
      <c r="B118" s="201"/>
      <c r="C118" s="201"/>
      <c r="D118" s="201"/>
      <c r="E118" s="201"/>
      <c r="F118" s="201"/>
      <c r="G118" s="201"/>
      <c r="H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row>
    <row r="119" spans="1:88">
      <c r="A119" s="201"/>
      <c r="B119" s="201"/>
      <c r="C119" s="201"/>
      <c r="D119" s="201"/>
      <c r="E119" s="201"/>
      <c r="F119" s="201"/>
      <c r="G119" s="201"/>
      <c r="H119" s="201"/>
      <c r="AC119" s="8"/>
      <c r="AD119" s="201"/>
      <c r="AE119" s="201"/>
      <c r="AF119" s="201"/>
      <c r="AG119" s="201"/>
      <c r="AH119" s="201"/>
      <c r="AI119" s="201"/>
      <c r="AJ119" s="201"/>
      <c r="AK119" s="201"/>
      <c r="AL119" s="201"/>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row>
    <row r="120" spans="1:88" s="201" customFormat="1">
      <c r="AC120" s="8"/>
    </row>
    <row r="121" spans="1:88" s="261" customFormat="1" ht="18">
      <c r="A121" s="263" t="s">
        <v>21</v>
      </c>
      <c r="AC121" s="262"/>
    </row>
    <row r="122" spans="1:88" s="201" customFormat="1">
      <c r="AC122" s="8"/>
    </row>
    <row r="123" spans="1:88" s="133" customFormat="1">
      <c r="P123"/>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row>
    <row r="124" spans="1:88" s="133" customFormat="1" ht="15.6">
      <c r="A124" s="167" t="s">
        <v>448</v>
      </c>
      <c r="B124" s="12"/>
      <c r="C124" s="12"/>
      <c r="AD124" s="201"/>
      <c r="AE124" s="201"/>
      <c r="AF124" s="201"/>
      <c r="AG124" s="201"/>
      <c r="AH124" s="201"/>
      <c r="AI124" s="201"/>
      <c r="AJ124" s="201"/>
      <c r="AK124" s="201"/>
      <c r="AL124" s="201"/>
      <c r="AM124" s="201"/>
      <c r="AN124" s="201"/>
      <c r="AO124" s="201"/>
      <c r="AP124" s="201"/>
      <c r="AQ124" s="201"/>
      <c r="AR124" s="201"/>
      <c r="AS124" s="201"/>
      <c r="AT124" s="201"/>
      <c r="AU124" s="201"/>
      <c r="AV124" s="201"/>
      <c r="AW124" s="201"/>
      <c r="AX124" s="201"/>
      <c r="AY124" s="201"/>
      <c r="AZ124" s="201"/>
      <c r="BA124" s="201"/>
      <c r="BB124" s="201"/>
      <c r="BC124" s="201"/>
      <c r="BD124" s="201"/>
      <c r="BE124" s="201"/>
      <c r="BF124" s="201"/>
      <c r="BG124" s="201"/>
      <c r="BH124" s="201"/>
      <c r="BI124" s="201"/>
      <c r="BJ124" s="201"/>
      <c r="BK124" s="201"/>
      <c r="BL124" s="201"/>
      <c r="BM124" s="201"/>
      <c r="BN124" s="201"/>
      <c r="BO124" s="201"/>
      <c r="BP124" s="201"/>
      <c r="BQ124" s="201"/>
      <c r="BR124" s="201"/>
      <c r="BS124" s="201"/>
      <c r="BT124" s="201"/>
      <c r="BU124" s="201"/>
      <c r="BV124" s="201"/>
      <c r="BW124" s="201"/>
      <c r="BX124" s="201"/>
      <c r="BY124" s="201"/>
      <c r="BZ124" s="201"/>
      <c r="CA124" s="201"/>
      <c r="CB124" s="201"/>
      <c r="CC124" s="201"/>
      <c r="CD124" s="201"/>
      <c r="CE124" s="201"/>
      <c r="CF124" s="201"/>
      <c r="CG124" s="201"/>
      <c r="CH124" s="201"/>
      <c r="CI124" s="201"/>
      <c r="CJ124" s="201"/>
    </row>
    <row r="125" spans="1:88" s="39" customFormat="1">
      <c r="A125" s="114" t="s">
        <v>55</v>
      </c>
      <c r="B125" s="114" t="s">
        <v>56</v>
      </c>
      <c r="C125" s="113" t="str">
        <f>Regions!C3</f>
        <v>IE</v>
      </c>
      <c r="D125" s="113" t="str">
        <f>Regions!E3</f>
        <v>IE-CW</v>
      </c>
      <c r="E125" s="113" t="str">
        <f>Regions!F3</f>
        <v>IE-D</v>
      </c>
      <c r="F125" s="113" t="str">
        <f>Regions!G3</f>
        <v>IE-KE</v>
      </c>
      <c r="G125" s="113" t="str">
        <f>Regions!H3</f>
        <v>IE-KK</v>
      </c>
      <c r="H125" s="113" t="str">
        <f>Regions!I3</f>
        <v>IE-LS</v>
      </c>
      <c r="I125" s="113" t="str">
        <f>Regions!J3</f>
        <v>IE-LD</v>
      </c>
      <c r="J125" s="113" t="str">
        <f>Regions!K3</f>
        <v>IE-LH</v>
      </c>
      <c r="K125" s="113" t="str">
        <f>Regions!L3</f>
        <v>IE-MH</v>
      </c>
      <c r="L125" s="113" t="str">
        <f>Regions!M3</f>
        <v>IE-OY</v>
      </c>
      <c r="M125" s="113" t="str">
        <f>Regions!N3</f>
        <v>IE-WH</v>
      </c>
      <c r="N125" s="113" t="str">
        <f>Regions!O3</f>
        <v>IE-WX</v>
      </c>
      <c r="O125" s="113" t="str">
        <f>Regions!P3</f>
        <v>IE-WW</v>
      </c>
      <c r="P125" s="113" t="str">
        <f>Regions!Q3</f>
        <v>IE-CE</v>
      </c>
      <c r="Q125" s="113" t="str">
        <f>Regions!R3</f>
        <v>IE-CO</v>
      </c>
      <c r="R125" s="113" t="str">
        <f>Regions!S3</f>
        <v>IE-KY</v>
      </c>
      <c r="S125" s="113" t="str">
        <f>Regions!T3</f>
        <v>IE-LK</v>
      </c>
      <c r="T125" s="113" t="str">
        <f>Regions!U3</f>
        <v>IE-TA</v>
      </c>
      <c r="U125" s="113" t="str">
        <f>Regions!V3</f>
        <v>IE-WD</v>
      </c>
      <c r="V125" s="113" t="str">
        <f>Regions!W3</f>
        <v>IE-G</v>
      </c>
      <c r="W125" s="113" t="str">
        <f>Regions!X3</f>
        <v>IE-LM</v>
      </c>
      <c r="X125" s="113" t="str">
        <f>Regions!Y3</f>
        <v>IE-MO</v>
      </c>
      <c r="Y125" s="113" t="str">
        <f>Regions!Z3</f>
        <v>IE-RN</v>
      </c>
      <c r="Z125" s="113" t="str">
        <f>Regions!AA3</f>
        <v>IE-SO</v>
      </c>
      <c r="AA125" s="113" t="str">
        <f>Regions!AB3</f>
        <v>IE-CN</v>
      </c>
      <c r="AB125" s="113" t="str">
        <f>Regions!AC3</f>
        <v>IE-DL</v>
      </c>
      <c r="AC125" s="113" t="str">
        <f>Regions!AD3</f>
        <v>IE-MN</v>
      </c>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row>
    <row r="126" spans="1:88" s="39" customFormat="1">
      <c r="A126" s="201" t="s">
        <v>522</v>
      </c>
      <c r="B126" s="201"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201"/>
      <c r="AE126" s="201"/>
      <c r="AF126" s="201"/>
      <c r="AG126" s="201"/>
      <c r="AH126" s="201"/>
      <c r="AI126" s="201"/>
      <c r="AJ126" s="201"/>
      <c r="AK126" s="201"/>
      <c r="AL126" s="201"/>
      <c r="AM126" s="201"/>
      <c r="AN126" s="201"/>
      <c r="AO126" s="201"/>
      <c r="AP126" s="201"/>
      <c r="AQ126" s="201"/>
      <c r="AR126" s="201"/>
      <c r="AS126" s="201"/>
      <c r="AT126" s="201"/>
      <c r="AU126" s="201"/>
      <c r="AV126" s="201"/>
      <c r="AW126" s="201"/>
      <c r="AX126" s="201"/>
      <c r="AY126" s="201"/>
      <c r="AZ126" s="201"/>
      <c r="BA126" s="201"/>
      <c r="BB126" s="201"/>
      <c r="BC126" s="201"/>
      <c r="BD126" s="201"/>
      <c r="BE126" s="201"/>
      <c r="BF126" s="201"/>
      <c r="BG126" s="201"/>
      <c r="BH126" s="201"/>
      <c r="BI126" s="201"/>
      <c r="BJ126" s="201"/>
      <c r="BK126" s="201"/>
      <c r="BL126" s="201"/>
      <c r="BM126" s="201"/>
      <c r="BN126" s="201"/>
      <c r="BO126" s="201"/>
      <c r="BP126" s="201"/>
      <c r="BQ126" s="201"/>
      <c r="BR126" s="201"/>
      <c r="BS126" s="201"/>
      <c r="BT126" s="201"/>
      <c r="BU126" s="201"/>
      <c r="BV126" s="201"/>
      <c r="BW126" s="201"/>
      <c r="BX126" s="201"/>
      <c r="BY126" s="201"/>
      <c r="BZ126" s="201"/>
      <c r="CA126" s="201"/>
      <c r="CB126" s="201"/>
      <c r="CC126" s="201"/>
      <c r="CD126" s="201"/>
      <c r="CE126" s="201"/>
      <c r="CF126" s="201"/>
      <c r="CG126" s="201"/>
      <c r="CH126" s="201"/>
      <c r="CI126" s="201"/>
      <c r="CJ126" s="201"/>
    </row>
    <row r="127" spans="1:88" s="133" customFormat="1">
      <c r="A127" s="153" t="s">
        <v>547</v>
      </c>
      <c r="B127" s="153" t="s">
        <v>20</v>
      </c>
      <c r="C127" s="36">
        <f t="shared" ref="C127:C132" si="77">SUM(D127:AC127)</f>
        <v>12136</v>
      </c>
      <c r="D127" s="205">
        <v>146</v>
      </c>
      <c r="E127" s="205">
        <v>3300</v>
      </c>
      <c r="F127" s="205">
        <v>602</v>
      </c>
      <c r="G127" s="205">
        <v>239</v>
      </c>
      <c r="H127" s="205">
        <v>175</v>
      </c>
      <c r="I127" s="205">
        <v>81</v>
      </c>
      <c r="J127" s="205">
        <v>273</v>
      </c>
      <c r="K127" s="205">
        <v>477</v>
      </c>
      <c r="L127" s="205">
        <v>173</v>
      </c>
      <c r="M127" s="205">
        <v>200</v>
      </c>
      <c r="N127" s="205">
        <v>408</v>
      </c>
      <c r="O127" s="205">
        <v>441</v>
      </c>
      <c r="P127" s="205">
        <v>342</v>
      </c>
      <c r="Q127" s="205">
        <v>1584</v>
      </c>
      <c r="R127" s="205">
        <v>441</v>
      </c>
      <c r="S127" s="205">
        <v>541</v>
      </c>
      <c r="T127" s="205">
        <v>439</v>
      </c>
      <c r="U127" s="205">
        <v>357</v>
      </c>
      <c r="V127" s="205">
        <v>621</v>
      </c>
      <c r="W127" s="205">
        <v>72</v>
      </c>
      <c r="X127" s="205">
        <v>313</v>
      </c>
      <c r="Y127" s="205">
        <v>184</v>
      </c>
      <c r="Z127" s="205">
        <v>158</v>
      </c>
      <c r="AA127" s="205">
        <v>150</v>
      </c>
      <c r="AB127" s="205">
        <v>311</v>
      </c>
      <c r="AC127" s="205">
        <v>108</v>
      </c>
      <c r="AD127" s="201"/>
      <c r="AE127" s="201"/>
      <c r="AF127" s="201"/>
      <c r="AG127" s="201"/>
      <c r="AH127" s="201"/>
      <c r="AI127" s="201"/>
      <c r="AJ127" s="201"/>
      <c r="AK127" s="201"/>
      <c r="AL127" s="201"/>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row>
    <row r="128" spans="1:88" s="133" customFormat="1">
      <c r="A128" s="153"/>
      <c r="B128" s="153" t="s">
        <v>19</v>
      </c>
      <c r="C128" s="36">
        <f t="shared" si="77"/>
        <v>23286</v>
      </c>
      <c r="D128" s="205">
        <v>378</v>
      </c>
      <c r="E128" s="205">
        <v>4087</v>
      </c>
      <c r="F128" s="205">
        <v>1188</v>
      </c>
      <c r="G128" s="205">
        <v>580</v>
      </c>
      <c r="H128" s="205">
        <v>492</v>
      </c>
      <c r="I128" s="205">
        <v>256</v>
      </c>
      <c r="J128" s="205">
        <v>617</v>
      </c>
      <c r="K128" s="205">
        <v>1111</v>
      </c>
      <c r="L128" s="205">
        <v>480</v>
      </c>
      <c r="M128" s="205">
        <v>575</v>
      </c>
      <c r="N128" s="205">
        <v>963</v>
      </c>
      <c r="O128" s="205">
        <v>698</v>
      </c>
      <c r="P128" s="205">
        <v>718</v>
      </c>
      <c r="Q128" s="205">
        <v>2655</v>
      </c>
      <c r="R128" s="205">
        <v>824</v>
      </c>
      <c r="S128" s="205">
        <v>1023</v>
      </c>
      <c r="T128" s="205">
        <v>1063</v>
      </c>
      <c r="U128" s="205">
        <v>616</v>
      </c>
      <c r="V128" s="205">
        <v>1419</v>
      </c>
      <c r="W128" s="205">
        <v>211</v>
      </c>
      <c r="X128" s="205">
        <v>815</v>
      </c>
      <c r="Y128" s="205">
        <v>472</v>
      </c>
      <c r="Z128" s="205">
        <v>362</v>
      </c>
      <c r="AA128" s="205">
        <v>457</v>
      </c>
      <c r="AB128" s="205">
        <v>845</v>
      </c>
      <c r="AC128" s="205">
        <v>381</v>
      </c>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row>
    <row r="129" spans="1:88" s="133" customFormat="1">
      <c r="A129" s="153"/>
      <c r="B129" s="153" t="s">
        <v>548</v>
      </c>
      <c r="C129" s="36">
        <f t="shared" si="77"/>
        <v>555</v>
      </c>
      <c r="D129" s="205">
        <v>5</v>
      </c>
      <c r="E129" s="205">
        <v>224</v>
      </c>
      <c r="F129" s="205">
        <v>30</v>
      </c>
      <c r="G129" s="205">
        <v>8</v>
      </c>
      <c r="H129" s="205">
        <v>6</v>
      </c>
      <c r="I129" s="205">
        <v>3</v>
      </c>
      <c r="J129" s="205">
        <v>12</v>
      </c>
      <c r="K129" s="205">
        <v>24</v>
      </c>
      <c r="L129" s="205">
        <v>6</v>
      </c>
      <c r="M129" s="205">
        <v>10</v>
      </c>
      <c r="N129" s="205">
        <v>14</v>
      </c>
      <c r="O129" s="205">
        <v>22</v>
      </c>
      <c r="P129" s="205">
        <v>11</v>
      </c>
      <c r="Q129" s="205">
        <v>59</v>
      </c>
      <c r="R129" s="205">
        <v>13</v>
      </c>
      <c r="S129" s="205">
        <v>16</v>
      </c>
      <c r="T129" s="205">
        <v>11</v>
      </c>
      <c r="U129" s="205">
        <v>11</v>
      </c>
      <c r="V129" s="205">
        <v>30</v>
      </c>
      <c r="W129" s="205">
        <v>2</v>
      </c>
      <c r="X129" s="205">
        <v>8</v>
      </c>
      <c r="Y129" s="205">
        <v>5</v>
      </c>
      <c r="Z129" s="205">
        <v>5</v>
      </c>
      <c r="AA129" s="205">
        <v>6</v>
      </c>
      <c r="AB129" s="205">
        <v>11</v>
      </c>
      <c r="AC129" s="205">
        <v>3</v>
      </c>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row>
    <row r="130" spans="1:88" s="201" customFormat="1">
      <c r="A130" s="153" t="s">
        <v>545</v>
      </c>
      <c r="B130" s="153" t="s">
        <v>20</v>
      </c>
      <c r="C130" s="36">
        <f t="shared" si="77"/>
        <v>89</v>
      </c>
      <c r="D130" s="205">
        <v>0</v>
      </c>
      <c r="E130" s="205">
        <v>56</v>
      </c>
      <c r="F130" s="205">
        <v>3</v>
      </c>
      <c r="G130" s="205">
        <v>0</v>
      </c>
      <c r="H130" s="205">
        <v>0</v>
      </c>
      <c r="I130" s="205">
        <v>0</v>
      </c>
      <c r="J130" s="205">
        <v>2</v>
      </c>
      <c r="K130" s="205">
        <v>4</v>
      </c>
      <c r="L130" s="205">
        <v>0</v>
      </c>
      <c r="M130" s="205">
        <v>1</v>
      </c>
      <c r="N130" s="205">
        <v>1</v>
      </c>
      <c r="O130" s="205">
        <v>1</v>
      </c>
      <c r="P130" s="205">
        <v>2</v>
      </c>
      <c r="Q130" s="205">
        <v>6</v>
      </c>
      <c r="R130" s="205">
        <v>1</v>
      </c>
      <c r="S130" s="205">
        <v>5</v>
      </c>
      <c r="T130" s="205">
        <v>0</v>
      </c>
      <c r="U130" s="205">
        <v>1</v>
      </c>
      <c r="V130" s="205">
        <v>4</v>
      </c>
      <c r="W130" s="205">
        <v>0</v>
      </c>
      <c r="X130" s="205">
        <v>1</v>
      </c>
      <c r="Y130" s="205">
        <v>0</v>
      </c>
      <c r="Z130" s="205">
        <v>0</v>
      </c>
      <c r="AA130" s="205">
        <v>0</v>
      </c>
      <c r="AB130" s="205">
        <v>1</v>
      </c>
      <c r="AC130" s="205">
        <v>0</v>
      </c>
    </row>
    <row r="131" spans="1:88" s="201" customFormat="1">
      <c r="A131" s="153"/>
      <c r="B131" s="153" t="s">
        <v>19</v>
      </c>
      <c r="C131" s="36">
        <f t="shared" si="77"/>
        <v>696</v>
      </c>
      <c r="D131" s="205">
        <v>5</v>
      </c>
      <c r="E131" s="205">
        <v>331</v>
      </c>
      <c r="F131" s="205">
        <v>30</v>
      </c>
      <c r="G131" s="205">
        <v>9</v>
      </c>
      <c r="H131" s="205">
        <v>8</v>
      </c>
      <c r="I131" s="205">
        <v>4</v>
      </c>
      <c r="J131" s="205">
        <v>22</v>
      </c>
      <c r="K131" s="205">
        <v>36</v>
      </c>
      <c r="L131" s="205">
        <v>6</v>
      </c>
      <c r="M131" s="205">
        <v>11</v>
      </c>
      <c r="N131" s="205">
        <v>10</v>
      </c>
      <c r="O131" s="205">
        <v>12</v>
      </c>
      <c r="P131" s="205">
        <v>12</v>
      </c>
      <c r="Q131" s="205">
        <v>62</v>
      </c>
      <c r="R131" s="205">
        <v>17</v>
      </c>
      <c r="S131" s="205">
        <v>20</v>
      </c>
      <c r="T131" s="205">
        <v>10</v>
      </c>
      <c r="U131" s="205">
        <v>10</v>
      </c>
      <c r="V131" s="205">
        <v>33</v>
      </c>
      <c r="W131" s="205">
        <v>3</v>
      </c>
      <c r="X131" s="205">
        <v>10</v>
      </c>
      <c r="Y131" s="205">
        <v>5</v>
      </c>
      <c r="Z131" s="205">
        <v>6</v>
      </c>
      <c r="AA131" s="364">
        <v>7</v>
      </c>
      <c r="AB131" s="364">
        <v>14</v>
      </c>
      <c r="AC131" s="205">
        <v>3</v>
      </c>
    </row>
    <row r="132" spans="1:88" s="201" customFormat="1">
      <c r="A132" s="153"/>
      <c r="B132" s="153" t="s">
        <v>548</v>
      </c>
      <c r="C132" s="36">
        <f t="shared" si="77"/>
        <v>55</v>
      </c>
      <c r="D132" s="205">
        <v>0</v>
      </c>
      <c r="E132" s="205">
        <v>43</v>
      </c>
      <c r="F132" s="205">
        <v>2</v>
      </c>
      <c r="G132" s="205">
        <v>0</v>
      </c>
      <c r="H132" s="205">
        <v>1</v>
      </c>
      <c r="I132" s="205">
        <v>0</v>
      </c>
      <c r="J132" s="205">
        <v>1</v>
      </c>
      <c r="K132" s="205">
        <v>2</v>
      </c>
      <c r="L132" s="205">
        <v>0</v>
      </c>
      <c r="M132" s="205">
        <v>0</v>
      </c>
      <c r="N132" s="205">
        <v>0</v>
      </c>
      <c r="O132" s="205">
        <v>1</v>
      </c>
      <c r="P132" s="205">
        <v>0</v>
      </c>
      <c r="Q132" s="205">
        <v>2</v>
      </c>
      <c r="R132" s="205">
        <v>0</v>
      </c>
      <c r="S132" s="205">
        <v>2</v>
      </c>
      <c r="T132" s="205">
        <v>0</v>
      </c>
      <c r="U132" s="205">
        <v>0</v>
      </c>
      <c r="V132" s="205">
        <v>1</v>
      </c>
      <c r="W132" s="205">
        <v>0</v>
      </c>
      <c r="X132" s="205">
        <v>0</v>
      </c>
      <c r="Y132" s="205">
        <v>0</v>
      </c>
      <c r="Z132" s="205">
        <v>0</v>
      </c>
      <c r="AA132" s="205">
        <v>0</v>
      </c>
      <c r="AB132" s="205">
        <v>0</v>
      </c>
      <c r="AC132" s="363">
        <v>0</v>
      </c>
    </row>
    <row r="133" spans="1:88" s="201" customFormat="1">
      <c r="A133" s="153" t="s">
        <v>546</v>
      </c>
      <c r="B133" s="153"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201" customFormat="1">
      <c r="A134" s="153" t="s">
        <v>776</v>
      </c>
      <c r="B134" s="153" t="s">
        <v>105</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16" customFormat="1">
      <c r="A135" s="865" t="s">
        <v>16</v>
      </c>
      <c r="B135" s="865"/>
      <c r="C135" s="142">
        <f>SUM(C127:C134)</f>
        <v>37181.287811015805</v>
      </c>
      <c r="D135" s="142">
        <f t="shared" ref="D135:AC135" si="78">SUM(D127:D134)</f>
        <v>538</v>
      </c>
      <c r="E135" s="142">
        <f>SUM(E127:E134)</f>
        <v>8175.0654789999999</v>
      </c>
      <c r="F135" s="142">
        <f t="shared" si="78"/>
        <v>1872</v>
      </c>
      <c r="G135" s="142">
        <f t="shared" si="78"/>
        <v>847</v>
      </c>
      <c r="H135" s="142">
        <f t="shared" si="78"/>
        <v>687</v>
      </c>
      <c r="I135" s="142">
        <f t="shared" si="78"/>
        <v>347</v>
      </c>
      <c r="J135" s="142">
        <f t="shared" si="78"/>
        <v>935</v>
      </c>
      <c r="K135" s="142">
        <f t="shared" si="78"/>
        <v>1665</v>
      </c>
      <c r="L135" s="142">
        <f t="shared" si="78"/>
        <v>672</v>
      </c>
      <c r="M135" s="142">
        <f t="shared" si="78"/>
        <v>802</v>
      </c>
      <c r="N135" s="142">
        <f t="shared" si="78"/>
        <v>1406</v>
      </c>
      <c r="O135" s="142">
        <f t="shared" si="78"/>
        <v>1184</v>
      </c>
      <c r="P135" s="142">
        <f t="shared" si="78"/>
        <v>1092</v>
      </c>
      <c r="Q135" s="142">
        <f t="shared" si="78"/>
        <v>4397</v>
      </c>
      <c r="R135" s="142">
        <f t="shared" si="78"/>
        <v>1314</v>
      </c>
      <c r="S135" s="142">
        <f t="shared" si="78"/>
        <v>1618</v>
      </c>
      <c r="T135" s="142">
        <f t="shared" si="78"/>
        <v>1536</v>
      </c>
      <c r="U135" s="142">
        <f t="shared" si="78"/>
        <v>1001</v>
      </c>
      <c r="V135" s="142">
        <f t="shared" si="78"/>
        <v>2129</v>
      </c>
      <c r="W135" s="142">
        <f t="shared" si="78"/>
        <v>290</v>
      </c>
      <c r="X135" s="142">
        <f t="shared" si="78"/>
        <v>1160</v>
      </c>
      <c r="Y135" s="142">
        <f t="shared" si="78"/>
        <v>670</v>
      </c>
      <c r="Z135" s="142">
        <f t="shared" si="78"/>
        <v>535</v>
      </c>
      <c r="AA135" s="142">
        <f t="shared" si="78"/>
        <v>621.67193675889337</v>
      </c>
      <c r="AB135" s="142">
        <f t="shared" si="78"/>
        <v>1182.550395256917</v>
      </c>
      <c r="AC135" s="142">
        <f t="shared" si="78"/>
        <v>505</v>
      </c>
      <c r="AD135" s="201"/>
      <c r="AE135" s="201"/>
      <c r="AF135" s="201"/>
      <c r="AG135" s="201"/>
      <c r="AH135" s="201"/>
      <c r="AI135" s="201"/>
      <c r="AJ135" s="201"/>
      <c r="AK135" s="201"/>
      <c r="AL135" s="201"/>
      <c r="AM135" s="201"/>
      <c r="AN135" s="201"/>
      <c r="AO135" s="201"/>
      <c r="AP135" s="201"/>
      <c r="AQ135" s="201"/>
      <c r="AR135" s="201"/>
      <c r="AS135" s="201"/>
      <c r="AT135" s="201"/>
      <c r="AU135" s="201"/>
      <c r="AV135" s="201"/>
      <c r="AW135" s="201"/>
      <c r="AX135" s="201"/>
      <c r="AY135" s="201"/>
      <c r="AZ135" s="201"/>
      <c r="BA135" s="201"/>
      <c r="BB135" s="201"/>
      <c r="BC135" s="201"/>
      <c r="BD135" s="201"/>
      <c r="BE135" s="201"/>
      <c r="BF135" s="201"/>
      <c r="BG135" s="201"/>
      <c r="BH135" s="201"/>
      <c r="BI135" s="201"/>
      <c r="BJ135" s="201"/>
      <c r="BK135" s="201"/>
      <c r="BL135" s="201"/>
      <c r="BM135" s="201"/>
      <c r="BN135" s="201"/>
      <c r="BO135" s="201"/>
      <c r="BP135" s="201"/>
      <c r="BQ135" s="201"/>
      <c r="BR135" s="201"/>
      <c r="BS135" s="201"/>
      <c r="BT135" s="201"/>
      <c r="BU135" s="201"/>
      <c r="BV135" s="201"/>
      <c r="BW135" s="201"/>
      <c r="BX135" s="201"/>
      <c r="BY135" s="201"/>
      <c r="BZ135" s="201"/>
      <c r="CA135" s="201"/>
      <c r="CB135" s="201"/>
      <c r="CC135" s="201"/>
      <c r="CD135" s="201"/>
      <c r="CE135" s="201"/>
      <c r="CF135" s="201"/>
      <c r="CG135" s="201"/>
      <c r="CH135" s="201"/>
      <c r="CI135" s="201"/>
      <c r="CJ135" s="201"/>
    </row>
    <row r="136" spans="1:88" s="133" customFormat="1">
      <c r="A136" s="153" t="s">
        <v>549</v>
      </c>
      <c r="AA136" s="201"/>
      <c r="AB136" s="201"/>
      <c r="AD136" s="201"/>
      <c r="AE136" s="201"/>
      <c r="AF136" s="201"/>
      <c r="AG136" s="201"/>
      <c r="AH136" s="201"/>
      <c r="AI136" s="201"/>
      <c r="AJ136" s="201"/>
      <c r="AK136" s="201"/>
      <c r="AL136" s="201"/>
      <c r="AM136" s="201"/>
      <c r="AN136" s="201"/>
      <c r="AO136" s="201"/>
      <c r="AP136" s="201"/>
      <c r="AQ136" s="201"/>
      <c r="AR136" s="201"/>
      <c r="AS136" s="201"/>
      <c r="AT136" s="201"/>
      <c r="AU136" s="201"/>
      <c r="AV136" s="201"/>
      <c r="AW136" s="201"/>
      <c r="AX136" s="201"/>
      <c r="AY136" s="201"/>
      <c r="AZ136" s="201"/>
      <c r="BA136" s="201"/>
      <c r="BB136" s="201"/>
      <c r="BC136" s="201"/>
      <c r="BD136" s="201"/>
      <c r="BE136" s="201"/>
      <c r="BF136" s="201"/>
      <c r="BG136" s="201"/>
      <c r="BH136" s="201"/>
      <c r="BI136" s="201"/>
      <c r="BJ136" s="201"/>
      <c r="BK136" s="201"/>
      <c r="BL136" s="201"/>
      <c r="BM136" s="201"/>
      <c r="BN136" s="201"/>
      <c r="BO136" s="201"/>
      <c r="BP136" s="201"/>
      <c r="BQ136" s="201"/>
      <c r="BR136" s="201"/>
      <c r="BS136" s="201"/>
      <c r="BT136" s="201"/>
      <c r="BU136" s="201"/>
      <c r="BV136" s="201"/>
      <c r="BW136" s="201"/>
      <c r="BX136" s="201"/>
      <c r="BY136" s="201"/>
      <c r="BZ136" s="201"/>
      <c r="CA136" s="201"/>
      <c r="CB136" s="201"/>
      <c r="CC136" s="201"/>
      <c r="CD136" s="201"/>
      <c r="CE136" s="201"/>
      <c r="CF136" s="201"/>
      <c r="CG136" s="201"/>
      <c r="CH136" s="201"/>
      <c r="CI136" s="201"/>
      <c r="CJ136" s="201"/>
    </row>
    <row r="137" spans="1:88" s="201" customFormat="1">
      <c r="A137" s="153"/>
    </row>
    <row r="138" spans="1:88" s="133" customFormat="1">
      <c r="B138" s="9"/>
      <c r="D138" s="10"/>
      <c r="AA138" s="201"/>
      <c r="AB138" s="201"/>
      <c r="AD138" s="201"/>
      <c r="AE138" s="201"/>
      <c r="AF138" s="201"/>
      <c r="AG138" s="201"/>
      <c r="AH138" s="201"/>
      <c r="AI138" s="201"/>
      <c r="AJ138" s="201"/>
      <c r="AK138" s="201"/>
      <c r="AL138" s="201"/>
      <c r="AM138" s="201"/>
      <c r="AN138" s="201"/>
      <c r="AO138" s="201"/>
      <c r="AP138" s="201"/>
      <c r="AQ138" s="201"/>
      <c r="AR138" s="201"/>
      <c r="AS138" s="201"/>
      <c r="AT138" s="201"/>
      <c r="AU138" s="201"/>
      <c r="AV138" s="201"/>
      <c r="AW138" s="201"/>
      <c r="AX138" s="201"/>
      <c r="AY138" s="201"/>
      <c r="AZ138" s="201"/>
      <c r="BA138" s="201"/>
      <c r="BB138" s="201"/>
      <c r="BC138" s="201"/>
      <c r="BD138" s="201"/>
      <c r="BE138" s="201"/>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row>
    <row r="139" spans="1:88" s="201" customFormat="1">
      <c r="B139" s="9"/>
      <c r="E139" s="35"/>
    </row>
    <row r="140" spans="1:88" s="201" customFormat="1" ht="15.6">
      <c r="A140" s="167" t="s">
        <v>550</v>
      </c>
      <c r="B140" s="12"/>
      <c r="C140" s="12"/>
    </row>
    <row r="141" spans="1:88" s="201" customFormat="1">
      <c r="A141" s="114" t="s">
        <v>552</v>
      </c>
      <c r="B141" s="114" t="s">
        <v>553</v>
      </c>
      <c r="C141" s="113" t="str">
        <f>Regions!C3</f>
        <v>IE</v>
      </c>
      <c r="D141" s="113" t="str">
        <f>Regions!E3</f>
        <v>IE-CW</v>
      </c>
      <c r="E141" s="113" t="str">
        <f>Regions!F3</f>
        <v>IE-D</v>
      </c>
      <c r="F141" s="113" t="str">
        <f>Regions!G3</f>
        <v>IE-KE</v>
      </c>
      <c r="G141" s="113" t="str">
        <f>Regions!H3</f>
        <v>IE-KK</v>
      </c>
      <c r="H141" s="113" t="str">
        <f>Regions!I3</f>
        <v>IE-LS</v>
      </c>
      <c r="I141" s="113" t="str">
        <f>Regions!J3</f>
        <v>IE-LD</v>
      </c>
      <c r="J141" s="113" t="str">
        <f>Regions!K3</f>
        <v>IE-LH</v>
      </c>
      <c r="K141" s="113" t="str">
        <f>Regions!L3</f>
        <v>IE-MH</v>
      </c>
      <c r="L141" s="113" t="str">
        <f>Regions!M3</f>
        <v>IE-OY</v>
      </c>
      <c r="M141" s="113" t="str">
        <f>Regions!N3</f>
        <v>IE-WH</v>
      </c>
      <c r="N141" s="113" t="str">
        <f>Regions!O3</f>
        <v>IE-WX</v>
      </c>
      <c r="O141" s="113" t="str">
        <f>Regions!P3</f>
        <v>IE-WW</v>
      </c>
      <c r="P141" s="113" t="str">
        <f>Regions!Q3</f>
        <v>IE-CE</v>
      </c>
      <c r="Q141" s="113" t="str">
        <f>Regions!R3</f>
        <v>IE-CO</v>
      </c>
      <c r="R141" s="113" t="str">
        <f>Regions!S3</f>
        <v>IE-KY</v>
      </c>
      <c r="S141" s="113" t="str">
        <f>Regions!T3</f>
        <v>IE-LK</v>
      </c>
      <c r="T141" s="113" t="str">
        <f>Regions!U3</f>
        <v>IE-TA</v>
      </c>
      <c r="U141" s="113" t="str">
        <f>Regions!V3</f>
        <v>IE-WD</v>
      </c>
      <c r="V141" s="113" t="str">
        <f>Regions!W3</f>
        <v>IE-G</v>
      </c>
      <c r="W141" s="113" t="str">
        <f>Regions!X3</f>
        <v>IE-LM</v>
      </c>
      <c r="X141" s="113" t="str">
        <f>Regions!Y3</f>
        <v>IE-MO</v>
      </c>
      <c r="Y141" s="113" t="str">
        <f>Regions!Z3</f>
        <v>IE-RN</v>
      </c>
      <c r="Z141" s="113" t="str">
        <f>Regions!AA3</f>
        <v>IE-SO</v>
      </c>
      <c r="AA141" s="113" t="str">
        <f>Regions!AB3</f>
        <v>IE-CN</v>
      </c>
      <c r="AB141" s="113" t="str">
        <f>Regions!AC3</f>
        <v>IE-DL</v>
      </c>
      <c r="AC141" s="113" t="str">
        <f>Regions!AD3</f>
        <v>IE-MN</v>
      </c>
    </row>
    <row r="142" spans="1:88" s="201" customFormat="1" ht="16.2">
      <c r="A142" s="201" t="s">
        <v>563</v>
      </c>
      <c r="B142" s="201" t="s">
        <v>347</v>
      </c>
      <c r="C142" s="205">
        <f>C135*B240*I240/H240</f>
        <v>4713.1209901287639</v>
      </c>
      <c r="D142" s="205">
        <f t="shared" ref="D142:AC142" si="79">$C$142*C185</f>
        <v>56.349225400134316</v>
      </c>
      <c r="E142" s="205">
        <f>$C$142*D185</f>
        <v>1333.5669919535535</v>
      </c>
      <c r="F142" s="205">
        <f t="shared" si="79"/>
        <v>220.22637617563907</v>
      </c>
      <c r="G142" s="205">
        <f t="shared" si="79"/>
        <v>98.216228744926028</v>
      </c>
      <c r="H142" s="205">
        <f t="shared" si="79"/>
        <v>83.830013765811429</v>
      </c>
      <c r="I142" s="205">
        <f t="shared" si="79"/>
        <v>40.454610584200275</v>
      </c>
      <c r="J142" s="205">
        <f t="shared" si="79"/>
        <v>127.56470116052328</v>
      </c>
      <c r="K142" s="205">
        <f t="shared" si="79"/>
        <v>193.04746573006037</v>
      </c>
      <c r="L142" s="205">
        <f t="shared" si="79"/>
        <v>77.162965668163267</v>
      </c>
      <c r="M142" s="205">
        <f t="shared" si="79"/>
        <v>87.861321203715363</v>
      </c>
      <c r="N142" s="205">
        <f t="shared" si="79"/>
        <v>148.18939656711356</v>
      </c>
      <c r="O142" s="205">
        <f t="shared" si="79"/>
        <v>140.96709104921888</v>
      </c>
      <c r="P142" s="205">
        <f t="shared" si="79"/>
        <v>117.60075026993182</v>
      </c>
      <c r="Q142" s="205">
        <f t="shared" si="79"/>
        <v>537.31102533759781</v>
      </c>
      <c r="R142" s="205">
        <f t="shared" si="79"/>
        <v>146.19502276711938</v>
      </c>
      <c r="S142" s="205">
        <f t="shared" si="79"/>
        <v>192.90394999755458</v>
      </c>
      <c r="T142" s="205">
        <f t="shared" si="79"/>
        <v>157.91976323100596</v>
      </c>
      <c r="U142" s="205">
        <f t="shared" si="79"/>
        <v>114.98678441098158</v>
      </c>
      <c r="V142" s="205">
        <f t="shared" si="79"/>
        <v>255.41643378605812</v>
      </c>
      <c r="W142" s="205">
        <f t="shared" si="79"/>
        <v>31.715987120106512</v>
      </c>
      <c r="X142" s="205">
        <f t="shared" si="79"/>
        <v>129.17108760091566</v>
      </c>
      <c r="Y142" s="205">
        <f t="shared" si="79"/>
        <v>63.883306474851913</v>
      </c>
      <c r="Z142" s="205">
        <f t="shared" si="79"/>
        <v>64.86416227425353</v>
      </c>
      <c r="AA142" s="205">
        <f t="shared" si="79"/>
        <v>75.396237512833409</v>
      </c>
      <c r="AB142" s="205">
        <f t="shared" si="79"/>
        <v>157.56245854525014</v>
      </c>
      <c r="AC142" s="205">
        <f t="shared" si="79"/>
        <v>60.757632797243112</v>
      </c>
    </row>
    <row r="143" spans="1:88" s="201" customFormat="1">
      <c r="B143" s="201" t="s">
        <v>348</v>
      </c>
      <c r="C143" s="205">
        <f>C135*B240*K240/H240</f>
        <v>785.52016502146068</v>
      </c>
      <c r="D143" s="205">
        <f t="shared" ref="D143:AC143" si="80">$C$143*C185</f>
        <v>9.3915375666890526</v>
      </c>
      <c r="E143" s="205">
        <f t="shared" si="80"/>
        <v>222.26116532559226</v>
      </c>
      <c r="F143" s="205">
        <f t="shared" si="80"/>
        <v>36.704396029273184</v>
      </c>
      <c r="G143" s="205">
        <f t="shared" si="80"/>
        <v>16.36937145748767</v>
      </c>
      <c r="H143" s="205">
        <f t="shared" si="80"/>
        <v>13.971668960968572</v>
      </c>
      <c r="I143" s="205">
        <f t="shared" si="80"/>
        <v>6.7424350973667124</v>
      </c>
      <c r="J143" s="205">
        <f t="shared" si="80"/>
        <v>21.260783526753883</v>
      </c>
      <c r="K143" s="205">
        <f t="shared" si="80"/>
        <v>32.174577621676733</v>
      </c>
      <c r="L143" s="205">
        <f t="shared" si="80"/>
        <v>12.860494278027211</v>
      </c>
      <c r="M143" s="205">
        <f t="shared" si="80"/>
        <v>14.643553533952561</v>
      </c>
      <c r="N143" s="205">
        <f t="shared" si="80"/>
        <v>24.698232761185597</v>
      </c>
      <c r="O143" s="205">
        <f t="shared" si="80"/>
        <v>23.494515174869814</v>
      </c>
      <c r="P143" s="205">
        <f t="shared" si="80"/>
        <v>19.600125044988637</v>
      </c>
      <c r="Q143" s="205">
        <f t="shared" si="80"/>
        <v>89.551837556266307</v>
      </c>
      <c r="R143" s="205">
        <f t="shared" si="80"/>
        <v>24.365837127853229</v>
      </c>
      <c r="S143" s="205">
        <f t="shared" si="80"/>
        <v>32.150658332925765</v>
      </c>
      <c r="T143" s="205">
        <f t="shared" si="80"/>
        <v>26.319960538500993</v>
      </c>
      <c r="U143" s="205">
        <f t="shared" si="80"/>
        <v>19.164464068496933</v>
      </c>
      <c r="V143" s="205">
        <f t="shared" si="80"/>
        <v>42.569405631009687</v>
      </c>
      <c r="W143" s="205">
        <f t="shared" si="80"/>
        <v>5.2859978533510859</v>
      </c>
      <c r="X143" s="205">
        <f t="shared" si="80"/>
        <v>21.528514600152608</v>
      </c>
      <c r="Y143" s="205">
        <f t="shared" si="80"/>
        <v>10.647217745808652</v>
      </c>
      <c r="Z143" s="205">
        <f t="shared" si="80"/>
        <v>10.81069371237559</v>
      </c>
      <c r="AA143" s="205">
        <f t="shared" si="80"/>
        <v>12.566039585472234</v>
      </c>
      <c r="AB143" s="205">
        <f t="shared" si="80"/>
        <v>26.260409757541691</v>
      </c>
      <c r="AC143" s="205">
        <f t="shared" si="80"/>
        <v>10.126272132873853</v>
      </c>
    </row>
    <row r="144" spans="1:88" s="201" customFormat="1" ht="16.2">
      <c r="A144" s="201" t="s">
        <v>564</v>
      </c>
      <c r="B144" s="201" t="s">
        <v>551</v>
      </c>
      <c r="C144" s="36">
        <f>C126*ACT2FLO!E52</f>
        <v>119.9</v>
      </c>
      <c r="D144" s="36">
        <f>D126*ACT2FLO!F52</f>
        <v>1.1000000000000001</v>
      </c>
      <c r="E144" s="36">
        <f>E126*ACT2FLO!G52</f>
        <v>37.400000000000006</v>
      </c>
      <c r="F144" s="36">
        <f>F126*ACT2FLO!H52</f>
        <v>6.6000000000000005</v>
      </c>
      <c r="G144" s="36">
        <f>G126*ACT2FLO!I52</f>
        <v>2.2000000000000002</v>
      </c>
      <c r="H144" s="36">
        <f>H126*ACT2FLO!J52</f>
        <v>1.1000000000000001</v>
      </c>
      <c r="I144" s="36">
        <f>I126*ACT2FLO!K52</f>
        <v>1.1000000000000001</v>
      </c>
      <c r="J144" s="36">
        <f>J126*ACT2FLO!L52</f>
        <v>2.2000000000000002</v>
      </c>
      <c r="K144" s="36">
        <f>K126*ACT2FLO!M52</f>
        <v>5.5</v>
      </c>
      <c r="L144" s="36">
        <f>L126*ACT2FLO!N52</f>
        <v>2.2000000000000002</v>
      </c>
      <c r="M144" s="36">
        <f>M126*ACT2FLO!O52</f>
        <v>2.2000000000000002</v>
      </c>
      <c r="N144" s="36">
        <f>N126*ACT2FLO!P52</f>
        <v>4.4000000000000004</v>
      </c>
      <c r="O144" s="36">
        <f>O126*ACT2FLO!Q52</f>
        <v>4.4000000000000004</v>
      </c>
      <c r="P144" s="36">
        <f>P126*ACT2FLO!R52</f>
        <v>3.3000000000000003</v>
      </c>
      <c r="Q144" s="36">
        <f>Q126*ACT2FLO!S52</f>
        <v>16.5</v>
      </c>
      <c r="R144" s="36">
        <f>R126*ACT2FLO!T52</f>
        <v>3.3000000000000003</v>
      </c>
      <c r="S144" s="36">
        <f>S126*ACT2FLO!U52</f>
        <v>4.4000000000000004</v>
      </c>
      <c r="T144" s="36">
        <f>T126*ACT2FLO!V52</f>
        <v>4.4000000000000004</v>
      </c>
      <c r="U144" s="36">
        <f>U126*ACT2FLO!W52</f>
        <v>3.3000000000000003</v>
      </c>
      <c r="V144" s="36">
        <f>V126*ACT2FLO!X52</f>
        <v>4.4000000000000004</v>
      </c>
      <c r="W144" s="36">
        <f>W126*ACT2FLO!Y52</f>
        <v>1.1000000000000001</v>
      </c>
      <c r="X144" s="36">
        <f>X126*ACT2FLO!Z52</f>
        <v>2.2000000000000002</v>
      </c>
      <c r="Y144" s="36">
        <f>Y126*ACT2FLO!AA52</f>
        <v>1.1000000000000001</v>
      </c>
      <c r="Z144" s="36">
        <f>Z126*ACT2FLO!AB52</f>
        <v>1.1000000000000001</v>
      </c>
      <c r="AA144" s="36">
        <f>AA126*ACT2FLO!AC52</f>
        <v>1.1000000000000001</v>
      </c>
      <c r="AB144" s="36">
        <f>AB126*ACT2FLO!AD52</f>
        <v>2.2000000000000002</v>
      </c>
      <c r="AC144" s="36">
        <f>AC126*ACT2FLO!AE52</f>
        <v>1.1000000000000001</v>
      </c>
    </row>
    <row r="145" spans="1:29" s="201" customFormat="1" ht="16.2">
      <c r="A145" s="153" t="s">
        <v>565</v>
      </c>
      <c r="B145" s="153" t="s">
        <v>554</v>
      </c>
      <c r="C145" s="205">
        <f>C127*ACT2FLO!E53</f>
        <v>18107.051841077624</v>
      </c>
      <c r="D145" s="205">
        <f>D127*ACT2FLO!F53</f>
        <v>217.83368233333329</v>
      </c>
      <c r="E145" s="205">
        <f>E127*ACT2FLO!G53</f>
        <v>4923.638025342465</v>
      </c>
      <c r="F145" s="205">
        <f>F127*ACT2FLO!H53</f>
        <v>898.19093674429212</v>
      </c>
      <c r="G145" s="205">
        <f>G127*ACT2FLO!I53</f>
        <v>356.59075395662097</v>
      </c>
      <c r="H145" s="205">
        <f>H127*ACT2FLO!J53</f>
        <v>261.10201649543376</v>
      </c>
      <c r="I145" s="205">
        <f>I127*ACT2FLO!K53</f>
        <v>120.85293334931505</v>
      </c>
      <c r="J145" s="205">
        <f>J127*ACT2FLO!L53</f>
        <v>407.31914573287662</v>
      </c>
      <c r="K145" s="205">
        <f>K127*ACT2FLO!M53</f>
        <v>711.6894963904108</v>
      </c>
      <c r="L145" s="205">
        <f>L127*ACT2FLO!N53</f>
        <v>258.11799344977163</v>
      </c>
      <c r="M145" s="205">
        <f>M127*ACT2FLO!O53</f>
        <v>298.40230456620998</v>
      </c>
      <c r="N145" s="205">
        <f>N127*ACT2FLO!P53</f>
        <v>608.74070131506835</v>
      </c>
      <c r="O145" s="205">
        <f>O127*ACT2FLO!Q53</f>
        <v>657.97708156849308</v>
      </c>
      <c r="P145" s="205">
        <f>P127*ACT2FLO!R53</f>
        <v>510.26794080821912</v>
      </c>
      <c r="Q145" s="205">
        <f>Q127*ACT2FLO!S53</f>
        <v>2363.3462521643833</v>
      </c>
      <c r="R145" s="205">
        <f>R127*ACT2FLO!T53</f>
        <v>657.97708156849308</v>
      </c>
      <c r="S145" s="205">
        <f>S127*ACT2FLO!U53</f>
        <v>807.17823385159807</v>
      </c>
      <c r="T145" s="205">
        <f>T127*ACT2FLO!V53</f>
        <v>654.99305852283089</v>
      </c>
      <c r="U145" s="205">
        <f>U127*ACT2FLO!W53</f>
        <v>532.64811365068488</v>
      </c>
      <c r="V145" s="205">
        <f>V127*ACT2FLO!X53</f>
        <v>926.53915567808201</v>
      </c>
      <c r="W145" s="205">
        <f>W127*ACT2FLO!Y53</f>
        <v>107.42482964383559</v>
      </c>
      <c r="X145" s="205">
        <f>X127*ACT2FLO!Z53</f>
        <v>466.99960664611865</v>
      </c>
      <c r="Y145" s="205">
        <f>Y127*ACT2FLO!AA53</f>
        <v>274.53012020091319</v>
      </c>
      <c r="Z145" s="205">
        <f>Z127*ACT2FLO!AB53</f>
        <v>235.73782060730591</v>
      </c>
      <c r="AA145" s="205">
        <f>AA127*ACT2FLO!AC53</f>
        <v>223.80172842465751</v>
      </c>
      <c r="AB145" s="205">
        <f>AB127*ACT2FLO!AD53</f>
        <v>464.01558360045652</v>
      </c>
      <c r="AC145" s="205">
        <f>AC127*ACT2FLO!AE53</f>
        <v>161.13724446575341</v>
      </c>
    </row>
    <row r="146" spans="1:29" s="201" customFormat="1">
      <c r="A146" s="153"/>
      <c r="B146" s="153" t="s">
        <v>555</v>
      </c>
      <c r="C146" s="205">
        <f>C128*ACT2FLO!E54</f>
        <v>34742.98032064383</v>
      </c>
      <c r="D146" s="205">
        <f>D128*ACT2FLO!F54</f>
        <v>563.98035563013684</v>
      </c>
      <c r="E146" s="205">
        <f>E128*ACT2FLO!G54</f>
        <v>6097.851093810501</v>
      </c>
      <c r="F146" s="205">
        <f>F128*ACT2FLO!H54</f>
        <v>1772.5096891232874</v>
      </c>
      <c r="G146" s="205">
        <f>G128*ACT2FLO!I54</f>
        <v>865.366683242009</v>
      </c>
      <c r="H146" s="205">
        <f>H128*ACT2FLO!J54</f>
        <v>734.06966923287655</v>
      </c>
      <c r="I146" s="205">
        <f>I128*ACT2FLO!K54</f>
        <v>381.9549498447488</v>
      </c>
      <c r="J146" s="205">
        <f>J128*ACT2FLO!L54</f>
        <v>920.57110958675787</v>
      </c>
      <c r="K146" s="205">
        <f>K128*ACT2FLO!M54</f>
        <v>1657.6248018652966</v>
      </c>
      <c r="L146" s="205">
        <f>L128*ACT2FLO!N54</f>
        <v>716.16553095890401</v>
      </c>
      <c r="M146" s="205">
        <f>M128*ACT2FLO!O54</f>
        <v>857.90662562785371</v>
      </c>
      <c r="N146" s="205">
        <f>N128*ACT2FLO!P54</f>
        <v>1436.8070964863011</v>
      </c>
      <c r="O146" s="205">
        <f>O128*ACT2FLO!Q54</f>
        <v>1041.424042936073</v>
      </c>
      <c r="P146" s="205">
        <f>P128*ACT2FLO!R54</f>
        <v>1071.2642733926939</v>
      </c>
      <c r="Q146" s="205">
        <f>Q128*ACT2FLO!S54</f>
        <v>3961.2905931164378</v>
      </c>
      <c r="R146" s="205">
        <f>R128*ACT2FLO!T54</f>
        <v>1229.4174948127852</v>
      </c>
      <c r="S146" s="205">
        <f>S128*ACT2FLO!U54</f>
        <v>1526.3277878561642</v>
      </c>
      <c r="T146" s="205">
        <f>T128*ACT2FLO!V54</f>
        <v>1586.0082487694062</v>
      </c>
      <c r="U146" s="205">
        <f>U128*ACT2FLO!W54</f>
        <v>919.07909806392684</v>
      </c>
      <c r="V146" s="205">
        <f>V128*ACT2FLO!X54</f>
        <v>2117.1643508972597</v>
      </c>
      <c r="W146" s="205">
        <f>W128*ACT2FLO!Y54</f>
        <v>314.81443131735153</v>
      </c>
      <c r="X146" s="205">
        <f>X128*ACT2FLO!Z54</f>
        <v>1215.9893911073057</v>
      </c>
      <c r="Y146" s="205">
        <f>Y128*ACT2FLO!AA54</f>
        <v>704.22943877625562</v>
      </c>
      <c r="Z146" s="205">
        <f>Z128*ACT2FLO!AB54</f>
        <v>540.10817126484005</v>
      </c>
      <c r="AA146" s="205">
        <f>AA128*ACT2FLO!AC54</f>
        <v>681.84926593378987</v>
      </c>
      <c r="AB146" s="205">
        <f>AB128*ACT2FLO!AD54</f>
        <v>1260.7497367922372</v>
      </c>
      <c r="AC146" s="205">
        <f>AC128*ACT2FLO!AE54</f>
        <v>568.45639019863006</v>
      </c>
    </row>
    <row r="147" spans="1:29" s="201" customFormat="1">
      <c r="A147" s="153"/>
      <c r="B147" s="153" t="s">
        <v>556</v>
      </c>
      <c r="C147" s="205">
        <f>C129*ACT2FLO!E55</f>
        <v>828.06639517123278</v>
      </c>
      <c r="D147" s="205">
        <f>D129*ACT2FLO!F55</f>
        <v>7.4600576141552501</v>
      </c>
      <c r="E147" s="205">
        <f>E129*ACT2FLO!G55</f>
        <v>334.21058111415522</v>
      </c>
      <c r="F147" s="205">
        <f>F129*ACT2FLO!H55</f>
        <v>44.760345684931501</v>
      </c>
      <c r="G147" s="205">
        <f>G129*ACT2FLO!I55</f>
        <v>11.9360921826484</v>
      </c>
      <c r="H147" s="205">
        <f>H129*ACT2FLO!J55</f>
        <v>8.9520691369862995</v>
      </c>
      <c r="I147" s="205">
        <f>I129*ACT2FLO!K55</f>
        <v>4.4760345684931497</v>
      </c>
      <c r="J147" s="205">
        <f>J129*ACT2FLO!L55</f>
        <v>17.904138273972599</v>
      </c>
      <c r="K147" s="205">
        <f>K129*ACT2FLO!M55</f>
        <v>35.808276547945198</v>
      </c>
      <c r="L147" s="205">
        <f>L129*ACT2FLO!N55</f>
        <v>8.9520691369862995</v>
      </c>
      <c r="M147" s="205">
        <f>M129*ACT2FLO!O55</f>
        <v>14.9201152283105</v>
      </c>
      <c r="N147" s="205">
        <f>N129*ACT2FLO!P55</f>
        <v>20.888161319634701</v>
      </c>
      <c r="O147" s="205">
        <f>O129*ACT2FLO!Q55</f>
        <v>32.824253502283099</v>
      </c>
      <c r="P147" s="205">
        <f>P129*ACT2FLO!R55</f>
        <v>16.41212675114155</v>
      </c>
      <c r="Q147" s="205">
        <f>Q129*ACT2FLO!S55</f>
        <v>88.028679847031952</v>
      </c>
      <c r="R147" s="205">
        <f>R129*ACT2FLO!T55</f>
        <v>19.396149796803648</v>
      </c>
      <c r="S147" s="205">
        <f>S129*ACT2FLO!U55</f>
        <v>23.8721843652968</v>
      </c>
      <c r="T147" s="205">
        <f>T129*ACT2FLO!V55</f>
        <v>16.41212675114155</v>
      </c>
      <c r="U147" s="205">
        <f>U129*ACT2FLO!W55</f>
        <v>16.41212675114155</v>
      </c>
      <c r="V147" s="205">
        <f>V129*ACT2FLO!X55</f>
        <v>44.760345684931501</v>
      </c>
      <c r="W147" s="205">
        <f>W129*ACT2FLO!Y55</f>
        <v>2.9840230456621</v>
      </c>
      <c r="X147" s="205">
        <f>X129*ACT2FLO!Z55</f>
        <v>11.9360921826484</v>
      </c>
      <c r="Y147" s="205">
        <f>Y129*ACT2FLO!AA55</f>
        <v>7.4600576141552501</v>
      </c>
      <c r="Z147" s="205">
        <f>Z129*ACT2FLO!AB55</f>
        <v>7.4600576141552501</v>
      </c>
      <c r="AA147" s="205">
        <f>AA129*ACT2FLO!AC55</f>
        <v>8.9520691369862995</v>
      </c>
      <c r="AB147" s="205">
        <f>AB129*ACT2FLO!AD55</f>
        <v>16.41212675114155</v>
      </c>
      <c r="AC147" s="205">
        <f>AC129*ACT2FLO!AE55</f>
        <v>4.4760345684931497</v>
      </c>
    </row>
    <row r="148" spans="1:29" s="201" customFormat="1">
      <c r="A148" s="153"/>
      <c r="B148" s="39" t="s">
        <v>571</v>
      </c>
      <c r="C148" s="205">
        <f>SUM(C145:C147)</f>
        <v>53678.098556892684</v>
      </c>
      <c r="D148" s="205">
        <f>SUM(D145:D147)</f>
        <v>789.27409557762542</v>
      </c>
      <c r="E148" s="205">
        <f>SUM(E145:E147)</f>
        <v>11355.699700267121</v>
      </c>
      <c r="F148" s="205">
        <f t="shared" ref="F148:AC148" si="81">SUM(F145:F147)</f>
        <v>2715.4609715525112</v>
      </c>
      <c r="G148" s="205">
        <f t="shared" si="81"/>
        <v>1233.8935293812785</v>
      </c>
      <c r="H148" s="205">
        <f t="shared" si="81"/>
        <v>1004.1237548652966</v>
      </c>
      <c r="I148" s="205">
        <f t="shared" si="81"/>
        <v>507.283917762557</v>
      </c>
      <c r="J148" s="205">
        <f t="shared" si="81"/>
        <v>1345.7943935936071</v>
      </c>
      <c r="K148" s="205">
        <f t="shared" si="81"/>
        <v>2405.1225748036527</v>
      </c>
      <c r="L148" s="205">
        <f t="shared" si="81"/>
        <v>983.23559354566203</v>
      </c>
      <c r="M148" s="205">
        <f t="shared" si="81"/>
        <v>1171.2290454223742</v>
      </c>
      <c r="N148" s="205">
        <f t="shared" si="81"/>
        <v>2066.4359591210041</v>
      </c>
      <c r="O148" s="205">
        <f t="shared" si="81"/>
        <v>1732.225378006849</v>
      </c>
      <c r="P148" s="205">
        <f t="shared" si="81"/>
        <v>1597.9443409520547</v>
      </c>
      <c r="Q148" s="205">
        <f t="shared" si="81"/>
        <v>6412.6655251278526</v>
      </c>
      <c r="R148" s="205">
        <f t="shared" si="81"/>
        <v>1906.790726178082</v>
      </c>
      <c r="S148" s="205">
        <f t="shared" si="81"/>
        <v>2357.3782060730591</v>
      </c>
      <c r="T148" s="205">
        <f t="shared" si="81"/>
        <v>2257.4134340433784</v>
      </c>
      <c r="U148" s="205">
        <f t="shared" si="81"/>
        <v>1468.1393384657533</v>
      </c>
      <c r="V148" s="205">
        <f t="shared" si="81"/>
        <v>3088.4638522602731</v>
      </c>
      <c r="W148" s="205">
        <f t="shared" si="81"/>
        <v>425.22328400684927</v>
      </c>
      <c r="X148" s="205">
        <f t="shared" si="81"/>
        <v>1694.9250899360729</v>
      </c>
      <c r="Y148" s="205">
        <f t="shared" si="81"/>
        <v>986.2196165913241</v>
      </c>
      <c r="Z148" s="205">
        <f t="shared" si="81"/>
        <v>783.30604948630128</v>
      </c>
      <c r="AA148" s="205">
        <f t="shared" ref="AA148" si="82">SUM(AA145:AA147)</f>
        <v>914.60306349543373</v>
      </c>
      <c r="AB148" s="205">
        <f t="shared" ref="AB148" si="83">SUM(AB145:AB147)</f>
        <v>1741.1774471438353</v>
      </c>
      <c r="AC148" s="205">
        <f t="shared" si="81"/>
        <v>734.06966923287655</v>
      </c>
    </row>
    <row r="149" spans="1:29" s="201" customFormat="1" ht="16.2">
      <c r="A149" s="153" t="s">
        <v>566</v>
      </c>
      <c r="B149" s="153" t="s">
        <v>557</v>
      </c>
      <c r="C149" s="205">
        <f>C130*ACT2FLO!E62</f>
        <v>132.78902553196346</v>
      </c>
      <c r="D149" s="205">
        <f>D130*ACT2FLO!F62</f>
        <v>0</v>
      </c>
      <c r="E149" s="205">
        <f>E130*ACT2FLO!G62</f>
        <v>83.552645278538805</v>
      </c>
      <c r="F149" s="205">
        <f>F130*ACT2FLO!H62</f>
        <v>4.4760345684931497</v>
      </c>
      <c r="G149" s="205">
        <f>G130*ACT2FLO!I62</f>
        <v>0</v>
      </c>
      <c r="H149" s="205">
        <f>H130*ACT2FLO!J62</f>
        <v>0</v>
      </c>
      <c r="I149" s="205">
        <f>I130*ACT2FLO!K62</f>
        <v>0</v>
      </c>
      <c r="J149" s="205">
        <f>J130*ACT2FLO!L62</f>
        <v>2.9840230456621</v>
      </c>
      <c r="K149" s="205">
        <f>K130*ACT2FLO!M62</f>
        <v>5.9680460913241999</v>
      </c>
      <c r="L149" s="205">
        <f>L130*ACT2FLO!N62</f>
        <v>0</v>
      </c>
      <c r="M149" s="205">
        <f>M130*ACT2FLO!O62</f>
        <v>1.49201152283105</v>
      </c>
      <c r="N149" s="205">
        <f>N130*ACT2FLO!P62</f>
        <v>1.49201152283105</v>
      </c>
      <c r="O149" s="205">
        <f>O130*ACT2FLO!Q62</f>
        <v>1.49201152283105</v>
      </c>
      <c r="P149" s="205">
        <f>P130*ACT2FLO!R62</f>
        <v>2.9840230456621</v>
      </c>
      <c r="Q149" s="205">
        <f>Q130*ACT2FLO!S62</f>
        <v>8.9520691369862995</v>
      </c>
      <c r="R149" s="205">
        <f>R130*ACT2FLO!T62</f>
        <v>1.49201152283105</v>
      </c>
      <c r="S149" s="205">
        <f>S130*ACT2FLO!U62</f>
        <v>7.4600576141552501</v>
      </c>
      <c r="T149" s="205">
        <f>T130*ACT2FLO!V62</f>
        <v>0</v>
      </c>
      <c r="U149" s="205">
        <f>U130*ACT2FLO!W62</f>
        <v>1.49201152283105</v>
      </c>
      <c r="V149" s="205">
        <f>V130*ACT2FLO!X62</f>
        <v>5.9680460913241999</v>
      </c>
      <c r="W149" s="205">
        <f>W130*ACT2FLO!Y62</f>
        <v>0</v>
      </c>
      <c r="X149" s="205">
        <f>X130*ACT2FLO!Z62</f>
        <v>1.49201152283105</v>
      </c>
      <c r="Y149" s="205">
        <f>Y130*ACT2FLO!AA62</f>
        <v>0</v>
      </c>
      <c r="Z149" s="205">
        <f>Z130*ACT2FLO!AB62</f>
        <v>0</v>
      </c>
      <c r="AA149" s="205">
        <f>AA130*ACT2FLO!AC62</f>
        <v>0</v>
      </c>
      <c r="AB149" s="205">
        <f>AB130*ACT2FLO!AD62</f>
        <v>1.49201152283105</v>
      </c>
      <c r="AC149" s="205">
        <f>AC130*ACT2FLO!AE62</f>
        <v>0</v>
      </c>
    </row>
    <row r="150" spans="1:29" s="201" customFormat="1">
      <c r="A150" s="153"/>
      <c r="B150" s="153" t="s">
        <v>558</v>
      </c>
      <c r="C150" s="205">
        <f>C131*ACT2FLO!E63</f>
        <v>1038.4400198904109</v>
      </c>
      <c r="D150" s="205">
        <f>D131*ACT2FLO!F63</f>
        <v>7.4600576141552501</v>
      </c>
      <c r="E150" s="205">
        <f>E131*ACT2FLO!G63</f>
        <v>493.85581405707757</v>
      </c>
      <c r="F150" s="205">
        <f>F131*ACT2FLO!H63</f>
        <v>44.760345684931501</v>
      </c>
      <c r="G150" s="205">
        <f>G131*ACT2FLO!I63</f>
        <v>13.428103705479449</v>
      </c>
      <c r="H150" s="205">
        <f>H131*ACT2FLO!J63</f>
        <v>11.9360921826484</v>
      </c>
      <c r="I150" s="205">
        <f>I131*ACT2FLO!K63</f>
        <v>5.9680460913241999</v>
      </c>
      <c r="J150" s="205">
        <f>J131*ACT2FLO!L63</f>
        <v>32.824253502283099</v>
      </c>
      <c r="K150" s="205">
        <f>K131*ACT2FLO!M63</f>
        <v>53.712414821917797</v>
      </c>
      <c r="L150" s="205">
        <f>L131*ACT2FLO!N63</f>
        <v>8.9520691369862995</v>
      </c>
      <c r="M150" s="205">
        <f>M131*ACT2FLO!O63</f>
        <v>16.41212675114155</v>
      </c>
      <c r="N150" s="205">
        <f>N131*ACT2FLO!P63</f>
        <v>14.9201152283105</v>
      </c>
      <c r="O150" s="205">
        <f>O131*ACT2FLO!Q63</f>
        <v>17.904138273972599</v>
      </c>
      <c r="P150" s="205">
        <f>P131*ACT2FLO!R63</f>
        <v>17.904138273972599</v>
      </c>
      <c r="Q150" s="205">
        <f>Q131*ACT2FLO!S63</f>
        <v>92.5047144155251</v>
      </c>
      <c r="R150" s="205">
        <f>R131*ACT2FLO!T63</f>
        <v>25.364195888127849</v>
      </c>
      <c r="S150" s="205">
        <f>S131*ACT2FLO!U63</f>
        <v>29.840230456621001</v>
      </c>
      <c r="T150" s="205">
        <f>T131*ACT2FLO!V63</f>
        <v>14.9201152283105</v>
      </c>
      <c r="U150" s="205">
        <f>U131*ACT2FLO!W63</f>
        <v>14.9201152283105</v>
      </c>
      <c r="V150" s="205">
        <f>V131*ACT2FLO!X63</f>
        <v>49.236380253424649</v>
      </c>
      <c r="W150" s="205">
        <f>W131*ACT2FLO!Y63</f>
        <v>4.4760345684931497</v>
      </c>
      <c r="X150" s="205">
        <f>X131*ACT2FLO!Z63</f>
        <v>14.9201152283105</v>
      </c>
      <c r="Y150" s="205">
        <f>Y131*ACT2FLO!AA63</f>
        <v>7.4600576141552501</v>
      </c>
      <c r="Z150" s="205">
        <f>Z131*ACT2FLO!AB63</f>
        <v>8.9520691369862995</v>
      </c>
      <c r="AA150" s="205">
        <f>AA131*ACT2FLO!AC63</f>
        <v>10.444080659817351</v>
      </c>
      <c r="AB150" s="205">
        <f>AB131*ACT2FLO!AD63</f>
        <v>20.888161319634701</v>
      </c>
      <c r="AC150" s="205">
        <f>AC131*ACT2FLO!AE63</f>
        <v>4.4760345684931497</v>
      </c>
    </row>
    <row r="151" spans="1:29" s="201" customFormat="1">
      <c r="A151" s="153"/>
      <c r="B151" s="153" t="s">
        <v>559</v>
      </c>
      <c r="C151" s="205">
        <f>C132*ACT2FLO!E64</f>
        <v>82.060633755707755</v>
      </c>
      <c r="D151" s="205">
        <f>D132*ACT2FLO!F64</f>
        <v>0</v>
      </c>
      <c r="E151" s="205">
        <f>E132*ACT2FLO!G64</f>
        <v>64.156495481735149</v>
      </c>
      <c r="F151" s="205">
        <f>F132*ACT2FLO!H64</f>
        <v>2.9840230456621</v>
      </c>
      <c r="G151" s="205">
        <f>G132*ACT2FLO!I64</f>
        <v>0</v>
      </c>
      <c r="H151" s="205">
        <f>H132*ACT2FLO!J64</f>
        <v>1.49201152283105</v>
      </c>
      <c r="I151" s="205">
        <f>I132*ACT2FLO!K64</f>
        <v>0</v>
      </c>
      <c r="J151" s="205">
        <f>J132*ACT2FLO!L64</f>
        <v>1.49201152283105</v>
      </c>
      <c r="K151" s="205">
        <f>K132*ACT2FLO!M64</f>
        <v>2.9840230456621</v>
      </c>
      <c r="L151" s="205">
        <f>L132*ACT2FLO!N64</f>
        <v>0</v>
      </c>
      <c r="M151" s="205">
        <f>M132*ACT2FLO!O64</f>
        <v>0</v>
      </c>
      <c r="N151" s="205">
        <f>N132*ACT2FLO!P64</f>
        <v>0</v>
      </c>
      <c r="O151" s="205">
        <f>O132*ACT2FLO!Q64</f>
        <v>1.49201152283105</v>
      </c>
      <c r="P151" s="205">
        <f>P132*ACT2FLO!R64</f>
        <v>0</v>
      </c>
      <c r="Q151" s="205">
        <f>Q132*ACT2FLO!S64</f>
        <v>2.9840230456621</v>
      </c>
      <c r="R151" s="205">
        <f>R132*ACT2FLO!T64</f>
        <v>0</v>
      </c>
      <c r="S151" s="205">
        <f>S132*ACT2FLO!U64</f>
        <v>2.9840230456621</v>
      </c>
      <c r="T151" s="205">
        <f>T132*ACT2FLO!V64</f>
        <v>0</v>
      </c>
      <c r="U151" s="205">
        <f>U132*ACT2FLO!W64</f>
        <v>0</v>
      </c>
      <c r="V151" s="205">
        <f>V132*ACT2FLO!X64</f>
        <v>1.49201152283105</v>
      </c>
      <c r="W151" s="205">
        <f>W132*ACT2FLO!Y64</f>
        <v>0</v>
      </c>
      <c r="X151" s="205">
        <f>X132*ACT2FLO!Z64</f>
        <v>0</v>
      </c>
      <c r="Y151" s="205">
        <f>Y132*ACT2FLO!AA64</f>
        <v>0</v>
      </c>
      <c r="Z151" s="205">
        <f>Z132*ACT2FLO!AB64</f>
        <v>0</v>
      </c>
      <c r="AA151" s="205">
        <f>AA132*ACT2FLO!AC64</f>
        <v>0</v>
      </c>
      <c r="AB151" s="205">
        <f>AB132*ACT2FLO!AD64</f>
        <v>0</v>
      </c>
      <c r="AC151" s="205">
        <f>AC132*ACT2FLO!AE64</f>
        <v>0</v>
      </c>
    </row>
    <row r="152" spans="1:29" s="201" customFormat="1">
      <c r="A152" s="153"/>
      <c r="B152" s="39" t="s">
        <v>572</v>
      </c>
      <c r="C152" s="205">
        <f>SUM(C149:C151)</f>
        <v>1253.2896791780822</v>
      </c>
      <c r="D152" s="205">
        <f t="shared" ref="D152:AC152" si="84">SUM(D149:D151)</f>
        <v>7.4600576141552501</v>
      </c>
      <c r="E152" s="205">
        <f t="shared" si="84"/>
        <v>641.56495481735158</v>
      </c>
      <c r="F152" s="205">
        <f t="shared" si="84"/>
        <v>52.220403299086747</v>
      </c>
      <c r="G152" s="205">
        <f t="shared" si="84"/>
        <v>13.428103705479449</v>
      </c>
      <c r="H152" s="205">
        <f t="shared" si="84"/>
        <v>13.428103705479449</v>
      </c>
      <c r="I152" s="205">
        <f t="shared" si="84"/>
        <v>5.9680460913241999</v>
      </c>
      <c r="J152" s="205">
        <f t="shared" si="84"/>
        <v>37.300288070776247</v>
      </c>
      <c r="K152" s="205">
        <f t="shared" si="84"/>
        <v>62.664483958904093</v>
      </c>
      <c r="L152" s="205">
        <f t="shared" si="84"/>
        <v>8.9520691369862995</v>
      </c>
      <c r="M152" s="205">
        <f t="shared" si="84"/>
        <v>17.904138273972599</v>
      </c>
      <c r="N152" s="205">
        <f t="shared" si="84"/>
        <v>16.41212675114155</v>
      </c>
      <c r="O152" s="205">
        <f t="shared" si="84"/>
        <v>20.888161319634698</v>
      </c>
      <c r="P152" s="205">
        <f t="shared" si="84"/>
        <v>20.888161319634698</v>
      </c>
      <c r="Q152" s="205">
        <f t="shared" si="84"/>
        <v>104.44080659817349</v>
      </c>
      <c r="R152" s="205">
        <f t="shared" si="84"/>
        <v>26.856207410958898</v>
      </c>
      <c r="S152" s="205">
        <f t="shared" si="84"/>
        <v>40.284311116438346</v>
      </c>
      <c r="T152" s="205">
        <f t="shared" si="84"/>
        <v>14.9201152283105</v>
      </c>
      <c r="U152" s="205">
        <f t="shared" si="84"/>
        <v>16.41212675114155</v>
      </c>
      <c r="V152" s="205">
        <f t="shared" si="84"/>
        <v>56.696437867579895</v>
      </c>
      <c r="W152" s="205">
        <f t="shared" si="84"/>
        <v>4.4760345684931497</v>
      </c>
      <c r="X152" s="205">
        <f t="shared" si="84"/>
        <v>16.41212675114155</v>
      </c>
      <c r="Y152" s="205">
        <f t="shared" si="84"/>
        <v>7.4600576141552501</v>
      </c>
      <c r="Z152" s="205">
        <f t="shared" si="84"/>
        <v>8.9520691369862995</v>
      </c>
      <c r="AA152" s="205">
        <f t="shared" si="84"/>
        <v>10.444080659817351</v>
      </c>
      <c r="AB152" s="205">
        <f t="shared" si="84"/>
        <v>22.38017284246575</v>
      </c>
      <c r="AC152" s="205">
        <f t="shared" si="84"/>
        <v>4.4760345684931497</v>
      </c>
    </row>
    <row r="153" spans="1:29" s="201" customFormat="1" ht="16.2">
      <c r="A153" s="153" t="s">
        <v>546</v>
      </c>
      <c r="B153" s="153" t="s">
        <v>568</v>
      </c>
      <c r="C153" s="144">
        <f>C133*ACT2FLO!E65</f>
        <v>9816.0585474308318</v>
      </c>
      <c r="D153" s="144">
        <f>D133*ACT2FLO!F65</f>
        <v>109</v>
      </c>
      <c r="E153" s="144">
        <f>E133*ACT2FLO!G65</f>
        <v>3542.5</v>
      </c>
      <c r="F153" s="144">
        <f>F133*ACT2FLO!H65</f>
        <v>463.25</v>
      </c>
      <c r="G153" s="144">
        <f>G133*ACT2FLO!I65</f>
        <v>299.75</v>
      </c>
      <c r="H153" s="144">
        <f>H133*ACT2FLO!J65</f>
        <v>136.25</v>
      </c>
      <c r="I153" s="144">
        <f>I133*ACT2FLO!K65</f>
        <v>81.75</v>
      </c>
      <c r="J153" s="144">
        <f>J133*ACT2FLO!L65</f>
        <v>218</v>
      </c>
      <c r="K153" s="144">
        <f>K133*ACT2FLO!M65</f>
        <v>299.75</v>
      </c>
      <c r="L153" s="144">
        <f>L133*ACT2FLO!N65</f>
        <v>190.75</v>
      </c>
      <c r="M153" s="144">
        <f>M133*ACT2FLO!O65</f>
        <v>136.25</v>
      </c>
      <c r="N153" s="144">
        <f>N133*ACT2FLO!P65</f>
        <v>272.5</v>
      </c>
      <c r="O153" s="144">
        <f>O133*ACT2FLO!Q65</f>
        <v>245.25</v>
      </c>
      <c r="P153" s="144">
        <f>P133*ACT2FLO!R65</f>
        <v>190.75</v>
      </c>
      <c r="Q153" s="144">
        <f>Q133*ACT2FLO!S65</f>
        <v>790.25</v>
      </c>
      <c r="R153" s="144">
        <f>R133*ACT2FLO!T65</f>
        <v>490.5</v>
      </c>
      <c r="S153" s="144">
        <f>S133*ACT2FLO!U65</f>
        <v>299.75</v>
      </c>
      <c r="T153" s="144">
        <f>T133*ACT2FLO!V65</f>
        <v>354.25</v>
      </c>
      <c r="U153" s="144">
        <f>U133*ACT2FLO!W65</f>
        <v>163.5</v>
      </c>
      <c r="V153" s="144">
        <f>V133*ACT2FLO!X65</f>
        <v>572.25</v>
      </c>
      <c r="W153" s="144">
        <f>W133*ACT2FLO!Y65</f>
        <v>54.5</v>
      </c>
      <c r="X153" s="144">
        <f>X133*ACT2FLO!Z65</f>
        <v>354.25</v>
      </c>
      <c r="Y153" s="144">
        <f>Y133*ACT2FLO!AA65</f>
        <v>109</v>
      </c>
      <c r="Z153" s="144">
        <f>Z133*ACT2FLO!AB65</f>
        <v>109</v>
      </c>
      <c r="AA153" s="144">
        <f>AA133*ACT2FLO!AC65</f>
        <v>45.560276679842701</v>
      </c>
      <c r="AB153" s="144">
        <f>AB133*ACT2FLO!AD65</f>
        <v>14.998270750988439</v>
      </c>
      <c r="AC153" s="144">
        <f>AC133*ACT2FLO!AE65</f>
        <v>272.5</v>
      </c>
    </row>
    <row r="154" spans="1:29" s="201" customFormat="1" ht="16.2">
      <c r="A154" s="153"/>
      <c r="B154" s="153" t="s">
        <v>569</v>
      </c>
      <c r="C154" s="144">
        <f>SUM(B173:C173)/1000000</f>
        <v>317.18623700000001</v>
      </c>
      <c r="D154" s="144">
        <f>C689*0</f>
        <v>0</v>
      </c>
      <c r="E154" s="144">
        <f>$C$154*1</f>
        <v>317.18623700000001</v>
      </c>
      <c r="F154" s="144">
        <f t="shared" ref="F154:AC154" si="85">E689*0</f>
        <v>0</v>
      </c>
      <c r="G154" s="144">
        <f t="shared" si="85"/>
        <v>0</v>
      </c>
      <c r="H154" s="144">
        <f>G689*0</f>
        <v>0</v>
      </c>
      <c r="I154" s="144">
        <f>H689*0</f>
        <v>0</v>
      </c>
      <c r="J154" s="144">
        <f>I689*0</f>
        <v>0</v>
      </c>
      <c r="K154" s="144">
        <f>J689*0</f>
        <v>0</v>
      </c>
      <c r="L154" s="144">
        <f>K689*0</f>
        <v>0</v>
      </c>
      <c r="M154" s="144">
        <f t="shared" si="85"/>
        <v>0</v>
      </c>
      <c r="N154" s="144">
        <f t="shared" si="85"/>
        <v>0</v>
      </c>
      <c r="O154" s="144">
        <f t="shared" si="85"/>
        <v>0</v>
      </c>
      <c r="P154" s="144">
        <f t="shared" si="85"/>
        <v>0</v>
      </c>
      <c r="Q154" s="144">
        <f t="shared" si="85"/>
        <v>0</v>
      </c>
      <c r="R154" s="144">
        <f t="shared" si="85"/>
        <v>0</v>
      </c>
      <c r="S154" s="144">
        <f t="shared" si="85"/>
        <v>0</v>
      </c>
      <c r="T154" s="144">
        <f t="shared" si="85"/>
        <v>0</v>
      </c>
      <c r="U154" s="144">
        <f t="shared" si="85"/>
        <v>0</v>
      </c>
      <c r="V154" s="144">
        <f t="shared" si="85"/>
        <v>0</v>
      </c>
      <c r="W154" s="144">
        <f t="shared" si="85"/>
        <v>0</v>
      </c>
      <c r="X154" s="144">
        <f t="shared" si="85"/>
        <v>0</v>
      </c>
      <c r="Y154" s="144">
        <f t="shared" si="85"/>
        <v>0</v>
      </c>
      <c r="Z154" s="144">
        <f t="shared" si="85"/>
        <v>0</v>
      </c>
      <c r="AA154" s="144">
        <f t="shared" si="85"/>
        <v>0</v>
      </c>
      <c r="AB154" s="144">
        <f t="shared" si="85"/>
        <v>0</v>
      </c>
      <c r="AC154" s="144">
        <f t="shared" si="85"/>
        <v>0</v>
      </c>
    </row>
    <row r="155" spans="1:29" s="201" customFormat="1" ht="16.2">
      <c r="A155" s="153"/>
      <c r="B155" s="242" t="s">
        <v>586</v>
      </c>
      <c r="C155" s="144">
        <f>K172/1000</f>
        <v>2281.0830000000001</v>
      </c>
      <c r="D155" s="144">
        <f>$C$155*C185</f>
        <v>27.272217367775003</v>
      </c>
      <c r="E155" s="144">
        <f>$C$155*D185</f>
        <v>645.42730837539557</v>
      </c>
      <c r="F155" s="144">
        <f t="shared" ref="F155:AC155" si="86">$C$155*E185</f>
        <v>106.58640928123741</v>
      </c>
      <c r="G155" s="144">
        <f t="shared" si="86"/>
        <v>47.535246853071193</v>
      </c>
      <c r="H155" s="144">
        <f t="shared" si="86"/>
        <v>40.572525019293884</v>
      </c>
      <c r="I155" s="144">
        <f t="shared" si="86"/>
        <v>19.579451634811139</v>
      </c>
      <c r="J155" s="144">
        <f t="shared" si="86"/>
        <v>61.739486812834848</v>
      </c>
      <c r="K155" s="144">
        <f t="shared" si="86"/>
        <v>93.43220621584183</v>
      </c>
      <c r="L155" s="144">
        <f t="shared" si="86"/>
        <v>37.345769307403692</v>
      </c>
      <c r="M155" s="144">
        <f t="shared" si="86"/>
        <v>42.523620033327248</v>
      </c>
      <c r="N155" s="144">
        <f t="shared" si="86"/>
        <v>71.721543749350261</v>
      </c>
      <c r="O155" s="144">
        <f t="shared" si="86"/>
        <v>68.226051405279179</v>
      </c>
      <c r="P155" s="144">
        <f t="shared" si="86"/>
        <v>56.917077407906312</v>
      </c>
      <c r="Q155" s="144">
        <f t="shared" si="86"/>
        <v>260.0508342937062</v>
      </c>
      <c r="R155" s="144">
        <f t="shared" si="86"/>
        <v>70.756295418076704</v>
      </c>
      <c r="S155" s="144">
        <f t="shared" si="86"/>
        <v>93.362746658504534</v>
      </c>
      <c r="T155" s="144">
        <f t="shared" si="86"/>
        <v>76.430901736819465</v>
      </c>
      <c r="U155" s="144">
        <f t="shared" si="86"/>
        <v>55.651955401507564</v>
      </c>
      <c r="V155" s="144">
        <f t="shared" si="86"/>
        <v>123.6178927403443</v>
      </c>
      <c r="W155" s="144">
        <f t="shared" si="86"/>
        <v>15.35008314011421</v>
      </c>
      <c r="X155" s="144">
        <f t="shared" si="86"/>
        <v>62.516954823582736</v>
      </c>
      <c r="Y155" s="144">
        <f t="shared" si="86"/>
        <v>30.918604612268489</v>
      </c>
      <c r="Z155" s="144">
        <f t="shared" si="86"/>
        <v>31.393324759311717</v>
      </c>
      <c r="AA155" s="144">
        <f t="shared" si="86"/>
        <v>36.490698205009984</v>
      </c>
      <c r="AB155" s="144">
        <f t="shared" si="86"/>
        <v>76.257971390621051</v>
      </c>
      <c r="AC155" s="144">
        <f t="shared" si="86"/>
        <v>29.405823356605008</v>
      </c>
    </row>
    <row r="156" spans="1:29" s="201" customFormat="1">
      <c r="A156" s="864" t="s">
        <v>16</v>
      </c>
      <c r="B156" s="864"/>
      <c r="C156" s="142">
        <f>SUM(C142:C155)-C148-C152</f>
        <v>72964.257175651815</v>
      </c>
      <c r="D156" s="142">
        <f t="shared" ref="D156:AC156" si="87">SUM(D142:D155)-D148-D152</f>
        <v>999.84713352637891</v>
      </c>
      <c r="E156" s="142">
        <f t="shared" si="87"/>
        <v>18095.606357739016</v>
      </c>
      <c r="F156" s="142">
        <f t="shared" si="87"/>
        <v>3601.0485563377479</v>
      </c>
      <c r="G156" s="142">
        <f t="shared" si="87"/>
        <v>1711.3924801422427</v>
      </c>
      <c r="H156" s="142">
        <f t="shared" si="87"/>
        <v>1293.2760663168494</v>
      </c>
      <c r="I156" s="142">
        <f t="shared" si="87"/>
        <v>662.87846117025913</v>
      </c>
      <c r="J156" s="142">
        <f t="shared" si="87"/>
        <v>1813.8596531644955</v>
      </c>
      <c r="K156" s="142">
        <f t="shared" si="87"/>
        <v>3091.6913083301361</v>
      </c>
      <c r="L156" s="142">
        <f t="shared" si="87"/>
        <v>1312.506891936242</v>
      </c>
      <c r="M156" s="142">
        <f t="shared" si="87"/>
        <v>1472.6116784673418</v>
      </c>
      <c r="N156" s="142">
        <f t="shared" si="87"/>
        <v>2604.3572589497958</v>
      </c>
      <c r="O156" s="142">
        <f t="shared" si="87"/>
        <v>2235.4511969558516</v>
      </c>
      <c r="P156" s="142">
        <f t="shared" si="87"/>
        <v>2007.0004549945156</v>
      </c>
      <c r="Q156" s="142">
        <f t="shared" si="87"/>
        <v>8210.7700289135973</v>
      </c>
      <c r="R156" s="142">
        <f t="shared" si="87"/>
        <v>2668.7640889020909</v>
      </c>
      <c r="S156" s="142">
        <f t="shared" si="87"/>
        <v>3020.2298721784828</v>
      </c>
      <c r="T156" s="142">
        <f t="shared" si="87"/>
        <v>2891.6541747780157</v>
      </c>
      <c r="U156" s="142">
        <f t="shared" si="87"/>
        <v>1841.1546690978807</v>
      </c>
      <c r="V156" s="142">
        <f t="shared" si="87"/>
        <v>4143.4140222852657</v>
      </c>
      <c r="W156" s="142">
        <f t="shared" si="87"/>
        <v>537.65138668891404</v>
      </c>
      <c r="X156" s="142">
        <f t="shared" si="87"/>
        <v>2281.0037737118651</v>
      </c>
      <c r="Y156" s="142">
        <f t="shared" si="87"/>
        <v>1209.2288030384084</v>
      </c>
      <c r="Z156" s="142">
        <f t="shared" si="87"/>
        <v>1009.4262993692282</v>
      </c>
      <c r="AA156" s="142">
        <f t="shared" si="87"/>
        <v>1096.1603961384094</v>
      </c>
      <c r="AB156" s="142">
        <f t="shared" si="87"/>
        <v>2040.8367304307019</v>
      </c>
      <c r="AC156" s="142">
        <f t="shared" si="87"/>
        <v>1112.4354320880916</v>
      </c>
    </row>
    <row r="157" spans="1:29" s="201" customFormat="1">
      <c r="A157" s="208" t="s">
        <v>562</v>
      </c>
      <c r="B157" s="206"/>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row>
    <row r="158" spans="1:29" s="201" customFormat="1">
      <c r="A158" s="188" t="s">
        <v>567</v>
      </c>
      <c r="B158" s="206"/>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row>
    <row r="159" spans="1:29" s="201" customFormat="1">
      <c r="A159" s="188" t="s">
        <v>585</v>
      </c>
      <c r="B159" s="206"/>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row>
    <row r="160" spans="1:29" s="201" customFormat="1">
      <c r="A160" s="210" t="s">
        <v>570</v>
      </c>
      <c r="B160" s="206"/>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row>
    <row r="161" spans="1:29" s="201" customFormat="1">
      <c r="A161" s="210"/>
      <c r="B161" s="206"/>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row>
    <row r="162" spans="1:29" s="201" customFormat="1">
      <c r="A162" s="188"/>
      <c r="B162" s="206"/>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row>
    <row r="163" spans="1:29" s="116" customFormat="1">
      <c r="A163" s="188"/>
      <c r="B163" s="187"/>
      <c r="C163" s="187"/>
      <c r="D163" s="187"/>
      <c r="E163" s="187"/>
      <c r="F163" s="187"/>
      <c r="G163" s="187"/>
      <c r="H163" s="187"/>
      <c r="I163" s="187"/>
      <c r="J163" s="187"/>
      <c r="K163" s="187"/>
      <c r="L163" s="187"/>
      <c r="M163" s="187"/>
      <c r="Z163" s="187"/>
      <c r="AA163" s="187"/>
      <c r="AB163" s="187"/>
    </row>
    <row r="164" spans="1:29" s="116" customFormat="1" ht="15.6">
      <c r="A164" s="143" t="s">
        <v>324</v>
      </c>
      <c r="B164" s="143"/>
      <c r="C164" s="143"/>
      <c r="D164" s="187"/>
      <c r="E164" s="187"/>
      <c r="F164" s="187"/>
      <c r="G164" s="143" t="s">
        <v>561</v>
      </c>
      <c r="H164" s="120"/>
      <c r="I164" s="120"/>
      <c r="J164" s="120"/>
      <c r="K164" s="183" t="s">
        <v>25</v>
      </c>
      <c r="Z164" s="187"/>
      <c r="AA164" s="187"/>
      <c r="AB164" s="187"/>
    </row>
    <row r="165" spans="1:29" s="116" customFormat="1">
      <c r="A165" s="218"/>
      <c r="B165" s="244" t="s">
        <v>29</v>
      </c>
      <c r="C165" s="245" t="s">
        <v>30</v>
      </c>
      <c r="D165" s="187"/>
      <c r="E165" s="187"/>
      <c r="F165" s="187"/>
      <c r="G165" s="219"/>
      <c r="H165" s="219">
        <v>2015</v>
      </c>
      <c r="I165" s="219">
        <v>2016</v>
      </c>
      <c r="J165" s="219">
        <v>2017</v>
      </c>
      <c r="K165" s="219">
        <v>2018</v>
      </c>
      <c r="M165" s="20"/>
      <c r="Z165" s="187"/>
      <c r="AA165" s="187"/>
      <c r="AB165" s="187"/>
    </row>
    <row r="166" spans="1:29" s="116" customFormat="1">
      <c r="A166" s="111" t="s">
        <v>538</v>
      </c>
      <c r="B166" s="220" t="s">
        <v>537</v>
      </c>
      <c r="C166" s="221" t="s">
        <v>536</v>
      </c>
      <c r="D166" s="187"/>
      <c r="E166" s="187"/>
      <c r="F166" s="187"/>
      <c r="G166" s="222" t="s">
        <v>21</v>
      </c>
      <c r="H166" s="216"/>
      <c r="I166" s="216"/>
      <c r="J166" s="216"/>
      <c r="K166" s="216"/>
      <c r="Z166" s="187"/>
      <c r="AA166" s="187"/>
      <c r="AB166" s="187"/>
    </row>
    <row r="167" spans="1:29" s="116" customFormat="1">
      <c r="A167" s="111" t="s">
        <v>535</v>
      </c>
      <c r="B167" s="221" t="s">
        <v>534</v>
      </c>
      <c r="C167" s="221" t="s">
        <v>533</v>
      </c>
      <c r="D167" s="187"/>
      <c r="E167" s="187"/>
      <c r="F167" s="187"/>
      <c r="G167" s="223" t="s">
        <v>37</v>
      </c>
      <c r="H167" s="224">
        <v>10490</v>
      </c>
      <c r="I167" s="224">
        <v>10771.652254326058</v>
      </c>
      <c r="J167" s="224">
        <v>11557.033844917567</v>
      </c>
      <c r="K167" s="224">
        <v>12438</v>
      </c>
      <c r="Z167" s="187"/>
      <c r="AA167" s="187"/>
      <c r="AB167" s="187"/>
    </row>
    <row r="168" spans="1:29" s="116" customFormat="1">
      <c r="A168" s="111" t="s">
        <v>31</v>
      </c>
      <c r="B168" s="221">
        <v>40</v>
      </c>
      <c r="C168" s="221">
        <v>33</v>
      </c>
      <c r="D168" s="187"/>
      <c r="E168" s="187"/>
      <c r="F168" s="187"/>
      <c r="G168" s="223" t="s">
        <v>38</v>
      </c>
      <c r="H168" s="224">
        <v>10962</v>
      </c>
      <c r="I168" s="224">
        <v>11953.521212477279</v>
      </c>
      <c r="J168" s="224">
        <v>12695.598551411398</v>
      </c>
      <c r="K168" s="224">
        <v>13299</v>
      </c>
      <c r="Z168" s="187"/>
      <c r="AA168" s="187"/>
      <c r="AB168" s="187"/>
    </row>
    <row r="169" spans="1:29" s="116" customFormat="1">
      <c r="A169" s="111" t="s">
        <v>532</v>
      </c>
      <c r="B169" s="221" t="s">
        <v>531</v>
      </c>
      <c r="C169" s="221" t="s">
        <v>530</v>
      </c>
      <c r="D169" s="187"/>
      <c r="E169" s="187"/>
      <c r="F169" s="187"/>
      <c r="G169" s="223" t="s">
        <v>39</v>
      </c>
      <c r="H169" s="224">
        <v>17150</v>
      </c>
      <c r="I169" s="224">
        <v>18986.617545944344</v>
      </c>
      <c r="J169" s="224">
        <v>20077.245353236714</v>
      </c>
      <c r="K169" s="224">
        <v>20934</v>
      </c>
      <c r="Z169" s="187"/>
      <c r="AA169" s="187"/>
      <c r="AB169" s="187"/>
    </row>
    <row r="170" spans="1:29" s="116" customFormat="1">
      <c r="A170" s="111" t="s">
        <v>32</v>
      </c>
      <c r="B170" s="221">
        <v>262</v>
      </c>
      <c r="C170" s="221" t="s">
        <v>529</v>
      </c>
      <c r="D170" s="187"/>
      <c r="E170" s="187"/>
      <c r="F170" s="187"/>
      <c r="G170" s="223" t="s">
        <v>40</v>
      </c>
      <c r="H170" s="224">
        <v>1058</v>
      </c>
      <c r="I170" s="224">
        <v>1102.8053175033033</v>
      </c>
      <c r="J170" s="224">
        <v>1175.0163992303337</v>
      </c>
      <c r="K170" s="224">
        <v>1290</v>
      </c>
      <c r="Z170" s="187"/>
      <c r="AA170" s="187"/>
      <c r="AB170" s="187"/>
    </row>
    <row r="171" spans="1:29" s="116" customFormat="1">
      <c r="A171" s="111" t="s">
        <v>33</v>
      </c>
      <c r="B171" s="225">
        <v>21837268</v>
      </c>
      <c r="C171" s="225">
        <v>19999700</v>
      </c>
      <c r="D171" s="187"/>
      <c r="E171" s="187"/>
      <c r="F171" s="187"/>
      <c r="G171" s="222" t="s">
        <v>1</v>
      </c>
      <c r="H171" s="224">
        <v>39660</v>
      </c>
      <c r="I171" s="224">
        <v>42815</v>
      </c>
      <c r="J171" s="224">
        <v>45505</v>
      </c>
      <c r="K171" s="224">
        <v>47960</v>
      </c>
      <c r="Z171" s="187"/>
      <c r="AA171" s="187"/>
      <c r="AB171" s="187"/>
    </row>
    <row r="172" spans="1:29" s="116" customFormat="1">
      <c r="A172" s="111" t="s">
        <v>26</v>
      </c>
      <c r="B172" s="225">
        <v>2119703</v>
      </c>
      <c r="C172" s="225">
        <v>1945776</v>
      </c>
      <c r="D172" s="187"/>
      <c r="E172" s="187"/>
      <c r="F172" s="187"/>
      <c r="G172" s="222" t="s">
        <v>34</v>
      </c>
      <c r="H172" s="224">
        <v>1916722</v>
      </c>
      <c r="I172" s="224">
        <v>1989798</v>
      </c>
      <c r="J172" s="224">
        <v>2120987</v>
      </c>
      <c r="K172" s="224">
        <v>2281083</v>
      </c>
      <c r="Z172" s="187"/>
      <c r="AA172" s="187"/>
      <c r="AB172" s="187"/>
    </row>
    <row r="173" spans="1:29" s="116" customFormat="1">
      <c r="A173" s="111" t="s">
        <v>34</v>
      </c>
      <c r="B173" s="226">
        <v>112040329</v>
      </c>
      <c r="C173" s="227">
        <v>205145908</v>
      </c>
      <c r="D173" s="187"/>
      <c r="E173" s="187"/>
      <c r="F173" s="187"/>
      <c r="G173" s="228" t="s">
        <v>41</v>
      </c>
      <c r="H173" s="224">
        <v>540</v>
      </c>
      <c r="I173" s="224">
        <v>581</v>
      </c>
      <c r="J173" s="224">
        <v>546</v>
      </c>
      <c r="K173" s="224">
        <v>516</v>
      </c>
      <c r="Z173" s="187"/>
      <c r="AA173" s="187"/>
      <c r="AB173" s="187"/>
    </row>
    <row r="174" spans="1:29" s="116" customFormat="1">
      <c r="A174" s="111" t="s">
        <v>583</v>
      </c>
      <c r="B174" s="229">
        <f>B173/(B173+C173)</f>
        <v>0.35323200041620972</v>
      </c>
      <c r="C174" s="230">
        <f>C173/(B173+C173)</f>
        <v>0.64676799958379028</v>
      </c>
      <c r="D174" s="187"/>
      <c r="E174" s="187"/>
      <c r="F174" s="187"/>
      <c r="G174" s="231" t="s">
        <v>42</v>
      </c>
      <c r="H174" s="232">
        <v>96406</v>
      </c>
      <c r="I174" s="232">
        <v>101480</v>
      </c>
      <c r="J174" s="232">
        <v>100399</v>
      </c>
      <c r="K174" s="232">
        <v>88551</v>
      </c>
      <c r="Z174" s="187"/>
      <c r="AA174" s="187"/>
      <c r="AB174" s="187"/>
    </row>
    <row r="175" spans="1:29" s="116" customFormat="1">
      <c r="A175" s="111" t="s">
        <v>110</v>
      </c>
      <c r="B175" s="233">
        <v>4.45</v>
      </c>
      <c r="C175" s="234">
        <v>8.1</v>
      </c>
      <c r="D175" s="350"/>
      <c r="E175" s="187"/>
      <c r="F175" s="187"/>
      <c r="G175" s="235" t="s">
        <v>777</v>
      </c>
      <c r="H175" s="235"/>
      <c r="I175" s="236"/>
      <c r="J175" s="236"/>
      <c r="Z175" s="187"/>
      <c r="AA175" s="187"/>
      <c r="AB175" s="187"/>
    </row>
    <row r="176" spans="1:29" s="116" customFormat="1">
      <c r="A176" s="111" t="s">
        <v>35</v>
      </c>
      <c r="B176" s="221">
        <v>7</v>
      </c>
      <c r="C176" s="221">
        <v>7</v>
      </c>
      <c r="D176" s="187"/>
      <c r="E176" s="187"/>
      <c r="F176" s="187"/>
      <c r="G176" s="866"/>
      <c r="H176" s="866"/>
      <c r="I176" s="237"/>
      <c r="J176" s="237"/>
      <c r="Z176" s="187"/>
      <c r="AA176" s="187"/>
      <c r="AB176" s="187"/>
    </row>
    <row r="177" spans="1:30" s="116" customFormat="1">
      <c r="A177" s="238" t="s">
        <v>36</v>
      </c>
      <c r="B177" s="239">
        <v>0.97050000000000003</v>
      </c>
      <c r="C177" s="239">
        <v>0.97640000000000005</v>
      </c>
      <c r="D177" s="187"/>
      <c r="E177" s="187"/>
      <c r="F177" s="187"/>
      <c r="G177" s="866"/>
      <c r="H177" s="866"/>
      <c r="I177" s="237"/>
      <c r="J177" s="237"/>
      <c r="Z177" s="187"/>
      <c r="AA177" s="187"/>
      <c r="AB177" s="187"/>
    </row>
    <row r="178" spans="1:30" s="116" customFormat="1">
      <c r="A178" s="240" t="s">
        <v>584</v>
      </c>
      <c r="B178" s="240"/>
      <c r="C178" s="240"/>
      <c r="D178" s="187"/>
      <c r="E178" s="187"/>
      <c r="F178" s="187"/>
      <c r="G178" s="228"/>
      <c r="H178" s="241"/>
      <c r="I178" s="241"/>
      <c r="J178" s="241"/>
      <c r="K178" s="241"/>
      <c r="Z178" s="187"/>
      <c r="AA178" s="187"/>
      <c r="AB178" s="187"/>
    </row>
    <row r="179" spans="1:30" s="116" customFormat="1">
      <c r="A179" s="240"/>
      <c r="B179" s="240"/>
      <c r="C179" s="240"/>
      <c r="D179" s="187"/>
      <c r="E179" s="187"/>
      <c r="F179" s="187"/>
      <c r="G179" s="228"/>
      <c r="H179" s="241"/>
      <c r="I179" s="241"/>
      <c r="J179" s="241"/>
      <c r="K179" s="241"/>
      <c r="Z179" s="187"/>
      <c r="AA179" s="187"/>
      <c r="AB179" s="187"/>
    </row>
    <row r="180" spans="1:30" s="116" customFormat="1">
      <c r="A180" s="217"/>
      <c r="B180" s="28"/>
      <c r="C180" s="28"/>
      <c r="D180" s="187"/>
      <c r="E180" s="187"/>
      <c r="F180" s="187"/>
      <c r="Z180" s="187"/>
      <c r="AA180" s="187"/>
      <c r="AB180" s="187"/>
    </row>
    <row r="181" spans="1:30" s="133" customFormat="1">
      <c r="AC181" s="201"/>
      <c r="AD181" s="201"/>
    </row>
    <row r="182" spans="1:30" ht="15.6">
      <c r="A182" s="143" t="s">
        <v>419</v>
      </c>
      <c r="B182" s="133"/>
      <c r="C182" s="133"/>
      <c r="AC182" s="201"/>
      <c r="AD182" s="201"/>
    </row>
    <row r="183" spans="1:30">
      <c r="A183" s="113"/>
      <c r="B183" s="113" t="str">
        <f>Regions!C3</f>
        <v>IE</v>
      </c>
      <c r="C183" s="113" t="str">
        <f>Regions!E3</f>
        <v>IE-CW</v>
      </c>
      <c r="D183" s="113" t="str">
        <f>Regions!F3</f>
        <v>IE-D</v>
      </c>
      <c r="E183" s="113" t="str">
        <f>Regions!G3</f>
        <v>IE-KE</v>
      </c>
      <c r="F183" s="113" t="str">
        <f>Regions!H3</f>
        <v>IE-KK</v>
      </c>
      <c r="G183" s="113" t="str">
        <f>Regions!I3</f>
        <v>IE-LS</v>
      </c>
      <c r="H183" s="113" t="str">
        <f>Regions!J3</f>
        <v>IE-LD</v>
      </c>
      <c r="I183" s="113" t="str">
        <f>Regions!K3</f>
        <v>IE-LH</v>
      </c>
      <c r="J183" s="113" t="str">
        <f>Regions!L3</f>
        <v>IE-MH</v>
      </c>
      <c r="K183" s="113" t="str">
        <f>Regions!M3</f>
        <v>IE-OY</v>
      </c>
      <c r="L183" s="113" t="str">
        <f>Regions!N3</f>
        <v>IE-WH</v>
      </c>
      <c r="M183" s="113" t="str">
        <f>Regions!O3</f>
        <v>IE-WX</v>
      </c>
      <c r="N183" s="113" t="str">
        <f>Regions!P3</f>
        <v>IE-WW</v>
      </c>
      <c r="O183" s="113" t="str">
        <f>Regions!Q3</f>
        <v>IE-CE</v>
      </c>
      <c r="P183" s="113" t="str">
        <f>Regions!R3</f>
        <v>IE-CO</v>
      </c>
      <c r="Q183" s="113" t="str">
        <f>Regions!S3</f>
        <v>IE-KY</v>
      </c>
      <c r="R183" s="113" t="str">
        <f>Regions!T3</f>
        <v>IE-LK</v>
      </c>
      <c r="S183" s="113" t="str">
        <f>Regions!U3</f>
        <v>IE-TA</v>
      </c>
      <c r="T183" s="113" t="str">
        <f>Regions!V3</f>
        <v>IE-WD</v>
      </c>
      <c r="U183" s="113" t="str">
        <f>Regions!W3</f>
        <v>IE-G</v>
      </c>
      <c r="V183" s="113" t="str">
        <f>Regions!X3</f>
        <v>IE-LM</v>
      </c>
      <c r="W183" s="113" t="str">
        <f>Regions!Y3</f>
        <v>IE-MO</v>
      </c>
      <c r="X183" s="113" t="str">
        <f>Regions!Z3</f>
        <v>IE-RN</v>
      </c>
      <c r="Y183" s="113" t="str">
        <f>Regions!AA3</f>
        <v>IE-SO</v>
      </c>
      <c r="Z183" s="113" t="str">
        <f>Regions!AB3</f>
        <v>IE-CN</v>
      </c>
      <c r="AA183" s="113" t="str">
        <f>Regions!AC3</f>
        <v>IE-DL</v>
      </c>
      <c r="AB183" s="113" t="str">
        <f>Regions!AD3</f>
        <v>IE-MN</v>
      </c>
      <c r="AC183" s="201" t="s">
        <v>387</v>
      </c>
      <c r="AD183" s="201"/>
    </row>
    <row r="184" spans="1:30">
      <c r="A184" s="148" t="s">
        <v>385</v>
      </c>
      <c r="B184" s="138">
        <f>SUM(C184:AB184)</f>
        <v>4857000.0000000037</v>
      </c>
      <c r="C184" s="138">
        <v>58069.41691963128</v>
      </c>
      <c r="D184" s="138">
        <v>1374277.23444491</v>
      </c>
      <c r="E184" s="138">
        <v>226949.29990665423</v>
      </c>
      <c r="F184" s="138">
        <v>101214.50818114332</v>
      </c>
      <c r="G184" s="138">
        <v>86389.120439155668</v>
      </c>
      <c r="H184" s="138">
        <v>41689.581918009018</v>
      </c>
      <c r="I184" s="138">
        <v>131458.91116190821</v>
      </c>
      <c r="J184" s="138">
        <v>198940.68983476012</v>
      </c>
      <c r="K184" s="138">
        <v>79518.545149851998</v>
      </c>
      <c r="L184" s="138">
        <v>90543.492938166033</v>
      </c>
      <c r="M184" s="138">
        <v>152713.2234954162</v>
      </c>
      <c r="N184" s="138">
        <v>145270.44025817615</v>
      </c>
      <c r="O184" s="138">
        <v>121190.78743307506</v>
      </c>
      <c r="P184" s="138">
        <v>553713.69746937393</v>
      </c>
      <c r="Q184" s="138">
        <v>150657.96678402266</v>
      </c>
      <c r="R184" s="138">
        <v>198792.79294982113</v>
      </c>
      <c r="S184" s="138">
        <v>162740.63229427967</v>
      </c>
      <c r="T184" s="138">
        <v>118497.02417015182</v>
      </c>
      <c r="U184" s="138">
        <v>263213.61609369441</v>
      </c>
      <c r="V184" s="138">
        <v>32684.191592999803</v>
      </c>
      <c r="W184" s="138">
        <v>133114.33629470808</v>
      </c>
      <c r="X184" s="138">
        <v>65833.493389669806</v>
      </c>
      <c r="Y184" s="138">
        <v>66844.292099839033</v>
      </c>
      <c r="Z184" s="138">
        <v>77697.883497327202</v>
      </c>
      <c r="AA184" s="138">
        <v>162372.42004970741</v>
      </c>
      <c r="AB184" s="138">
        <v>62612.401233550299</v>
      </c>
      <c r="AC184" s="201">
        <f>SUM(C184:AB184)</f>
        <v>4857000.0000000037</v>
      </c>
      <c r="AD184" s="201"/>
    </row>
    <row r="185" spans="1:30">
      <c r="A185" s="139" t="s">
        <v>388</v>
      </c>
      <c r="B185" s="209">
        <f>SUM(C185:AB185)</f>
        <v>0.99999999999999956</v>
      </c>
      <c r="C185" s="139">
        <f t="shared" ref="C185:AB185" si="88">C184/$AC$184</f>
        <v>1.1955819831095581E-2</v>
      </c>
      <c r="D185" s="139">
        <f t="shared" si="88"/>
        <v>0.28294775261373462</v>
      </c>
      <c r="E185" s="139">
        <f t="shared" si="88"/>
        <v>4.6726230164021831E-2</v>
      </c>
      <c r="F185" s="139">
        <f t="shared" si="88"/>
        <v>2.0838894004764925E-2</v>
      </c>
      <c r="G185" s="139">
        <f t="shared" si="88"/>
        <v>1.7786518517429607E-2</v>
      </c>
      <c r="H185" s="139">
        <f t="shared" si="88"/>
        <v>8.5834016714039507E-3</v>
      </c>
      <c r="I185" s="139">
        <f t="shared" si="88"/>
        <v>2.7065865999981082E-2</v>
      </c>
      <c r="J185" s="139">
        <f t="shared" si="88"/>
        <v>4.0959582012509772E-2</v>
      </c>
      <c r="K185" s="139">
        <f t="shared" si="88"/>
        <v>1.6371946705754981E-2</v>
      </c>
      <c r="L185" s="139">
        <f t="shared" si="88"/>
        <v>1.8641855659494742E-2</v>
      </c>
      <c r="M185" s="139">
        <f t="shared" si="88"/>
        <v>3.1441882539719183E-2</v>
      </c>
      <c r="N185" s="139">
        <f t="shared" si="88"/>
        <v>2.9909499744322842E-2</v>
      </c>
      <c r="O185" s="139">
        <f t="shared" si="88"/>
        <v>2.4951778347349182E-2</v>
      </c>
      <c r="P185" s="139">
        <f t="shared" si="88"/>
        <v>0.11400323192698651</v>
      </c>
      <c r="Q185" s="139">
        <f t="shared" si="88"/>
        <v>3.1018729006387184E-2</v>
      </c>
      <c r="R185" s="139">
        <f t="shared" si="88"/>
        <v>4.0929131758250151E-2</v>
      </c>
      <c r="S185" s="139">
        <f t="shared" si="88"/>
        <v>3.350640977852163E-2</v>
      </c>
      <c r="T185" s="139">
        <f t="shared" si="88"/>
        <v>2.4397163716317012E-2</v>
      </c>
      <c r="U185" s="139">
        <f t="shared" si="88"/>
        <v>5.4192632508481407E-2</v>
      </c>
      <c r="V185" s="139">
        <f t="shared" si="88"/>
        <v>6.7292961896231783E-3</v>
      </c>
      <c r="W185" s="139">
        <f t="shared" si="88"/>
        <v>2.7406698845935346E-2</v>
      </c>
      <c r="X185" s="139">
        <f t="shared" si="88"/>
        <v>1.3554353178849033E-2</v>
      </c>
      <c r="Y185" s="139">
        <f t="shared" si="88"/>
        <v>1.3762464916582043E-2</v>
      </c>
      <c r="Z185" s="139">
        <f t="shared" si="88"/>
        <v>1.5997093575731345E-2</v>
      </c>
      <c r="AA185" s="139">
        <f t="shared" si="88"/>
        <v>3.3430599145502837E-2</v>
      </c>
      <c r="AB185" s="139">
        <f t="shared" si="88"/>
        <v>1.2891167641249795E-2</v>
      </c>
      <c r="AC185" s="201">
        <f>SUM(C185:AB185)</f>
        <v>0.99999999999999956</v>
      </c>
      <c r="AD185" s="201"/>
    </row>
    <row r="186" spans="1:30" s="133" customFormat="1">
      <c r="A186" s="116" t="s">
        <v>389</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144"/>
      <c r="AC186" s="201"/>
      <c r="AD186" s="201"/>
    </row>
    <row r="187" spans="1:30" s="201" customFormat="1">
      <c r="A187" s="116"/>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144"/>
    </row>
    <row r="188" spans="1:30" s="133" customFormat="1">
      <c r="A188" s="116"/>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144"/>
      <c r="AC188" s="201"/>
      <c r="AD188" s="201"/>
    </row>
    <row r="189" spans="1:30" s="133"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144"/>
      <c r="AC189" s="201"/>
      <c r="AD189" s="201"/>
    </row>
    <row r="190" spans="1:30" s="133" customFormat="1" ht="15.6">
      <c r="A190" s="143" t="s">
        <v>406</v>
      </c>
      <c r="B190" s="143"/>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144"/>
      <c r="AC190" s="201"/>
      <c r="AD190" s="201"/>
    </row>
    <row r="191" spans="1:30" s="133" customFormat="1">
      <c r="A191" s="115" t="s">
        <v>403</v>
      </c>
      <c r="B191" s="113" t="s">
        <v>350</v>
      </c>
      <c r="C191" s="113" t="s">
        <v>347</v>
      </c>
      <c r="D191" s="113" t="s">
        <v>393</v>
      </c>
      <c r="E191" s="113" t="s">
        <v>394</v>
      </c>
      <c r="F191" s="113" t="s">
        <v>24</v>
      </c>
      <c r="G191" s="113" t="s">
        <v>395</v>
      </c>
      <c r="H191" s="113" t="s">
        <v>13</v>
      </c>
      <c r="I191" s="113" t="s">
        <v>1</v>
      </c>
      <c r="K191" s="151" t="s">
        <v>429</v>
      </c>
      <c r="L191" s="34"/>
      <c r="M191" s="150" t="s">
        <v>428</v>
      </c>
      <c r="O191" s="34"/>
      <c r="P191" s="34"/>
      <c r="Q191" s="34"/>
      <c r="R191" s="34"/>
      <c r="S191" s="34"/>
      <c r="T191" s="34"/>
      <c r="U191" s="34"/>
      <c r="V191" s="34"/>
      <c r="W191" s="34"/>
      <c r="X191" s="34"/>
      <c r="Y191" s="34"/>
      <c r="Z191" s="34"/>
      <c r="AA191" s="34"/>
      <c r="AB191" s="144"/>
    </row>
    <row r="192" spans="1:30" s="133" customFormat="1">
      <c r="A192" s="133" t="s">
        <v>386</v>
      </c>
      <c r="B192" s="121">
        <v>0.71</v>
      </c>
      <c r="C192" s="121">
        <v>0.18</v>
      </c>
      <c r="D192" s="121">
        <v>0.05</v>
      </c>
      <c r="E192" s="121">
        <v>0.03</v>
      </c>
      <c r="F192" s="121">
        <v>0.01</v>
      </c>
      <c r="G192" s="121">
        <v>1.7999999999999999E-2</v>
      </c>
      <c r="H192" s="121">
        <v>4.0000000000000001E-3</v>
      </c>
      <c r="I192" s="5">
        <f t="shared" ref="I192:I198" si="89">SUM(B192:H192)</f>
        <v>1.002</v>
      </c>
      <c r="K192" s="33">
        <f>SUM(K194:K198)</f>
        <v>1</v>
      </c>
      <c r="L192" s="34"/>
      <c r="M192" s="34" t="s">
        <v>405</v>
      </c>
      <c r="O192" s="34"/>
      <c r="P192" s="34"/>
      <c r="Q192" s="34"/>
      <c r="R192" s="34"/>
      <c r="S192" s="34"/>
      <c r="T192" s="34"/>
      <c r="U192" s="34"/>
      <c r="V192" s="34"/>
      <c r="W192" s="34"/>
      <c r="X192" s="34"/>
      <c r="Y192" s="34"/>
      <c r="Z192" s="34"/>
      <c r="AA192" s="34"/>
      <c r="AB192" s="144"/>
    </row>
    <row r="193" spans="1:33" s="133" customFormat="1">
      <c r="A193" s="133" t="s">
        <v>390</v>
      </c>
      <c r="B193" s="5">
        <v>0.42</v>
      </c>
      <c r="C193" s="5">
        <v>0.28999999999999998</v>
      </c>
      <c r="D193" s="5">
        <v>0.16</v>
      </c>
      <c r="E193" s="5">
        <v>0.09</v>
      </c>
      <c r="F193" s="5">
        <v>0.02</v>
      </c>
      <c r="G193" s="5">
        <v>0.01</v>
      </c>
      <c r="H193" s="5">
        <v>6.0000000000000001E-3</v>
      </c>
      <c r="I193" s="5">
        <f t="shared" si="89"/>
        <v>0.996</v>
      </c>
      <c r="K193" s="130">
        <f>SUM(D206:G206)/$B$205</f>
        <v>0.27670776050980028</v>
      </c>
      <c r="L193" s="34"/>
      <c r="M193" s="133" t="s">
        <v>397</v>
      </c>
      <c r="O193" s="34"/>
      <c r="P193" s="34"/>
      <c r="Q193" s="34"/>
      <c r="R193" s="34"/>
      <c r="S193" s="34"/>
      <c r="T193" s="34"/>
      <c r="U193" s="34"/>
      <c r="V193" s="34"/>
      <c r="W193" s="34"/>
      <c r="X193" s="34"/>
      <c r="Y193" s="34"/>
      <c r="Z193" s="34"/>
      <c r="AA193" s="34"/>
      <c r="AB193" s="144"/>
    </row>
    <row r="194" spans="1:33" s="133" customFormat="1">
      <c r="A194" s="133" t="s">
        <v>396</v>
      </c>
      <c r="B194" s="5">
        <v>0.63</v>
      </c>
      <c r="C194" s="5">
        <v>0.2</v>
      </c>
      <c r="D194" s="5">
        <v>0.09</v>
      </c>
      <c r="E194" s="5">
        <v>0.05</v>
      </c>
      <c r="F194" s="5">
        <v>0.02</v>
      </c>
      <c r="G194" s="5">
        <v>8.9999999999999993E-3</v>
      </c>
      <c r="H194" s="5">
        <v>1E-3</v>
      </c>
      <c r="I194" s="5">
        <f t="shared" si="89"/>
        <v>1</v>
      </c>
      <c r="K194" s="130">
        <f>(D206+E206+F206+G206+H206+M206+Q206)/B205</f>
        <v>0.35174369705987046</v>
      </c>
      <c r="L194" s="34"/>
      <c r="M194" s="133" t="s">
        <v>398</v>
      </c>
      <c r="O194" s="34"/>
      <c r="P194" s="34"/>
      <c r="Q194" s="34"/>
      <c r="R194" s="34"/>
      <c r="S194" s="34"/>
      <c r="T194" s="34"/>
      <c r="U194" s="34"/>
      <c r="V194" s="34"/>
      <c r="W194" s="34"/>
      <c r="X194" s="34"/>
      <c r="Y194" s="34"/>
      <c r="Z194" s="34"/>
      <c r="AA194" s="34"/>
      <c r="AB194" s="144"/>
    </row>
    <row r="195" spans="1:33" s="133" customFormat="1">
      <c r="A195" s="133" t="s">
        <v>391</v>
      </c>
      <c r="B195" s="5">
        <v>0.62</v>
      </c>
      <c r="C195" s="5">
        <v>0.27</v>
      </c>
      <c r="D195" s="5">
        <v>0.05</v>
      </c>
      <c r="E195" s="5">
        <v>0.05</v>
      </c>
      <c r="F195" s="5">
        <v>0</v>
      </c>
      <c r="G195" s="5">
        <v>8.9999999999999993E-3</v>
      </c>
      <c r="H195" s="5">
        <v>1E-3</v>
      </c>
      <c r="I195" s="146">
        <f t="shared" si="89"/>
        <v>1</v>
      </c>
      <c r="K195" s="130">
        <f>(S206+V206+X206+Y206)/$B$205</f>
        <v>7.9993447945290341E-2</v>
      </c>
      <c r="L195" s="34"/>
      <c r="M195" s="133" t="s">
        <v>399</v>
      </c>
      <c r="O195" s="34"/>
      <c r="P195" s="34"/>
      <c r="Q195" s="34"/>
      <c r="R195" s="34"/>
      <c r="S195" s="34"/>
      <c r="T195" s="34"/>
      <c r="U195" s="34"/>
      <c r="V195" s="34"/>
      <c r="W195" s="34"/>
      <c r="X195" s="34"/>
      <c r="Y195" s="34"/>
      <c r="Z195" s="34"/>
      <c r="AA195" s="34"/>
      <c r="AB195" s="144"/>
    </row>
    <row r="196" spans="1:33" s="133" customFormat="1">
      <c r="A196" s="133" t="s">
        <v>392</v>
      </c>
      <c r="B196" s="5">
        <v>0.76</v>
      </c>
      <c r="C196" s="5">
        <v>0.18</v>
      </c>
      <c r="D196" s="5">
        <v>0.03</v>
      </c>
      <c r="E196" s="5">
        <v>0.01</v>
      </c>
      <c r="F196" s="5">
        <v>0</v>
      </c>
      <c r="G196" s="5">
        <v>0.01</v>
      </c>
      <c r="H196" s="5">
        <v>0.01</v>
      </c>
      <c r="I196" s="146">
        <f t="shared" si="89"/>
        <v>1</v>
      </c>
      <c r="K196" s="130">
        <f>(C206+I206+J206+K206+L206+N206+O206+P206+R206+T206+U206+W206+Z206+AA206+AB206+AC206+AD206+AE206+AF206+AG206)/B205</f>
        <v>0.19528210060554005</v>
      </c>
      <c r="L196" s="34"/>
      <c r="M196" s="133" t="s">
        <v>407</v>
      </c>
      <c r="O196" s="34"/>
      <c r="P196" s="34"/>
      <c r="Q196" s="34"/>
      <c r="R196" s="34"/>
      <c r="S196" s="34"/>
      <c r="T196" s="34"/>
      <c r="U196" s="34"/>
      <c r="V196" s="34"/>
      <c r="W196" s="34"/>
      <c r="X196" s="34"/>
      <c r="Y196" s="34"/>
      <c r="Z196" s="34"/>
      <c r="AA196" s="34"/>
      <c r="AB196" s="144"/>
    </row>
    <row r="197" spans="1:33" s="133" customFormat="1">
      <c r="A197" s="133" t="s">
        <v>402</v>
      </c>
      <c r="B197" s="5">
        <v>0.64</v>
      </c>
      <c r="C197" s="5">
        <v>0.28999999999999998</v>
      </c>
      <c r="D197" s="5">
        <v>0.03</v>
      </c>
      <c r="E197" s="5">
        <v>0.02</v>
      </c>
      <c r="F197" s="5">
        <v>0</v>
      </c>
      <c r="G197" s="5">
        <v>0.01</v>
      </c>
      <c r="H197" s="5">
        <v>0.01</v>
      </c>
      <c r="I197" s="146">
        <f t="shared" si="89"/>
        <v>1</v>
      </c>
      <c r="K197" s="133">
        <v>0</v>
      </c>
      <c r="L197" s="34"/>
      <c r="M197" s="133" t="s">
        <v>400</v>
      </c>
      <c r="O197" s="34"/>
      <c r="P197" s="34"/>
      <c r="Q197" s="34"/>
      <c r="R197" s="34"/>
      <c r="S197" s="34"/>
      <c r="T197" s="34"/>
      <c r="U197" s="34"/>
      <c r="V197" s="34"/>
      <c r="W197" s="34"/>
      <c r="X197" s="34"/>
      <c r="Y197" s="34"/>
      <c r="Z197" s="34"/>
      <c r="AA197" s="34"/>
      <c r="AB197" s="144"/>
    </row>
    <row r="198" spans="1:33" s="133" customFormat="1">
      <c r="A198" s="134" t="s">
        <v>111</v>
      </c>
      <c r="B198" s="145">
        <v>0.81</v>
      </c>
      <c r="C198" s="145">
        <v>0.11</v>
      </c>
      <c r="D198" s="145">
        <v>0.04</v>
      </c>
      <c r="E198" s="145">
        <v>0.01</v>
      </c>
      <c r="F198" s="145">
        <v>0</v>
      </c>
      <c r="G198" s="145">
        <v>0.02</v>
      </c>
      <c r="H198" s="145">
        <v>0.01</v>
      </c>
      <c r="I198" s="147">
        <f t="shared" si="89"/>
        <v>1</v>
      </c>
      <c r="K198" s="130">
        <f>B207/B205</f>
        <v>0.37298075438929917</v>
      </c>
      <c r="L198" s="34"/>
      <c r="M198" s="133" t="s">
        <v>401</v>
      </c>
      <c r="O198" s="34"/>
      <c r="P198" s="34"/>
      <c r="Q198" s="34"/>
      <c r="R198" s="34"/>
      <c r="S198" s="34"/>
      <c r="T198" s="34"/>
      <c r="U198" s="34"/>
      <c r="V198" s="34"/>
      <c r="W198" s="34"/>
      <c r="X198" s="34"/>
      <c r="Y198" s="34"/>
      <c r="Z198" s="34"/>
      <c r="AA198" s="34"/>
      <c r="AB198" s="144"/>
    </row>
    <row r="199" spans="1:33" s="133" customFormat="1">
      <c r="A199" s="133" t="s">
        <v>404</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144"/>
    </row>
    <row r="200" spans="1:33" s="133"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144"/>
    </row>
    <row r="201" spans="1:33" s="201"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144"/>
    </row>
    <row r="202" spans="1:33" s="133"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144"/>
    </row>
    <row r="203" spans="1:33" s="133" customFormat="1" ht="15.6">
      <c r="A203" s="143" t="s">
        <v>420</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144"/>
      <c r="AB203" s="144"/>
      <c r="AC203" s="144"/>
      <c r="AD203" s="144"/>
    </row>
    <row r="204" spans="1:33">
      <c r="A204" s="115"/>
      <c r="B204" s="115" t="s">
        <v>386</v>
      </c>
      <c r="C204" s="115" t="s">
        <v>359</v>
      </c>
      <c r="D204" s="115" t="s">
        <v>408</v>
      </c>
      <c r="E204" s="115" t="s">
        <v>409</v>
      </c>
      <c r="F204" s="115" t="s">
        <v>410</v>
      </c>
      <c r="G204" s="115" t="s">
        <v>411</v>
      </c>
      <c r="H204" s="115" t="s">
        <v>361</v>
      </c>
      <c r="I204" s="115" t="s">
        <v>362</v>
      </c>
      <c r="J204" s="115" t="s">
        <v>363</v>
      </c>
      <c r="K204" s="115" t="s">
        <v>364</v>
      </c>
      <c r="L204" s="115" t="s">
        <v>365</v>
      </c>
      <c r="M204" s="115" t="s">
        <v>366</v>
      </c>
      <c r="N204" s="115" t="s">
        <v>367</v>
      </c>
      <c r="O204" s="115" t="s">
        <v>368</v>
      </c>
      <c r="P204" s="115" t="s">
        <v>369</v>
      </c>
      <c r="Q204" s="115" t="s">
        <v>370</v>
      </c>
      <c r="R204" s="115" t="s">
        <v>371</v>
      </c>
      <c r="S204" s="115" t="s">
        <v>412</v>
      </c>
      <c r="T204" s="115" t="s">
        <v>413</v>
      </c>
      <c r="U204" s="115" t="s">
        <v>373</v>
      </c>
      <c r="V204" s="115" t="s">
        <v>414</v>
      </c>
      <c r="W204" s="115" t="s">
        <v>375</v>
      </c>
      <c r="X204" s="115" t="s">
        <v>415</v>
      </c>
      <c r="Y204" s="115" t="s">
        <v>416</v>
      </c>
      <c r="Z204" s="115" t="s">
        <v>417</v>
      </c>
      <c r="AA204" s="115" t="s">
        <v>378</v>
      </c>
      <c r="AB204" s="115" t="s">
        <v>379</v>
      </c>
      <c r="AC204" s="115" t="s">
        <v>380</v>
      </c>
      <c r="AD204" s="115" t="s">
        <v>381</v>
      </c>
      <c r="AE204" s="115" t="s">
        <v>382</v>
      </c>
      <c r="AF204" s="115" t="s">
        <v>383</v>
      </c>
      <c r="AG204" s="115" t="s">
        <v>384</v>
      </c>
    </row>
    <row r="205" spans="1:33">
      <c r="A205" s="133" t="s">
        <v>418</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133" t="s">
        <v>421</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133" customFormat="1">
      <c r="A207" s="133" t="s">
        <v>422</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133" customFormat="1">
      <c r="A208" s="133" t="s">
        <v>423</v>
      </c>
      <c r="B208" s="137">
        <f>B206/B205</f>
        <v>0.62701924561070088</v>
      </c>
      <c r="C208" s="137">
        <f t="shared" ref="C208:AG208" si="90">C206/C205</f>
        <v>0.49188505585610903</v>
      </c>
      <c r="D208" s="137">
        <f t="shared" si="90"/>
        <v>1</v>
      </c>
      <c r="E208" s="137">
        <f t="shared" si="90"/>
        <v>0.98823491638305094</v>
      </c>
      <c r="F208" s="137">
        <f t="shared" si="90"/>
        <v>0.92704209175055741</v>
      </c>
      <c r="G208" s="137">
        <f t="shared" si="90"/>
        <v>0.98008372583555448</v>
      </c>
      <c r="H208" s="137">
        <f>H206/H205</f>
        <v>0.67566425772120953</v>
      </c>
      <c r="I208" s="137">
        <f t="shared" si="90"/>
        <v>0.38735488552079972</v>
      </c>
      <c r="J208" s="137">
        <f t="shared" si="90"/>
        <v>0.48383059612501034</v>
      </c>
      <c r="K208" s="137">
        <f t="shared" si="90"/>
        <v>0.34147236562033617</v>
      </c>
      <c r="L208" s="137">
        <f t="shared" si="90"/>
        <v>0.66124577139132867</v>
      </c>
      <c r="M208" s="137">
        <f t="shared" si="90"/>
        <v>0.58643177949590863</v>
      </c>
      <c r="N208" s="137">
        <f t="shared" si="90"/>
        <v>0.42868870332602199</v>
      </c>
      <c r="O208" s="137">
        <f t="shared" si="90"/>
        <v>0.48929818632420863</v>
      </c>
      <c r="P208" s="137">
        <f t="shared" si="90"/>
        <v>0.38573489533936228</v>
      </c>
      <c r="Q208" s="137">
        <f t="shared" si="90"/>
        <v>0.65011760575741617</v>
      </c>
      <c r="R208" s="137">
        <f t="shared" si="90"/>
        <v>0.39265424981273722</v>
      </c>
      <c r="S208" s="137">
        <f t="shared" si="90"/>
        <v>1</v>
      </c>
      <c r="T208" s="137">
        <f t="shared" si="90"/>
        <v>0.51531479275474523</v>
      </c>
      <c r="U208" s="137">
        <f t="shared" si="90"/>
        <v>0.35290135200092076</v>
      </c>
      <c r="V208" s="137">
        <f t="shared" si="90"/>
        <v>0.53898172899809649</v>
      </c>
      <c r="W208" s="137">
        <f t="shared" si="90"/>
        <v>0.41518492287829123</v>
      </c>
      <c r="X208" s="137">
        <f t="shared" si="90"/>
        <v>0.6158414818895469</v>
      </c>
      <c r="Y208" s="137">
        <f t="shared" si="90"/>
        <v>1</v>
      </c>
      <c r="Z208" s="137">
        <f t="shared" si="90"/>
        <v>0.22249289258041138</v>
      </c>
      <c r="AA208" s="137">
        <f t="shared" si="90"/>
        <v>0.10679066283859692</v>
      </c>
      <c r="AB208" s="137">
        <f t="shared" si="90"/>
        <v>0.28562452588750031</v>
      </c>
      <c r="AC208" s="137">
        <f t="shared" si="90"/>
        <v>0.26803420922161625</v>
      </c>
      <c r="AD208" s="137">
        <f t="shared" si="90"/>
        <v>0.39821469443808649</v>
      </c>
      <c r="AE208" s="137">
        <f t="shared" si="90"/>
        <v>0.3053192606595253</v>
      </c>
      <c r="AF208" s="137">
        <f t="shared" si="90"/>
        <v>0.27271470928187347</v>
      </c>
      <c r="AG208" s="137">
        <f t="shared" si="90"/>
        <v>0.29317759749780081</v>
      </c>
    </row>
    <row r="209" spans="1:33" s="133" customFormat="1">
      <c r="A209" s="133" t="s">
        <v>424</v>
      </c>
      <c r="B209" s="137">
        <f>B207/B205</f>
        <v>0.37298075438929917</v>
      </c>
      <c r="C209" s="137">
        <f t="shared" ref="C209:AG209" si="91">C207/C205</f>
        <v>0.50811494414389091</v>
      </c>
      <c r="D209" s="137">
        <f t="shared" si="91"/>
        <v>0</v>
      </c>
      <c r="E209" s="137">
        <f t="shared" si="91"/>
        <v>1.1765083616949059E-2</v>
      </c>
      <c r="F209" s="137">
        <f t="shared" si="91"/>
        <v>7.2957908249442607E-2</v>
      </c>
      <c r="G209" s="137">
        <f t="shared" si="91"/>
        <v>1.9916274164445576E-2</v>
      </c>
      <c r="H209" s="137">
        <f t="shared" si="91"/>
        <v>0.32433574227879047</v>
      </c>
      <c r="I209" s="137">
        <f t="shared" si="91"/>
        <v>0.61264511447920023</v>
      </c>
      <c r="J209" s="137">
        <f t="shared" si="91"/>
        <v>0.51616940387498966</v>
      </c>
      <c r="K209" s="137">
        <f t="shared" si="91"/>
        <v>0.65852763437966388</v>
      </c>
      <c r="L209" s="137">
        <f t="shared" si="91"/>
        <v>0.33875422860867138</v>
      </c>
      <c r="M209" s="137">
        <f t="shared" si="91"/>
        <v>0.41356822050409137</v>
      </c>
      <c r="N209" s="137">
        <f t="shared" si="91"/>
        <v>0.57131129667397806</v>
      </c>
      <c r="O209" s="137">
        <f t="shared" si="91"/>
        <v>0.51070181367579137</v>
      </c>
      <c r="P209" s="137">
        <f t="shared" si="91"/>
        <v>0.61426510466063766</v>
      </c>
      <c r="Q209" s="137">
        <f t="shared" si="91"/>
        <v>0.34988239424258383</v>
      </c>
      <c r="R209" s="137">
        <f t="shared" si="91"/>
        <v>0.60734575018726278</v>
      </c>
      <c r="S209" s="137">
        <f t="shared" si="91"/>
        <v>0</v>
      </c>
      <c r="T209" s="137">
        <f t="shared" si="91"/>
        <v>0.48468520724525482</v>
      </c>
      <c r="U209" s="137">
        <f t="shared" si="91"/>
        <v>0.64709864799907924</v>
      </c>
      <c r="V209" s="137">
        <f t="shared" si="91"/>
        <v>0.46101827100190357</v>
      </c>
      <c r="W209" s="137">
        <f t="shared" si="91"/>
        <v>0.58481507712170877</v>
      </c>
      <c r="X209" s="137">
        <f t="shared" si="91"/>
        <v>0.3841585181104531</v>
      </c>
      <c r="Y209" s="137">
        <f t="shared" si="91"/>
        <v>0</v>
      </c>
      <c r="Z209" s="137">
        <f t="shared" si="91"/>
        <v>0.77750710741958862</v>
      </c>
      <c r="AA209" s="137">
        <f t="shared" si="91"/>
        <v>0.89320933716140305</v>
      </c>
      <c r="AB209" s="137">
        <f t="shared" si="91"/>
        <v>0.71437547411249969</v>
      </c>
      <c r="AC209" s="137">
        <f t="shared" si="91"/>
        <v>0.73196579077838375</v>
      </c>
      <c r="AD209" s="137">
        <f t="shared" si="91"/>
        <v>0.60178530556191345</v>
      </c>
      <c r="AE209" s="137">
        <f t="shared" si="91"/>
        <v>0.6946807393404747</v>
      </c>
      <c r="AF209" s="137">
        <f t="shared" si="91"/>
        <v>0.72728529071812653</v>
      </c>
      <c r="AG209" s="137">
        <f t="shared" si="91"/>
        <v>0.70682240250219919</v>
      </c>
    </row>
    <row r="210" spans="1:33" s="133" customFormat="1">
      <c r="A210" s="134" t="s">
        <v>16</v>
      </c>
      <c r="B210" s="149">
        <f>SUM(B208:B209)</f>
        <v>1</v>
      </c>
      <c r="C210" s="149">
        <f t="shared" ref="C210:AG210" si="92">SUM(C208:C209)</f>
        <v>1</v>
      </c>
      <c r="D210" s="149">
        <f t="shared" si="92"/>
        <v>1</v>
      </c>
      <c r="E210" s="149">
        <f t="shared" si="92"/>
        <v>1</v>
      </c>
      <c r="F210" s="149">
        <f t="shared" si="92"/>
        <v>1</v>
      </c>
      <c r="G210" s="149">
        <f t="shared" si="92"/>
        <v>1</v>
      </c>
      <c r="H210" s="149">
        <f t="shared" si="92"/>
        <v>1</v>
      </c>
      <c r="I210" s="149">
        <f t="shared" si="92"/>
        <v>1</v>
      </c>
      <c r="J210" s="149">
        <f t="shared" si="92"/>
        <v>1</v>
      </c>
      <c r="K210" s="149">
        <f t="shared" si="92"/>
        <v>1</v>
      </c>
      <c r="L210" s="149">
        <f t="shared" si="92"/>
        <v>1</v>
      </c>
      <c r="M210" s="149">
        <f t="shared" si="92"/>
        <v>1</v>
      </c>
      <c r="N210" s="149">
        <f t="shared" si="92"/>
        <v>1</v>
      </c>
      <c r="O210" s="149">
        <f t="shared" si="92"/>
        <v>1</v>
      </c>
      <c r="P210" s="149">
        <f t="shared" si="92"/>
        <v>1</v>
      </c>
      <c r="Q210" s="149">
        <f t="shared" si="92"/>
        <v>1</v>
      </c>
      <c r="R210" s="149">
        <f t="shared" si="92"/>
        <v>1</v>
      </c>
      <c r="S210" s="149">
        <f t="shared" si="92"/>
        <v>1</v>
      </c>
      <c r="T210" s="149">
        <f t="shared" si="92"/>
        <v>1</v>
      </c>
      <c r="U210" s="149">
        <f t="shared" si="92"/>
        <v>1</v>
      </c>
      <c r="V210" s="149">
        <f t="shared" si="92"/>
        <v>1</v>
      </c>
      <c r="W210" s="149">
        <f t="shared" si="92"/>
        <v>1</v>
      </c>
      <c r="X210" s="149">
        <f t="shared" si="92"/>
        <v>1</v>
      </c>
      <c r="Y210" s="149">
        <f t="shared" si="92"/>
        <v>1</v>
      </c>
      <c r="Z210" s="149">
        <f t="shared" si="92"/>
        <v>1</v>
      </c>
      <c r="AA210" s="149">
        <f t="shared" si="92"/>
        <v>1</v>
      </c>
      <c r="AB210" s="149">
        <f t="shared" si="92"/>
        <v>1</v>
      </c>
      <c r="AC210" s="149">
        <f t="shared" si="92"/>
        <v>1</v>
      </c>
      <c r="AD210" s="149">
        <f t="shared" si="92"/>
        <v>1</v>
      </c>
      <c r="AE210" s="149">
        <f t="shared" si="92"/>
        <v>1</v>
      </c>
      <c r="AF210" s="149">
        <f t="shared" si="92"/>
        <v>1</v>
      </c>
      <c r="AG210" s="149">
        <f t="shared" si="92"/>
        <v>1</v>
      </c>
    </row>
    <row r="211" spans="1:33">
      <c r="A211" s="116" t="s">
        <v>425</v>
      </c>
    </row>
    <row r="212" spans="1:33" s="133" customFormat="1">
      <c r="A212" s="116"/>
    </row>
    <row r="213" spans="1:33" s="201" customFormat="1">
      <c r="A213" s="116"/>
    </row>
    <row r="214" spans="1:33" s="133" customFormat="1">
      <c r="A214" s="116"/>
    </row>
    <row r="215" spans="1:33" s="133" customFormat="1" ht="15.6">
      <c r="A215" s="143" t="s">
        <v>426</v>
      </c>
      <c r="B215" s="143"/>
      <c r="C215" s="143"/>
    </row>
    <row r="216" spans="1:33" s="133" customFormat="1">
      <c r="A216" s="115" t="s">
        <v>403</v>
      </c>
      <c r="B216" s="115" t="str">
        <f>Regions!C3</f>
        <v>IE</v>
      </c>
      <c r="C216" s="115" t="str">
        <f>Regions!E3</f>
        <v>IE-CW</v>
      </c>
      <c r="D216" s="115" t="str">
        <f>Regions!F3</f>
        <v>IE-D</v>
      </c>
      <c r="E216" s="115" t="str">
        <f>Regions!G3</f>
        <v>IE-KE</v>
      </c>
      <c r="F216" s="115" t="str">
        <f>Regions!H3</f>
        <v>IE-KK</v>
      </c>
      <c r="G216" s="115" t="str">
        <f>Regions!I3</f>
        <v>IE-LS</v>
      </c>
      <c r="H216" s="115" t="str">
        <f>Regions!J3</f>
        <v>IE-LD</v>
      </c>
      <c r="I216" s="115" t="str">
        <f>Regions!K3</f>
        <v>IE-LH</v>
      </c>
      <c r="J216" s="115" t="str">
        <f>Regions!L3</f>
        <v>IE-MH</v>
      </c>
      <c r="K216" s="115" t="str">
        <f>Regions!M3</f>
        <v>IE-OY</v>
      </c>
      <c r="L216" s="115" t="str">
        <f>Regions!N3</f>
        <v>IE-WH</v>
      </c>
      <c r="M216" s="115" t="str">
        <f>Regions!O3</f>
        <v>IE-WX</v>
      </c>
      <c r="N216" s="115" t="str">
        <f>Regions!P3</f>
        <v>IE-WW</v>
      </c>
      <c r="O216" s="115" t="str">
        <f>Regions!Q3</f>
        <v>IE-CE</v>
      </c>
      <c r="P216" s="115" t="str">
        <f>Regions!R3</f>
        <v>IE-CO</v>
      </c>
      <c r="Q216" s="115" t="str">
        <f>Regions!S3</f>
        <v>IE-KY</v>
      </c>
      <c r="R216" s="115" t="str">
        <f>Regions!T3</f>
        <v>IE-LK</v>
      </c>
      <c r="S216" s="115" t="str">
        <f>Regions!U3</f>
        <v>IE-TA</v>
      </c>
      <c r="T216" s="115" t="str">
        <f>Regions!V3</f>
        <v>IE-WD</v>
      </c>
      <c r="U216" s="115" t="str">
        <f>Regions!W3</f>
        <v>IE-G</v>
      </c>
      <c r="V216" s="115" t="str">
        <f>Regions!X3</f>
        <v>IE-LM</v>
      </c>
      <c r="W216" s="115" t="str">
        <f>Regions!Y3</f>
        <v>IE-MO</v>
      </c>
      <c r="X216" s="115" t="str">
        <f>Regions!Z3</f>
        <v>IE-RN</v>
      </c>
      <c r="Y216" s="115" t="str">
        <f>Regions!AA3</f>
        <v>IE-SO</v>
      </c>
      <c r="Z216" s="115" t="str">
        <f>Regions!AB3</f>
        <v>IE-CN</v>
      </c>
      <c r="AA216" s="115" t="str">
        <f>Regions!AC3</f>
        <v>IE-DL</v>
      </c>
      <c r="AB216" s="115" t="str">
        <f>Regions!AD3</f>
        <v>IE-MN</v>
      </c>
    </row>
    <row r="217" spans="1:33" s="133" customFormat="1">
      <c r="A217" s="116" t="s">
        <v>112</v>
      </c>
      <c r="B217" s="121">
        <f>B206/B205</f>
        <v>0.62701924561070088</v>
      </c>
      <c r="C217" s="121">
        <f>C206/C205</f>
        <v>0.49188505585610903</v>
      </c>
      <c r="D217" s="121">
        <f>SUM(D206:G206)/SUM(D205:G205)</f>
        <v>0.97794648642269799</v>
      </c>
      <c r="E217" s="121">
        <f>H206/H205</f>
        <v>0.67566425772120953</v>
      </c>
      <c r="F217" s="121">
        <f>I206/I205</f>
        <v>0.38735488552079972</v>
      </c>
      <c r="G217" s="121">
        <f t="shared" ref="G217:O217" si="93">J206/J205</f>
        <v>0.48383059612501034</v>
      </c>
      <c r="H217" s="121">
        <f t="shared" si="93"/>
        <v>0.34147236562033617</v>
      </c>
      <c r="I217" s="121">
        <f>L206/L205</f>
        <v>0.66124577139132867</v>
      </c>
      <c r="J217" s="121">
        <f>M206/M205</f>
        <v>0.58643177949590863</v>
      </c>
      <c r="K217" s="121">
        <f>N206/N205</f>
        <v>0.42868870332602199</v>
      </c>
      <c r="L217" s="121">
        <f>O206/O205</f>
        <v>0.48929818632420863</v>
      </c>
      <c r="M217" s="121">
        <f t="shared" si="93"/>
        <v>0.38573489533936228</v>
      </c>
      <c r="N217" s="121">
        <f t="shared" si="93"/>
        <v>0.65011760575741617</v>
      </c>
      <c r="O217" s="121">
        <f t="shared" si="93"/>
        <v>0.39265424981273722</v>
      </c>
      <c r="P217" s="121">
        <f>SUM(S206:T206)/SUM(S205:T205)</f>
        <v>0.62750429201942282</v>
      </c>
      <c r="Q217" s="121">
        <f>U206/U205</f>
        <v>0.35290135200092076</v>
      </c>
      <c r="R217" s="121">
        <f>V206/V205</f>
        <v>0.53898172899809649</v>
      </c>
      <c r="S217" s="121">
        <f>W206/W205</f>
        <v>0.41518492287829123</v>
      </c>
      <c r="T217" s="121">
        <f>X206/X205</f>
        <v>0.6158414818895469</v>
      </c>
      <c r="U217" s="121">
        <f>SUM(Y206:Z206)/SUM(Y205:Z205)</f>
        <v>0.45951297770268701</v>
      </c>
      <c r="V217" s="121">
        <f>AA206/AA205</f>
        <v>0.10679066283859692</v>
      </c>
      <c r="W217" s="121">
        <f t="shared" ref="W217:AB217" si="94">AB206/AB205</f>
        <v>0.28562452588750031</v>
      </c>
      <c r="X217" s="121">
        <f t="shared" si="94"/>
        <v>0.26803420922161625</v>
      </c>
      <c r="Y217" s="121">
        <f t="shared" si="94"/>
        <v>0.39821469443808649</v>
      </c>
      <c r="Z217" s="121">
        <f t="shared" si="94"/>
        <v>0.3053192606595253</v>
      </c>
      <c r="AA217" s="121">
        <f t="shared" si="94"/>
        <v>0.27271470928187347</v>
      </c>
      <c r="AB217" s="121">
        <f t="shared" si="94"/>
        <v>0.29317759749780081</v>
      </c>
    </row>
    <row r="218" spans="1:33" s="133" customFormat="1">
      <c r="A218" s="116" t="s">
        <v>111</v>
      </c>
      <c r="B218" s="121">
        <f>B207/B205</f>
        <v>0.37298075438929917</v>
      </c>
      <c r="C218" s="121">
        <f>C207/C205</f>
        <v>0.50811494414389091</v>
      </c>
      <c r="D218" s="121">
        <f>SUM(D207:G207)/SUM(D205:G205)</f>
        <v>2.2053513577301967E-2</v>
      </c>
      <c r="E218" s="121">
        <f>H207/H205</f>
        <v>0.32433574227879047</v>
      </c>
      <c r="F218" s="121">
        <f>I207/I205</f>
        <v>0.61264511447920023</v>
      </c>
      <c r="G218" s="121">
        <f t="shared" ref="G218:O218" si="95">J207/J205</f>
        <v>0.51616940387498966</v>
      </c>
      <c r="H218" s="121">
        <f t="shared" si="95"/>
        <v>0.65852763437966388</v>
      </c>
      <c r="I218" s="121">
        <f>L207/L205</f>
        <v>0.33875422860867138</v>
      </c>
      <c r="J218" s="121">
        <f>M207/M205</f>
        <v>0.41356822050409137</v>
      </c>
      <c r="K218" s="121">
        <f>N207/N205</f>
        <v>0.57131129667397806</v>
      </c>
      <c r="L218" s="121">
        <f t="shared" si="95"/>
        <v>0.51070181367579137</v>
      </c>
      <c r="M218" s="121">
        <f t="shared" si="95"/>
        <v>0.61426510466063766</v>
      </c>
      <c r="N218" s="121">
        <f t="shared" si="95"/>
        <v>0.34988239424258383</v>
      </c>
      <c r="O218" s="121">
        <f t="shared" si="95"/>
        <v>0.60734575018726278</v>
      </c>
      <c r="P218" s="121">
        <f>SUM(S207:T207)/SUM(S205:T205)</f>
        <v>0.37249570798057724</v>
      </c>
      <c r="Q218" s="121">
        <f>U207/U205</f>
        <v>0.64709864799907924</v>
      </c>
      <c r="R218" s="121">
        <f>V207/V205</f>
        <v>0.46101827100190357</v>
      </c>
      <c r="S218" s="121">
        <f>W207/W205</f>
        <v>0.58481507712170877</v>
      </c>
      <c r="T218" s="121">
        <f>X207/X205</f>
        <v>0.3841585181104531</v>
      </c>
      <c r="U218" s="121">
        <f>SUM(Y207:Z207)/SUM(Y205:Z205)</f>
        <v>0.54048702229731305</v>
      </c>
      <c r="V218" s="121">
        <f>AA207/AA205</f>
        <v>0.89320933716140305</v>
      </c>
      <c r="W218" s="121">
        <f t="shared" ref="W218:AB218" si="96">AB207/AB205</f>
        <v>0.71437547411249969</v>
      </c>
      <c r="X218" s="121">
        <f t="shared" si="96"/>
        <v>0.73196579077838375</v>
      </c>
      <c r="Y218" s="121">
        <f>AD207/AD205</f>
        <v>0.60178530556191345</v>
      </c>
      <c r="Z218" s="121">
        <f t="shared" si="96"/>
        <v>0.6946807393404747</v>
      </c>
      <c r="AA218" s="121">
        <f t="shared" si="96"/>
        <v>0.72728529071812653</v>
      </c>
      <c r="AB218" s="121">
        <f t="shared" si="96"/>
        <v>0.70682240250219919</v>
      </c>
    </row>
    <row r="219" spans="1:33" s="133" customFormat="1">
      <c r="A219" s="119" t="s">
        <v>16</v>
      </c>
      <c r="B219" s="145">
        <f>SUM(B217:B218)</f>
        <v>1</v>
      </c>
      <c r="C219" s="147">
        <f>SUM(C217:C218)</f>
        <v>1</v>
      </c>
      <c r="D219" s="147">
        <f>SUM(D217:D218)</f>
        <v>1</v>
      </c>
      <c r="E219" s="147">
        <f>SUM(E217:E218)</f>
        <v>1</v>
      </c>
      <c r="F219" s="147">
        <f t="shared" ref="F219:Q219" si="97">SUM(F217:F218)</f>
        <v>1</v>
      </c>
      <c r="G219" s="147">
        <f t="shared" si="97"/>
        <v>1</v>
      </c>
      <c r="H219" s="147">
        <f t="shared" si="97"/>
        <v>1</v>
      </c>
      <c r="I219" s="147">
        <f t="shared" si="97"/>
        <v>1</v>
      </c>
      <c r="J219" s="147">
        <f t="shared" si="97"/>
        <v>1</v>
      </c>
      <c r="K219" s="147">
        <f t="shared" si="97"/>
        <v>1</v>
      </c>
      <c r="L219" s="147">
        <f t="shared" si="97"/>
        <v>1</v>
      </c>
      <c r="M219" s="147">
        <f t="shared" si="97"/>
        <v>1</v>
      </c>
      <c r="N219" s="147">
        <f t="shared" si="97"/>
        <v>1</v>
      </c>
      <c r="O219" s="147">
        <f t="shared" si="97"/>
        <v>1</v>
      </c>
      <c r="P219" s="147">
        <f t="shared" si="97"/>
        <v>1</v>
      </c>
      <c r="Q219" s="147">
        <f t="shared" si="97"/>
        <v>1</v>
      </c>
      <c r="R219" s="147">
        <f t="shared" ref="R219" si="98">SUM(R217:R218)</f>
        <v>1</v>
      </c>
      <c r="S219" s="147">
        <f t="shared" ref="S219" si="99">SUM(S217:S218)</f>
        <v>1</v>
      </c>
      <c r="T219" s="147">
        <f t="shared" ref="T219" si="100">SUM(T217:T218)</f>
        <v>1</v>
      </c>
      <c r="U219" s="147">
        <f t="shared" ref="U219" si="101">SUM(U217:U218)</f>
        <v>1</v>
      </c>
      <c r="V219" s="147">
        <f t="shared" ref="V219" si="102">SUM(V217:V218)</f>
        <v>1</v>
      </c>
      <c r="W219" s="147">
        <f t="shared" ref="W219" si="103">SUM(W217:W218)</f>
        <v>1</v>
      </c>
      <c r="X219" s="147">
        <f t="shared" ref="X219" si="104">SUM(X217:X218)</f>
        <v>1</v>
      </c>
      <c r="Y219" s="147">
        <f t="shared" ref="Y219" si="105">SUM(Y217:Y218)</f>
        <v>1</v>
      </c>
      <c r="Z219" s="147">
        <f t="shared" ref="Z219" si="106">SUM(Z217:Z218)</f>
        <v>1</v>
      </c>
      <c r="AA219" s="147">
        <f t="shared" ref="AA219" si="107">SUM(AA217:AA218)</f>
        <v>1</v>
      </c>
      <c r="AB219" s="147">
        <f t="shared" ref="AB219" si="108">SUM(AB217:AB218)</f>
        <v>1</v>
      </c>
    </row>
    <row r="220" spans="1:33" s="133" customFormat="1">
      <c r="A220" s="116" t="s">
        <v>427</v>
      </c>
    </row>
    <row r="221" spans="1:33" s="133" customFormat="1">
      <c r="A221" s="116"/>
    </row>
    <row r="222" spans="1:33" s="133" customFormat="1"/>
    <row r="223" spans="1:33" s="133" customFormat="1">
      <c r="C223" s="201"/>
      <c r="AD223" s="6"/>
    </row>
    <row r="224" spans="1:33" s="133" customFormat="1">
      <c r="A224" s="133" t="s">
        <v>436</v>
      </c>
      <c r="C224" s="201"/>
      <c r="AD224" s="6"/>
    </row>
    <row r="225" spans="1:30" s="133" customFormat="1">
      <c r="A225" s="115" t="s">
        <v>435</v>
      </c>
      <c r="B225" s="115" t="s">
        <v>434</v>
      </c>
      <c r="C225" s="201"/>
      <c r="AD225" s="6"/>
    </row>
    <row r="226" spans="1:30" s="133" customFormat="1">
      <c r="A226" s="133" t="s">
        <v>437</v>
      </c>
      <c r="B226" s="133" t="s">
        <v>356</v>
      </c>
      <c r="C226" s="201"/>
      <c r="AD226" s="6"/>
    </row>
    <row r="227" spans="1:30" s="133" customFormat="1">
      <c r="A227" s="133" t="s">
        <v>438</v>
      </c>
      <c r="B227" s="133" t="s">
        <v>357</v>
      </c>
      <c r="C227" s="201"/>
      <c r="AD227" s="6"/>
    </row>
    <row r="228" spans="1:30" s="133" customFormat="1">
      <c r="A228" s="134" t="s">
        <v>439</v>
      </c>
      <c r="B228" s="134" t="s">
        <v>358</v>
      </c>
      <c r="C228" s="201"/>
      <c r="AD228" s="6"/>
    </row>
    <row r="229" spans="1:30" s="133" customFormat="1">
      <c r="A229" s="116" t="s">
        <v>451</v>
      </c>
      <c r="B229" s="2"/>
      <c r="C229" s="201"/>
      <c r="AD229" s="6"/>
    </row>
    <row r="230" spans="1:30" s="133" customFormat="1">
      <c r="A230" s="21" t="s">
        <v>452</v>
      </c>
      <c r="B230" s="2"/>
      <c r="AD230" s="6"/>
    </row>
    <row r="231" spans="1:30" s="133" customFormat="1">
      <c r="A231" s="21" t="s">
        <v>450</v>
      </c>
      <c r="B231" s="2"/>
      <c r="AD231" s="6"/>
    </row>
    <row r="232" spans="1:30" s="133" customFormat="1">
      <c r="A232" s="21" t="s">
        <v>453</v>
      </c>
      <c r="B232" s="2"/>
      <c r="AD232" s="6"/>
    </row>
    <row r="233" spans="1:30" s="133" customFormat="1">
      <c r="A233" s="21" t="s">
        <v>449</v>
      </c>
      <c r="B233" s="2"/>
      <c r="AD233" s="6"/>
    </row>
    <row r="234" spans="1:30" s="133" customFormat="1">
      <c r="A234" s="21" t="s">
        <v>528</v>
      </c>
      <c r="B234" s="2"/>
      <c r="AD234" s="6"/>
    </row>
    <row r="236" spans="1:30" s="133" customFormat="1">
      <c r="A236" s="2"/>
      <c r="B236" s="2"/>
      <c r="AD236" s="6"/>
    </row>
    <row r="238" spans="1:30" ht="15.6">
      <c r="A238" s="143" t="s">
        <v>430</v>
      </c>
      <c r="B238" s="143"/>
      <c r="C238" s="34"/>
      <c r="D238" s="34"/>
      <c r="G238" s="143" t="s">
        <v>406</v>
      </c>
      <c r="H238" s="143"/>
      <c r="I238" s="34"/>
      <c r="J238" s="34"/>
      <c r="K238" s="34"/>
      <c r="L238" s="34"/>
      <c r="M238" s="34"/>
      <c r="N238" s="34"/>
      <c r="O238" s="34"/>
    </row>
    <row r="239" spans="1:30">
      <c r="A239" s="115" t="s">
        <v>403</v>
      </c>
      <c r="B239" s="113" t="s">
        <v>431</v>
      </c>
      <c r="C239" s="113" t="s">
        <v>432</v>
      </c>
      <c r="D239" s="113" t="s">
        <v>433</v>
      </c>
      <c r="E239" s="113" t="s">
        <v>16</v>
      </c>
      <c r="G239" s="115" t="s">
        <v>403</v>
      </c>
      <c r="H239" s="113" t="s">
        <v>350</v>
      </c>
      <c r="I239" s="113" t="s">
        <v>347</v>
      </c>
      <c r="J239" s="113" t="s">
        <v>393</v>
      </c>
      <c r="K239" s="113" t="s">
        <v>394</v>
      </c>
      <c r="L239" s="113" t="s">
        <v>24</v>
      </c>
      <c r="M239" s="113" t="s">
        <v>395</v>
      </c>
      <c r="N239" s="113" t="s">
        <v>13</v>
      </c>
      <c r="O239" s="113" t="s">
        <v>1</v>
      </c>
    </row>
    <row r="240" spans="1:30">
      <c r="A240" s="133" t="s">
        <v>386</v>
      </c>
      <c r="B240" s="121">
        <v>0.5</v>
      </c>
      <c r="C240" s="121">
        <v>0.41</v>
      </c>
      <c r="D240" s="121">
        <v>0.09</v>
      </c>
      <c r="E240" s="121">
        <f>SUM(B240:D240)</f>
        <v>0.99999999999999989</v>
      </c>
      <c r="G240" s="133" t="s">
        <v>386</v>
      </c>
      <c r="H240" s="121">
        <v>0.71</v>
      </c>
      <c r="I240" s="121">
        <v>0.18</v>
      </c>
      <c r="J240" s="121">
        <v>0.05</v>
      </c>
      <c r="K240" s="121">
        <v>0.03</v>
      </c>
      <c r="L240" s="121">
        <v>0.01</v>
      </c>
      <c r="M240" s="121">
        <v>1.7999999999999999E-2</v>
      </c>
      <c r="N240" s="121">
        <v>4.0000000000000001E-3</v>
      </c>
      <c r="O240" s="5">
        <f>SUM(H240:N240)</f>
        <v>1.002</v>
      </c>
    </row>
    <row r="241" spans="1:28">
      <c r="A241" s="133" t="s">
        <v>390</v>
      </c>
      <c r="B241" s="5">
        <v>0.61</v>
      </c>
      <c r="C241" s="5">
        <v>0.35</v>
      </c>
      <c r="D241" s="5">
        <v>0.04</v>
      </c>
      <c r="E241" s="5">
        <f>SUM(B241:D241)</f>
        <v>1</v>
      </c>
      <c r="G241" s="133" t="s">
        <v>390</v>
      </c>
      <c r="H241" s="5">
        <v>0.42</v>
      </c>
      <c r="I241" s="5">
        <v>0.28999999999999998</v>
      </c>
      <c r="J241" s="5">
        <v>0.16</v>
      </c>
      <c r="K241" s="5">
        <v>0.09</v>
      </c>
      <c r="L241" s="5">
        <v>0.02</v>
      </c>
      <c r="M241" s="5">
        <v>0.01</v>
      </c>
      <c r="N241" s="5">
        <v>6.0000000000000001E-3</v>
      </c>
      <c r="O241" s="5">
        <f>SUM(H241:N241)</f>
        <v>0.996</v>
      </c>
    </row>
    <row r="242" spans="1:28">
      <c r="A242" s="133" t="s">
        <v>396</v>
      </c>
      <c r="B242" s="5">
        <v>0.52</v>
      </c>
      <c r="C242" s="5">
        <v>0.4</v>
      </c>
      <c r="D242" s="5">
        <v>0.08</v>
      </c>
      <c r="E242" s="5">
        <f>SUM(B242:D242)</f>
        <v>1</v>
      </c>
      <c r="G242" s="133" t="s">
        <v>396</v>
      </c>
      <c r="H242" s="5">
        <v>0.63</v>
      </c>
      <c r="I242" s="5">
        <v>0.2</v>
      </c>
      <c r="J242" s="5">
        <v>0.09</v>
      </c>
      <c r="K242" s="5">
        <v>0.05</v>
      </c>
      <c r="L242" s="5">
        <v>0.02</v>
      </c>
      <c r="M242" s="5">
        <v>8.9999999999999993E-3</v>
      </c>
      <c r="N242" s="5">
        <v>1E-3</v>
      </c>
      <c r="O242" s="5">
        <f t="shared" ref="O242:O245" si="109">SUM(H242:N242)</f>
        <v>1</v>
      </c>
    </row>
    <row r="243" spans="1:28">
      <c r="A243" s="133" t="s">
        <v>391</v>
      </c>
      <c r="B243" s="5">
        <v>0.71</v>
      </c>
      <c r="C243" s="5">
        <v>0.25</v>
      </c>
      <c r="D243" s="5">
        <v>0.04</v>
      </c>
      <c r="E243" s="5">
        <f t="shared" ref="E243:E246" si="110">SUM(B243:D243)</f>
        <v>1</v>
      </c>
      <c r="G243" s="133" t="s">
        <v>391</v>
      </c>
      <c r="H243" s="5">
        <v>0.62</v>
      </c>
      <c r="I243" s="5">
        <v>0.27</v>
      </c>
      <c r="J243" s="5">
        <v>0.05</v>
      </c>
      <c r="K243" s="5">
        <v>0.05</v>
      </c>
      <c r="L243" s="5">
        <v>0</v>
      </c>
      <c r="M243" s="5">
        <v>8.9999999999999993E-3</v>
      </c>
      <c r="N243" s="5">
        <v>1E-3</v>
      </c>
      <c r="O243" s="146">
        <f t="shared" si="109"/>
        <v>1</v>
      </c>
    </row>
    <row r="244" spans="1:28">
      <c r="A244" s="133" t="s">
        <v>392</v>
      </c>
      <c r="B244" s="5">
        <v>0.56000000000000005</v>
      </c>
      <c r="C244" s="5">
        <v>0.35</v>
      </c>
      <c r="D244" s="5">
        <v>0.09</v>
      </c>
      <c r="E244" s="5">
        <f t="shared" si="110"/>
        <v>1</v>
      </c>
      <c r="G244" s="133" t="s">
        <v>392</v>
      </c>
      <c r="H244" s="5">
        <v>0.76</v>
      </c>
      <c r="I244" s="5">
        <v>0.18</v>
      </c>
      <c r="J244" s="5">
        <v>0.03</v>
      </c>
      <c r="K244" s="5">
        <v>0.01</v>
      </c>
      <c r="L244" s="5">
        <v>0</v>
      </c>
      <c r="M244" s="5">
        <v>0.01</v>
      </c>
      <c r="N244" s="5">
        <v>0.01</v>
      </c>
      <c r="O244" s="146">
        <f t="shared" si="109"/>
        <v>1</v>
      </c>
    </row>
    <row r="245" spans="1:28">
      <c r="A245" s="2" t="s">
        <v>402</v>
      </c>
      <c r="B245" s="5">
        <v>0.7</v>
      </c>
      <c r="C245" s="5">
        <v>0.21</v>
      </c>
      <c r="D245" s="5">
        <v>0.09</v>
      </c>
      <c r="E245" s="5">
        <f t="shared" si="110"/>
        <v>0.99999999999999989</v>
      </c>
      <c r="G245" s="2" t="s">
        <v>402</v>
      </c>
      <c r="H245" s="5">
        <v>0.64</v>
      </c>
      <c r="I245" s="5">
        <v>0.28999999999999998</v>
      </c>
      <c r="J245" s="5">
        <v>0.03</v>
      </c>
      <c r="K245" s="5">
        <v>0.02</v>
      </c>
      <c r="L245" s="5">
        <v>0</v>
      </c>
      <c r="M245" s="5">
        <v>0.01</v>
      </c>
      <c r="N245" s="5">
        <v>0.01</v>
      </c>
      <c r="O245" s="146">
        <f t="shared" si="109"/>
        <v>1</v>
      </c>
    </row>
    <row r="246" spans="1:28">
      <c r="A246" s="200" t="s">
        <v>111</v>
      </c>
      <c r="B246" s="145">
        <v>0.38</v>
      </c>
      <c r="C246" s="145">
        <v>0.5</v>
      </c>
      <c r="D246" s="145">
        <v>0.12</v>
      </c>
      <c r="E246" s="145">
        <f t="shared" si="110"/>
        <v>1</v>
      </c>
      <c r="G246" s="200" t="s">
        <v>111</v>
      </c>
      <c r="H246" s="145">
        <v>0.81</v>
      </c>
      <c r="I246" s="145">
        <v>0.11</v>
      </c>
      <c r="J246" s="145">
        <v>0.04</v>
      </c>
      <c r="K246" s="145">
        <v>0.01</v>
      </c>
      <c r="L246" s="145">
        <v>0</v>
      </c>
      <c r="M246" s="145">
        <v>0.02</v>
      </c>
      <c r="N246" s="145">
        <v>0.01</v>
      </c>
      <c r="O246" s="147">
        <f>SUM(H246:N246)</f>
        <v>1</v>
      </c>
    </row>
    <row r="247" spans="1:28">
      <c r="A247" s="201" t="s">
        <v>404</v>
      </c>
      <c r="B247" s="34"/>
      <c r="C247" s="34"/>
      <c r="D247" s="34"/>
      <c r="G247" s="201" t="s">
        <v>404</v>
      </c>
      <c r="L247" s="34"/>
      <c r="M247" s="34"/>
      <c r="N247" s="34"/>
      <c r="O247" s="34"/>
    </row>
    <row r="248" spans="1:28">
      <c r="A248" s="133" t="s">
        <v>587</v>
      </c>
    </row>
    <row r="249" spans="1:28" s="201" customFormat="1"/>
    <row r="250" spans="1:28" s="201" customFormat="1"/>
    <row r="251" spans="1:28" s="201" customFormat="1"/>
    <row r="252" spans="1:28" s="201" customFormat="1" ht="15.6">
      <c r="A252" s="143" t="s">
        <v>897</v>
      </c>
      <c r="B252" s="396"/>
      <c r="C252" s="396"/>
      <c r="I252" s="869" t="s">
        <v>892</v>
      </c>
      <c r="J252" s="869"/>
      <c r="K252" s="869"/>
      <c r="L252" s="869"/>
      <c r="M252" s="869"/>
      <c r="N252" s="869"/>
      <c r="O252" s="869"/>
      <c r="P252" s="869"/>
      <c r="Q252" s="869"/>
      <c r="R252" s="869"/>
      <c r="S252" s="869"/>
      <c r="T252" s="869"/>
      <c r="U252" s="869"/>
      <c r="V252" s="869"/>
      <c r="W252" s="869"/>
      <c r="X252" s="869"/>
      <c r="Y252" s="869"/>
      <c r="Z252" s="869"/>
      <c r="AA252" s="869"/>
      <c r="AB252" s="869"/>
    </row>
    <row r="253" spans="1:28" s="201" customFormat="1">
      <c r="A253" s="115" t="s">
        <v>860</v>
      </c>
      <c r="B253" s="115" t="s">
        <v>434</v>
      </c>
      <c r="C253" s="115" t="s">
        <v>861</v>
      </c>
      <c r="I253" s="870" t="s">
        <v>883</v>
      </c>
      <c r="J253" s="872" t="s">
        <v>309</v>
      </c>
      <c r="K253" s="872"/>
      <c r="L253" s="872"/>
      <c r="M253" s="14"/>
      <c r="N253" s="872" t="s">
        <v>650</v>
      </c>
      <c r="O253" s="872"/>
      <c r="P253" s="872"/>
      <c r="Q253" s="14"/>
      <c r="R253" s="872" t="s">
        <v>311</v>
      </c>
      <c r="S253" s="872"/>
      <c r="T253" s="872"/>
      <c r="U253" s="14"/>
      <c r="V253" s="872" t="s">
        <v>884</v>
      </c>
      <c r="W253" s="872"/>
      <c r="X253" s="872"/>
      <c r="Y253" s="14"/>
      <c r="Z253" s="872" t="s">
        <v>545</v>
      </c>
      <c r="AA253" s="872"/>
      <c r="AB253" s="872"/>
    </row>
    <row r="254" spans="1:28" s="201" customFormat="1" ht="21.6">
      <c r="A254" s="393"/>
      <c r="B254" s="397" t="s">
        <v>921</v>
      </c>
      <c r="C254" s="397" t="s">
        <v>862</v>
      </c>
      <c r="I254" s="871"/>
      <c r="J254" s="400" t="s">
        <v>885</v>
      </c>
      <c r="K254" s="401" t="s">
        <v>886</v>
      </c>
      <c r="L254" s="401" t="s">
        <v>887</v>
      </c>
      <c r="M254" s="402"/>
      <c r="N254" s="400" t="s">
        <v>885</v>
      </c>
      <c r="O254" s="401" t="s">
        <v>886</v>
      </c>
      <c r="P254" s="401" t="s">
        <v>887</v>
      </c>
      <c r="Q254" s="402"/>
      <c r="R254" s="400" t="s">
        <v>885</v>
      </c>
      <c r="S254" s="401" t="s">
        <v>886</v>
      </c>
      <c r="T254" s="401" t="s">
        <v>887</v>
      </c>
      <c r="U254" s="402"/>
      <c r="V254" s="400" t="s">
        <v>885</v>
      </c>
      <c r="W254" s="401" t="s">
        <v>886</v>
      </c>
      <c r="X254" s="401" t="s">
        <v>887</v>
      </c>
      <c r="Y254" s="403"/>
      <c r="Z254" s="400" t="s">
        <v>885</v>
      </c>
      <c r="AA254" s="401" t="s">
        <v>886</v>
      </c>
      <c r="AB254" s="401" t="s">
        <v>887</v>
      </c>
    </row>
    <row r="255" spans="1:28" s="201" customFormat="1">
      <c r="A255" s="201" t="s">
        <v>863</v>
      </c>
      <c r="B255" s="397">
        <v>13.6</v>
      </c>
      <c r="C255" s="397">
        <v>20.7</v>
      </c>
      <c r="I255" s="404" t="s">
        <v>359</v>
      </c>
      <c r="J255" s="405">
        <v>28512</v>
      </c>
      <c r="K255" s="405">
        <v>529</v>
      </c>
      <c r="L255" s="405">
        <v>18540</v>
      </c>
      <c r="M255" s="406"/>
      <c r="N255" s="405">
        <v>5809</v>
      </c>
      <c r="O255" s="405">
        <v>129</v>
      </c>
      <c r="P255" s="405">
        <v>22282</v>
      </c>
      <c r="Q255" s="406"/>
      <c r="R255" s="405">
        <v>563</v>
      </c>
      <c r="S255" s="405">
        <v>1</v>
      </c>
      <c r="T255" s="405">
        <v>2637</v>
      </c>
      <c r="U255" s="406"/>
      <c r="V255" s="405">
        <v>1948</v>
      </c>
      <c r="W255" s="405">
        <v>31</v>
      </c>
      <c r="X255" s="405">
        <v>16162</v>
      </c>
      <c r="Y255" s="406"/>
      <c r="Z255" s="405">
        <v>161</v>
      </c>
      <c r="AA255" s="405">
        <v>6</v>
      </c>
      <c r="AB255" s="405">
        <v>35951</v>
      </c>
    </row>
    <row r="256" spans="1:28" s="201" customFormat="1">
      <c r="A256" s="201" t="s">
        <v>864</v>
      </c>
      <c r="B256" s="397">
        <v>20.5</v>
      </c>
      <c r="C256" s="397">
        <v>26.5</v>
      </c>
      <c r="I256" s="404" t="s">
        <v>382</v>
      </c>
      <c r="J256" s="405">
        <v>31849</v>
      </c>
      <c r="K256" s="405">
        <v>613</v>
      </c>
      <c r="L256" s="405">
        <v>19246</v>
      </c>
      <c r="M256" s="406"/>
      <c r="N256" s="405">
        <v>8050</v>
      </c>
      <c r="O256" s="405">
        <v>178</v>
      </c>
      <c r="P256" s="405">
        <v>22174</v>
      </c>
      <c r="Q256" s="406"/>
      <c r="R256" s="405">
        <v>448</v>
      </c>
      <c r="S256" s="405">
        <v>1</v>
      </c>
      <c r="T256" s="405">
        <v>2711</v>
      </c>
      <c r="U256" s="406"/>
      <c r="V256" s="405">
        <v>2762</v>
      </c>
      <c r="W256" s="405">
        <v>47</v>
      </c>
      <c r="X256" s="405">
        <v>17159</v>
      </c>
      <c r="Y256" s="406"/>
      <c r="Z256" s="405">
        <v>166</v>
      </c>
      <c r="AA256" s="405">
        <v>7</v>
      </c>
      <c r="AB256" s="405">
        <v>43668</v>
      </c>
    </row>
    <row r="257" spans="1:28" s="201" customFormat="1">
      <c r="A257" s="201" t="s">
        <v>347</v>
      </c>
      <c r="B257" s="397">
        <v>2.7</v>
      </c>
      <c r="C257" s="397">
        <v>19.8</v>
      </c>
      <c r="I257" s="404" t="s">
        <v>371</v>
      </c>
      <c r="J257" s="405">
        <v>57429</v>
      </c>
      <c r="K257" s="405">
        <v>1070</v>
      </c>
      <c r="L257" s="405">
        <v>18635</v>
      </c>
      <c r="M257" s="406"/>
      <c r="N257" s="405">
        <v>9436</v>
      </c>
      <c r="O257" s="405">
        <v>198</v>
      </c>
      <c r="P257" s="405">
        <v>20976</v>
      </c>
      <c r="Q257" s="406"/>
      <c r="R257" s="405">
        <v>924</v>
      </c>
      <c r="S257" s="405">
        <v>3</v>
      </c>
      <c r="T257" s="405">
        <v>2726</v>
      </c>
      <c r="U257" s="406"/>
      <c r="V257" s="405">
        <v>3308</v>
      </c>
      <c r="W257" s="405">
        <v>60</v>
      </c>
      <c r="X257" s="405">
        <v>18027</v>
      </c>
      <c r="Y257" s="406"/>
      <c r="Z257" s="405">
        <v>353</v>
      </c>
      <c r="AA257" s="405">
        <v>14</v>
      </c>
      <c r="AB257" s="405">
        <v>39666</v>
      </c>
    </row>
    <row r="258" spans="1:28" s="201" customFormat="1">
      <c r="A258" s="201" t="s">
        <v>865</v>
      </c>
      <c r="B258" s="397">
        <v>16.3</v>
      </c>
      <c r="C258" s="397">
        <v>40</v>
      </c>
      <c r="I258" s="404" t="s">
        <v>372</v>
      </c>
      <c r="J258" s="405">
        <v>257933</v>
      </c>
      <c r="K258" s="405">
        <v>4298</v>
      </c>
      <c r="L258" s="405">
        <v>16665</v>
      </c>
      <c r="M258" s="406"/>
      <c r="N258" s="405">
        <v>41521</v>
      </c>
      <c r="O258" s="405">
        <v>879</v>
      </c>
      <c r="P258" s="405">
        <v>21168</v>
      </c>
      <c r="Q258" s="406"/>
      <c r="R258" s="405">
        <v>5452</v>
      </c>
      <c r="S258" s="405">
        <v>15</v>
      </c>
      <c r="T258" s="405">
        <v>2688</v>
      </c>
      <c r="U258" s="406"/>
      <c r="V258" s="405">
        <v>11801</v>
      </c>
      <c r="W258" s="405">
        <v>201</v>
      </c>
      <c r="X258" s="405">
        <v>16990</v>
      </c>
      <c r="Y258" s="406"/>
      <c r="Z258" s="405">
        <v>1752</v>
      </c>
      <c r="AA258" s="405">
        <v>70</v>
      </c>
      <c r="AB258" s="405">
        <v>39919</v>
      </c>
    </row>
    <row r="259" spans="1:28" s="201" customFormat="1">
      <c r="A259" s="201" t="s">
        <v>394</v>
      </c>
      <c r="B259" s="397">
        <v>5.7</v>
      </c>
      <c r="C259" s="397">
        <v>24.7</v>
      </c>
      <c r="I259" s="404" t="s">
        <v>383</v>
      </c>
      <c r="J259" s="405">
        <v>64284</v>
      </c>
      <c r="K259" s="405">
        <v>1167</v>
      </c>
      <c r="L259" s="405">
        <v>18151</v>
      </c>
      <c r="M259" s="406"/>
      <c r="N259" s="405">
        <v>14635</v>
      </c>
      <c r="O259" s="405">
        <v>289</v>
      </c>
      <c r="P259" s="405">
        <v>19749</v>
      </c>
      <c r="Q259" s="406"/>
      <c r="R259" s="405">
        <v>736</v>
      </c>
      <c r="S259" s="405">
        <v>2</v>
      </c>
      <c r="T259" s="405">
        <v>2793</v>
      </c>
      <c r="U259" s="406"/>
      <c r="V259" s="405">
        <v>3377</v>
      </c>
      <c r="W259" s="405">
        <v>64</v>
      </c>
      <c r="X259" s="405">
        <v>18812</v>
      </c>
      <c r="Y259" s="406"/>
      <c r="Z259" s="405">
        <v>365</v>
      </c>
      <c r="AA259" s="405">
        <v>15</v>
      </c>
      <c r="AB259" s="405">
        <v>40451</v>
      </c>
    </row>
    <row r="260" spans="1:28" s="201" customFormat="1">
      <c r="A260" s="201" t="s">
        <v>866</v>
      </c>
      <c r="B260" s="397">
        <v>32.299999999999997</v>
      </c>
      <c r="C260" s="397">
        <v>49.4</v>
      </c>
      <c r="I260" s="404" t="s">
        <v>360</v>
      </c>
      <c r="J260" s="405">
        <v>542534</v>
      </c>
      <c r="K260" s="405">
        <v>7610</v>
      </c>
      <c r="L260" s="405">
        <v>14027</v>
      </c>
      <c r="M260" s="406"/>
      <c r="N260" s="405">
        <v>74522</v>
      </c>
      <c r="O260" s="405">
        <v>1769</v>
      </c>
      <c r="P260" s="405">
        <v>23744</v>
      </c>
      <c r="Q260" s="406"/>
      <c r="R260" s="405">
        <v>12616</v>
      </c>
      <c r="S260" s="405">
        <v>35</v>
      </c>
      <c r="T260" s="405">
        <v>2798</v>
      </c>
      <c r="U260" s="406"/>
      <c r="V260" s="405">
        <v>1868</v>
      </c>
      <c r="W260" s="405">
        <v>30</v>
      </c>
      <c r="X260" s="405">
        <v>16155</v>
      </c>
      <c r="Y260" s="406"/>
      <c r="Z260" s="405">
        <v>11149</v>
      </c>
      <c r="AA260" s="405">
        <v>430</v>
      </c>
      <c r="AB260" s="405">
        <v>38571</v>
      </c>
    </row>
    <row r="261" spans="1:28" s="201" customFormat="1">
      <c r="A261" s="201" t="s">
        <v>867</v>
      </c>
      <c r="B261" s="397">
        <v>10.5</v>
      </c>
      <c r="C261" s="397">
        <v>17.8</v>
      </c>
      <c r="I261" s="404" t="s">
        <v>377</v>
      </c>
      <c r="J261" s="405">
        <v>114292</v>
      </c>
      <c r="K261" s="405">
        <v>2070</v>
      </c>
      <c r="L261" s="405">
        <v>18109</v>
      </c>
      <c r="M261" s="406"/>
      <c r="N261" s="405">
        <v>20357</v>
      </c>
      <c r="O261" s="405">
        <v>429</v>
      </c>
      <c r="P261" s="405">
        <v>21076</v>
      </c>
      <c r="Q261" s="406"/>
      <c r="R261" s="405">
        <v>1458</v>
      </c>
      <c r="S261" s="405">
        <v>4</v>
      </c>
      <c r="T261" s="405">
        <v>2701</v>
      </c>
      <c r="U261" s="406"/>
      <c r="V261" s="405">
        <v>5556</v>
      </c>
      <c r="W261" s="405">
        <v>99</v>
      </c>
      <c r="X261" s="405">
        <v>17765</v>
      </c>
      <c r="Y261" s="406"/>
      <c r="Z261" s="405">
        <v>962</v>
      </c>
      <c r="AA261" s="405">
        <v>39</v>
      </c>
      <c r="AB261" s="405">
        <v>40203</v>
      </c>
    </row>
    <row r="262" spans="1:28" s="201" customFormat="1">
      <c r="A262" s="201" t="s">
        <v>868</v>
      </c>
      <c r="B262" s="397">
        <v>13.7</v>
      </c>
      <c r="C262" s="397">
        <v>33.1</v>
      </c>
      <c r="I262" s="404" t="s">
        <v>373</v>
      </c>
      <c r="J262" s="405">
        <v>71897</v>
      </c>
      <c r="K262" s="405">
        <v>1277</v>
      </c>
      <c r="L262" s="405">
        <v>17764</v>
      </c>
      <c r="M262" s="406"/>
      <c r="N262" s="405">
        <v>11920</v>
      </c>
      <c r="O262" s="405">
        <v>245</v>
      </c>
      <c r="P262" s="405">
        <v>20525</v>
      </c>
      <c r="Q262" s="406"/>
      <c r="R262" s="405">
        <v>1062</v>
      </c>
      <c r="S262" s="405">
        <v>3</v>
      </c>
      <c r="T262" s="405">
        <v>2680</v>
      </c>
      <c r="U262" s="406"/>
      <c r="V262" s="405">
        <v>4371</v>
      </c>
      <c r="W262" s="405">
        <v>75</v>
      </c>
      <c r="X262" s="405">
        <v>17133</v>
      </c>
      <c r="Y262" s="406"/>
      <c r="Z262" s="405">
        <v>468</v>
      </c>
      <c r="AA262" s="405">
        <v>18</v>
      </c>
      <c r="AB262" s="405">
        <v>38700</v>
      </c>
    </row>
    <row r="263" spans="1:28" s="201" customFormat="1">
      <c r="A263" s="119" t="s">
        <v>869</v>
      </c>
      <c r="B263" s="119">
        <v>13.7</v>
      </c>
      <c r="C263" s="119">
        <v>23.3</v>
      </c>
      <c r="I263" s="404" t="s">
        <v>361</v>
      </c>
      <c r="J263" s="405">
        <v>103517</v>
      </c>
      <c r="K263" s="405">
        <v>1821</v>
      </c>
      <c r="L263" s="405">
        <v>17589</v>
      </c>
      <c r="M263" s="406"/>
      <c r="N263" s="405">
        <v>16092</v>
      </c>
      <c r="O263" s="405">
        <v>378</v>
      </c>
      <c r="P263" s="405">
        <v>23471</v>
      </c>
      <c r="Q263" s="406"/>
      <c r="R263" s="405">
        <v>2168</v>
      </c>
      <c r="S263" s="405">
        <v>6</v>
      </c>
      <c r="T263" s="405">
        <v>2728</v>
      </c>
      <c r="U263" s="406"/>
      <c r="V263" s="405">
        <v>2584</v>
      </c>
      <c r="W263" s="405">
        <v>43</v>
      </c>
      <c r="X263" s="405">
        <v>16821</v>
      </c>
      <c r="Y263" s="406"/>
      <c r="Z263" s="405">
        <v>824</v>
      </c>
      <c r="AA263" s="405">
        <v>35</v>
      </c>
      <c r="AB263" s="405">
        <v>42400</v>
      </c>
    </row>
    <row r="264" spans="1:28" s="201" customFormat="1">
      <c r="A264" s="395" t="s">
        <v>882</v>
      </c>
      <c r="I264" s="404" t="s">
        <v>362</v>
      </c>
      <c r="J264" s="405">
        <v>44549</v>
      </c>
      <c r="K264" s="405">
        <v>827</v>
      </c>
      <c r="L264" s="405">
        <v>18553</v>
      </c>
      <c r="M264" s="406"/>
      <c r="N264" s="405">
        <v>8221</v>
      </c>
      <c r="O264" s="405">
        <v>189</v>
      </c>
      <c r="P264" s="405">
        <v>23000</v>
      </c>
      <c r="Q264" s="406"/>
      <c r="R264" s="405">
        <v>872</v>
      </c>
      <c r="S264" s="405">
        <v>2</v>
      </c>
      <c r="T264" s="405">
        <v>2652</v>
      </c>
      <c r="U264" s="406"/>
      <c r="V264" s="405">
        <v>3877</v>
      </c>
      <c r="W264" s="405">
        <v>66</v>
      </c>
      <c r="X264" s="405">
        <v>16990</v>
      </c>
      <c r="Y264" s="406"/>
      <c r="Z264" s="405">
        <v>216</v>
      </c>
      <c r="AA264" s="405">
        <v>9</v>
      </c>
      <c r="AB264" s="405">
        <v>41699</v>
      </c>
    </row>
    <row r="265" spans="1:28" s="201" customFormat="1">
      <c r="I265" s="404" t="s">
        <v>363</v>
      </c>
      <c r="J265" s="405">
        <v>34880</v>
      </c>
      <c r="K265" s="405">
        <v>673</v>
      </c>
      <c r="L265" s="405">
        <v>19285</v>
      </c>
      <c r="M265" s="406"/>
      <c r="N265" s="405">
        <v>6035</v>
      </c>
      <c r="O265" s="405">
        <v>140</v>
      </c>
      <c r="P265" s="405">
        <v>23257</v>
      </c>
      <c r="Q265" s="406"/>
      <c r="R265" s="405">
        <v>513</v>
      </c>
      <c r="S265" s="405">
        <v>1</v>
      </c>
      <c r="T265" s="405">
        <v>2710</v>
      </c>
      <c r="U265" s="406"/>
      <c r="V265" s="405">
        <v>3011</v>
      </c>
      <c r="W265" s="405">
        <v>49</v>
      </c>
      <c r="X265" s="405">
        <v>16425</v>
      </c>
      <c r="Y265" s="406"/>
      <c r="Z265" s="405">
        <v>228</v>
      </c>
      <c r="AA265" s="405">
        <v>9</v>
      </c>
      <c r="AB265" s="405">
        <v>41149</v>
      </c>
    </row>
    <row r="266" spans="1:28" s="201" customFormat="1">
      <c r="I266" s="404" t="s">
        <v>378</v>
      </c>
      <c r="J266" s="405">
        <v>14548</v>
      </c>
      <c r="K266" s="405">
        <v>285</v>
      </c>
      <c r="L266" s="405">
        <v>19581</v>
      </c>
      <c r="M266" s="406"/>
      <c r="N266" s="405">
        <v>3403</v>
      </c>
      <c r="O266" s="405">
        <v>70</v>
      </c>
      <c r="P266" s="405">
        <v>20646</v>
      </c>
      <c r="Q266" s="406"/>
      <c r="R266" s="405">
        <v>160</v>
      </c>
      <c r="S266" s="405">
        <v>0</v>
      </c>
      <c r="T266" s="405">
        <v>2725</v>
      </c>
      <c r="U266" s="406"/>
      <c r="V266" s="405">
        <v>1007</v>
      </c>
      <c r="W266" s="405">
        <v>18</v>
      </c>
      <c r="X266" s="405">
        <v>18237</v>
      </c>
      <c r="Y266" s="406"/>
      <c r="Z266" s="405">
        <v>65</v>
      </c>
      <c r="AA266" s="405">
        <v>3</v>
      </c>
      <c r="AB266" s="405">
        <v>42878</v>
      </c>
    </row>
    <row r="267" spans="1:28" s="201" customFormat="1">
      <c r="I267" s="404" t="s">
        <v>374</v>
      </c>
      <c r="J267" s="405">
        <v>89182</v>
      </c>
      <c r="K267" s="405">
        <v>1580</v>
      </c>
      <c r="L267" s="405">
        <v>17715</v>
      </c>
      <c r="M267" s="406"/>
      <c r="N267" s="405">
        <v>13649</v>
      </c>
      <c r="O267" s="405">
        <v>322</v>
      </c>
      <c r="P267" s="405">
        <v>23592</v>
      </c>
      <c r="Q267" s="406"/>
      <c r="R267" s="405">
        <v>1489</v>
      </c>
      <c r="S267" s="405">
        <v>4</v>
      </c>
      <c r="T267" s="405">
        <v>2700</v>
      </c>
      <c r="U267" s="406"/>
      <c r="V267" s="405">
        <v>3915</v>
      </c>
      <c r="W267" s="405">
        <v>67</v>
      </c>
      <c r="X267" s="405">
        <v>17096</v>
      </c>
      <c r="Y267" s="406"/>
      <c r="Z267" s="405">
        <v>654</v>
      </c>
      <c r="AA267" s="405">
        <v>26</v>
      </c>
      <c r="AB267" s="405">
        <v>39988</v>
      </c>
    </row>
    <row r="268" spans="1:28" s="201" customFormat="1" ht="15.6">
      <c r="A268" s="143" t="s">
        <v>896</v>
      </c>
      <c r="B268" s="394"/>
      <c r="C268" s="394"/>
      <c r="D268" s="394"/>
      <c r="E268" s="394"/>
      <c r="F268" s="394"/>
      <c r="G268" s="394"/>
      <c r="I268" s="404" t="s">
        <v>364</v>
      </c>
      <c r="J268" s="405">
        <v>17299</v>
      </c>
      <c r="K268" s="405">
        <v>341</v>
      </c>
      <c r="L268" s="405">
        <v>19691</v>
      </c>
      <c r="M268" s="406"/>
      <c r="N268" s="405">
        <v>3939</v>
      </c>
      <c r="O268" s="405">
        <v>88</v>
      </c>
      <c r="P268" s="405">
        <v>22266</v>
      </c>
      <c r="Q268" s="406"/>
      <c r="R268" s="405">
        <v>213</v>
      </c>
      <c r="S268" s="405">
        <v>1</v>
      </c>
      <c r="T268" s="405">
        <v>2669</v>
      </c>
      <c r="U268" s="406"/>
      <c r="V268" s="405">
        <v>1329</v>
      </c>
      <c r="W268" s="405">
        <v>23</v>
      </c>
      <c r="X268" s="405">
        <v>17369</v>
      </c>
      <c r="Y268" s="406"/>
      <c r="Z268" s="405">
        <v>88</v>
      </c>
      <c r="AA268" s="405">
        <v>4</v>
      </c>
      <c r="AB268" s="405">
        <v>45372</v>
      </c>
    </row>
    <row r="269" spans="1:28" s="201" customFormat="1">
      <c r="A269" s="115" t="s">
        <v>860</v>
      </c>
      <c r="B269" s="115" t="s">
        <v>870</v>
      </c>
      <c r="C269" s="115" t="s">
        <v>871</v>
      </c>
      <c r="D269" s="115" t="s">
        <v>872</v>
      </c>
      <c r="E269" s="115" t="s">
        <v>873</v>
      </c>
      <c r="F269" s="115" t="s">
        <v>874</v>
      </c>
      <c r="G269" s="115" t="s">
        <v>1</v>
      </c>
      <c r="I269" s="404" t="s">
        <v>365</v>
      </c>
      <c r="J269" s="405">
        <v>51526</v>
      </c>
      <c r="K269" s="405">
        <v>902</v>
      </c>
      <c r="L269" s="405">
        <v>17505</v>
      </c>
      <c r="M269" s="406"/>
      <c r="N269" s="405">
        <v>8143</v>
      </c>
      <c r="O269" s="405">
        <v>188</v>
      </c>
      <c r="P269" s="405">
        <v>23094</v>
      </c>
      <c r="Q269" s="406"/>
      <c r="R269" s="405">
        <v>855</v>
      </c>
      <c r="S269" s="405">
        <v>2</v>
      </c>
      <c r="T269" s="405">
        <v>2758</v>
      </c>
      <c r="U269" s="406"/>
      <c r="V269" s="405">
        <v>1202</v>
      </c>
      <c r="W269" s="405">
        <v>21</v>
      </c>
      <c r="X269" s="405">
        <v>17116</v>
      </c>
      <c r="Y269" s="406"/>
      <c r="Z269" s="405">
        <v>580</v>
      </c>
      <c r="AA269" s="405">
        <v>24</v>
      </c>
      <c r="AB269" s="405">
        <v>42174</v>
      </c>
    </row>
    <row r="270" spans="1:28" s="201" customFormat="1">
      <c r="A270" s="201" t="s">
        <v>863</v>
      </c>
      <c r="B270" s="398">
        <v>51.5</v>
      </c>
      <c r="C270" s="398">
        <v>66.099999999999994</v>
      </c>
      <c r="D270" s="398">
        <v>70.5</v>
      </c>
      <c r="E270" s="398">
        <v>70.599999999999994</v>
      </c>
      <c r="F270" s="398">
        <v>71.900000000000006</v>
      </c>
      <c r="G270" s="398">
        <v>64.900000000000006</v>
      </c>
      <c r="I270" s="404" t="s">
        <v>379</v>
      </c>
      <c r="J270" s="405">
        <v>60960</v>
      </c>
      <c r="K270" s="405">
        <v>1136</v>
      </c>
      <c r="L270" s="405">
        <v>18636</v>
      </c>
      <c r="M270" s="406"/>
      <c r="N270" s="405">
        <v>13362</v>
      </c>
      <c r="O270" s="405">
        <v>271</v>
      </c>
      <c r="P270" s="405">
        <v>20262</v>
      </c>
      <c r="Q270" s="406"/>
      <c r="R270" s="405">
        <v>605</v>
      </c>
      <c r="S270" s="405">
        <v>2</v>
      </c>
      <c r="T270" s="405">
        <v>2718</v>
      </c>
      <c r="U270" s="406"/>
      <c r="V270" s="405">
        <v>5011</v>
      </c>
      <c r="W270" s="405">
        <v>87</v>
      </c>
      <c r="X270" s="405">
        <v>17458</v>
      </c>
      <c r="Y270" s="406"/>
      <c r="Z270" s="405">
        <v>293</v>
      </c>
      <c r="AA270" s="405">
        <v>11</v>
      </c>
      <c r="AB270" s="405">
        <v>38084</v>
      </c>
    </row>
    <row r="271" spans="1:28" s="201" customFormat="1">
      <c r="A271" s="201" t="s">
        <v>864</v>
      </c>
      <c r="B271" s="398">
        <v>5.4</v>
      </c>
      <c r="C271" s="398">
        <v>6.5</v>
      </c>
      <c r="D271" s="398">
        <v>8.5</v>
      </c>
      <c r="E271" s="398">
        <v>7</v>
      </c>
      <c r="F271" s="398">
        <v>12.7</v>
      </c>
      <c r="G271" s="398">
        <v>8.8000000000000007</v>
      </c>
      <c r="I271" s="404" t="s">
        <v>366</v>
      </c>
      <c r="J271" s="405">
        <v>88359</v>
      </c>
      <c r="K271" s="405">
        <v>1612</v>
      </c>
      <c r="L271" s="405">
        <v>18249</v>
      </c>
      <c r="M271" s="406"/>
      <c r="N271" s="405">
        <v>14783</v>
      </c>
      <c r="O271" s="405">
        <v>357</v>
      </c>
      <c r="P271" s="405">
        <v>24156</v>
      </c>
      <c r="Q271" s="406"/>
      <c r="R271" s="405">
        <v>1684</v>
      </c>
      <c r="S271" s="405">
        <v>5</v>
      </c>
      <c r="T271" s="405">
        <v>2722</v>
      </c>
      <c r="U271" s="406"/>
      <c r="V271" s="405">
        <v>3068</v>
      </c>
      <c r="W271" s="405">
        <v>53</v>
      </c>
      <c r="X271" s="405">
        <v>17195</v>
      </c>
      <c r="Y271" s="406"/>
      <c r="Z271" s="405">
        <v>978</v>
      </c>
      <c r="AA271" s="405">
        <v>42</v>
      </c>
      <c r="AB271" s="405">
        <v>43398</v>
      </c>
    </row>
    <row r="272" spans="1:28" s="201" customFormat="1">
      <c r="A272" s="201" t="s">
        <v>347</v>
      </c>
      <c r="B272" s="398">
        <v>36.1</v>
      </c>
      <c r="C272" s="398">
        <v>12.6</v>
      </c>
      <c r="D272" s="398">
        <v>5.5</v>
      </c>
      <c r="E272" s="398">
        <v>4.9000000000000004</v>
      </c>
      <c r="F272" s="398">
        <v>0.7</v>
      </c>
      <c r="G272" s="398">
        <v>13.5</v>
      </c>
      <c r="I272" s="404" t="s">
        <v>384</v>
      </c>
      <c r="J272" s="405">
        <v>25718</v>
      </c>
      <c r="K272" s="405">
        <v>492</v>
      </c>
      <c r="L272" s="405">
        <v>19132</v>
      </c>
      <c r="M272" s="406"/>
      <c r="N272" s="405">
        <v>7968</v>
      </c>
      <c r="O272" s="405">
        <v>199</v>
      </c>
      <c r="P272" s="405">
        <v>25034</v>
      </c>
      <c r="Q272" s="406"/>
      <c r="R272" s="405">
        <v>301</v>
      </c>
      <c r="S272" s="405">
        <v>1</v>
      </c>
      <c r="T272" s="405">
        <v>2780</v>
      </c>
      <c r="U272" s="406"/>
      <c r="V272" s="405">
        <v>1890</v>
      </c>
      <c r="W272" s="405">
        <v>34</v>
      </c>
      <c r="X272" s="405">
        <v>18227</v>
      </c>
      <c r="Y272" s="406"/>
      <c r="Z272" s="405">
        <v>79</v>
      </c>
      <c r="AA272" s="405">
        <v>3</v>
      </c>
      <c r="AB272" s="405">
        <v>41055</v>
      </c>
    </row>
    <row r="273" spans="1:28" s="201" customFormat="1">
      <c r="A273" s="201" t="s">
        <v>865</v>
      </c>
      <c r="B273" s="398">
        <v>1.7</v>
      </c>
      <c r="C273" s="398">
        <v>8.1</v>
      </c>
      <c r="D273" s="398">
        <v>6.7</v>
      </c>
      <c r="E273" s="398">
        <v>7.8</v>
      </c>
      <c r="F273" s="398">
        <v>4.7</v>
      </c>
      <c r="G273" s="398">
        <v>4.8</v>
      </c>
      <c r="I273" s="404" t="s">
        <v>367</v>
      </c>
      <c r="J273" s="405">
        <v>34485</v>
      </c>
      <c r="K273" s="405">
        <v>660</v>
      </c>
      <c r="L273" s="405">
        <v>19141</v>
      </c>
      <c r="M273" s="406"/>
      <c r="N273" s="405">
        <v>6525</v>
      </c>
      <c r="O273" s="405">
        <v>139</v>
      </c>
      <c r="P273" s="405">
        <v>21360</v>
      </c>
      <c r="Q273" s="406"/>
      <c r="R273" s="405">
        <v>669</v>
      </c>
      <c r="S273" s="405">
        <v>2</v>
      </c>
      <c r="T273" s="405">
        <v>2656</v>
      </c>
      <c r="U273" s="406"/>
      <c r="V273" s="405">
        <v>2620</v>
      </c>
      <c r="W273" s="405">
        <v>47</v>
      </c>
      <c r="X273" s="405">
        <v>17800</v>
      </c>
      <c r="Y273" s="406"/>
      <c r="Z273" s="405">
        <v>167</v>
      </c>
      <c r="AA273" s="405">
        <v>6</v>
      </c>
      <c r="AB273" s="405">
        <v>37758</v>
      </c>
    </row>
    <row r="274" spans="1:28" s="201" customFormat="1">
      <c r="A274" s="201" t="s">
        <v>394</v>
      </c>
      <c r="B274" s="398">
        <v>2</v>
      </c>
      <c r="C274" s="398">
        <v>2.2999999999999998</v>
      </c>
      <c r="D274" s="398">
        <v>1.6</v>
      </c>
      <c r="E274" s="398">
        <v>2.2999999999999998</v>
      </c>
      <c r="F274" s="398">
        <v>0.7</v>
      </c>
      <c r="G274" s="398">
        <v>1.5</v>
      </c>
      <c r="I274" s="404" t="s">
        <v>380</v>
      </c>
      <c r="J274" s="405">
        <v>32566</v>
      </c>
      <c r="K274" s="405">
        <v>661</v>
      </c>
      <c r="L274" s="405">
        <v>20301</v>
      </c>
      <c r="M274" s="406"/>
      <c r="N274" s="405">
        <v>6384</v>
      </c>
      <c r="O274" s="405">
        <v>138</v>
      </c>
      <c r="P274" s="405">
        <v>21565</v>
      </c>
      <c r="Q274" s="406"/>
      <c r="R274" s="405">
        <v>295</v>
      </c>
      <c r="S274" s="405">
        <v>1</v>
      </c>
      <c r="T274" s="405">
        <v>2729</v>
      </c>
      <c r="U274" s="406"/>
      <c r="V274" s="405">
        <v>2509</v>
      </c>
      <c r="W274" s="405">
        <v>45</v>
      </c>
      <c r="X274" s="405">
        <v>18122</v>
      </c>
      <c r="Y274" s="406"/>
      <c r="Z274" s="405">
        <v>132</v>
      </c>
      <c r="AA274" s="405">
        <v>5</v>
      </c>
      <c r="AB274" s="405">
        <v>38818</v>
      </c>
    </row>
    <row r="275" spans="1:28" s="201" customFormat="1">
      <c r="A275" s="201" t="s">
        <v>866</v>
      </c>
      <c r="B275" s="398">
        <v>0.2</v>
      </c>
      <c r="C275" s="398">
        <v>1.2</v>
      </c>
      <c r="D275" s="398">
        <v>2.1</v>
      </c>
      <c r="E275" s="398">
        <v>3.3</v>
      </c>
      <c r="F275" s="398">
        <v>2.9</v>
      </c>
      <c r="G275" s="398">
        <v>1.8</v>
      </c>
      <c r="I275" s="404" t="s">
        <v>381</v>
      </c>
      <c r="J275" s="405">
        <v>29107</v>
      </c>
      <c r="K275" s="405">
        <v>525</v>
      </c>
      <c r="L275" s="405">
        <v>18042</v>
      </c>
      <c r="M275" s="406"/>
      <c r="N275" s="405">
        <v>6045</v>
      </c>
      <c r="O275" s="405">
        <v>121</v>
      </c>
      <c r="P275" s="405">
        <v>20073</v>
      </c>
      <c r="Q275" s="406"/>
      <c r="R275" s="405">
        <v>400</v>
      </c>
      <c r="S275" s="405">
        <v>1</v>
      </c>
      <c r="T275" s="405">
        <v>2648</v>
      </c>
      <c r="U275" s="406"/>
      <c r="V275" s="405">
        <v>1706</v>
      </c>
      <c r="W275" s="405">
        <v>30</v>
      </c>
      <c r="X275" s="405">
        <v>17755</v>
      </c>
      <c r="Y275" s="406"/>
      <c r="Z275" s="405">
        <v>169</v>
      </c>
      <c r="AA275" s="405">
        <v>7</v>
      </c>
      <c r="AB275" s="405">
        <v>39241</v>
      </c>
    </row>
    <row r="276" spans="1:28" s="201" customFormat="1">
      <c r="A276" s="201" t="s">
        <v>875</v>
      </c>
      <c r="B276" s="398">
        <v>0</v>
      </c>
      <c r="C276" s="398">
        <v>0.1</v>
      </c>
      <c r="D276" s="398">
        <v>0.4</v>
      </c>
      <c r="E276" s="398">
        <v>0.8</v>
      </c>
      <c r="F276" s="398">
        <v>1.6</v>
      </c>
      <c r="G276" s="398">
        <v>0.7</v>
      </c>
      <c r="I276" s="404" t="s">
        <v>888</v>
      </c>
      <c r="J276" s="405">
        <v>79392</v>
      </c>
      <c r="K276" s="405">
        <v>1513</v>
      </c>
      <c r="L276" s="405">
        <v>19060</v>
      </c>
      <c r="M276" s="406"/>
      <c r="N276" s="405">
        <v>13961</v>
      </c>
      <c r="O276" s="405">
        <v>302</v>
      </c>
      <c r="P276" s="405">
        <v>21661</v>
      </c>
      <c r="Q276" s="406"/>
      <c r="R276" s="405">
        <v>1412</v>
      </c>
      <c r="S276" s="405">
        <v>4</v>
      </c>
      <c r="T276" s="405">
        <v>2694</v>
      </c>
      <c r="U276" s="406"/>
      <c r="V276" s="405">
        <v>5782</v>
      </c>
      <c r="W276" s="405">
        <v>101</v>
      </c>
      <c r="X276" s="405">
        <v>17386</v>
      </c>
      <c r="Y276" s="406"/>
      <c r="Z276" s="405">
        <v>256</v>
      </c>
      <c r="AA276" s="405">
        <v>10</v>
      </c>
      <c r="AB276" s="405">
        <v>39967</v>
      </c>
    </row>
    <row r="277" spans="1:28" s="201" customFormat="1">
      <c r="A277" s="201" t="s">
        <v>876</v>
      </c>
      <c r="B277" s="398">
        <v>0.2</v>
      </c>
      <c r="C277" s="398">
        <v>1.1000000000000001</v>
      </c>
      <c r="D277" s="398">
        <v>1.7</v>
      </c>
      <c r="E277" s="398">
        <v>2.5</v>
      </c>
      <c r="F277" s="398">
        <v>1.3</v>
      </c>
      <c r="G277" s="398">
        <v>1.1000000000000001</v>
      </c>
      <c r="I277" s="404" t="s">
        <v>376</v>
      </c>
      <c r="J277" s="405">
        <v>57594</v>
      </c>
      <c r="K277" s="405">
        <v>984</v>
      </c>
      <c r="L277" s="405">
        <v>17082</v>
      </c>
      <c r="M277" s="406"/>
      <c r="N277" s="405">
        <v>8161</v>
      </c>
      <c r="O277" s="405">
        <v>163</v>
      </c>
      <c r="P277" s="405">
        <v>19962</v>
      </c>
      <c r="Q277" s="406"/>
      <c r="R277" s="405">
        <v>1293</v>
      </c>
      <c r="S277" s="405">
        <v>3</v>
      </c>
      <c r="T277" s="405">
        <v>2648</v>
      </c>
      <c r="U277" s="406"/>
      <c r="V277" s="405">
        <v>2474</v>
      </c>
      <c r="W277" s="405">
        <v>42</v>
      </c>
      <c r="X277" s="405">
        <v>16991</v>
      </c>
      <c r="Y277" s="406"/>
      <c r="Z277" s="405">
        <v>308</v>
      </c>
      <c r="AA277" s="405">
        <v>12</v>
      </c>
      <c r="AB277" s="405">
        <v>38377</v>
      </c>
    </row>
    <row r="278" spans="1:28" s="201" customFormat="1">
      <c r="A278" s="201" t="s">
        <v>867</v>
      </c>
      <c r="B278" s="398">
        <v>0.8</v>
      </c>
      <c r="C278" s="398">
        <v>1.7</v>
      </c>
      <c r="D278" s="398">
        <v>1.4</v>
      </c>
      <c r="E278" s="398">
        <v>1.4</v>
      </c>
      <c r="F278" s="398">
        <v>0.5</v>
      </c>
      <c r="G278" s="398">
        <v>0.9</v>
      </c>
      <c r="I278" s="404" t="s">
        <v>368</v>
      </c>
      <c r="J278" s="405">
        <v>41252</v>
      </c>
      <c r="K278" s="405">
        <v>786</v>
      </c>
      <c r="L278" s="405">
        <v>19053</v>
      </c>
      <c r="M278" s="406"/>
      <c r="N278" s="405">
        <v>8110</v>
      </c>
      <c r="O278" s="405">
        <v>174</v>
      </c>
      <c r="P278" s="405">
        <v>21429</v>
      </c>
      <c r="Q278" s="406"/>
      <c r="R278" s="405">
        <v>604</v>
      </c>
      <c r="S278" s="405">
        <v>2</v>
      </c>
      <c r="T278" s="405">
        <v>2706</v>
      </c>
      <c r="U278" s="406"/>
      <c r="V278" s="405">
        <v>2353</v>
      </c>
      <c r="W278" s="405">
        <v>41</v>
      </c>
      <c r="X278" s="405">
        <v>17421</v>
      </c>
      <c r="Y278" s="406"/>
      <c r="Z278" s="405">
        <v>280</v>
      </c>
      <c r="AA278" s="405">
        <v>12</v>
      </c>
      <c r="AB278" s="405">
        <v>42203</v>
      </c>
    </row>
    <row r="279" spans="1:28" s="201" customFormat="1">
      <c r="A279" s="201" t="s">
        <v>877</v>
      </c>
      <c r="B279" s="398">
        <v>2.4</v>
      </c>
      <c r="C279" s="398">
        <v>1.6</v>
      </c>
      <c r="D279" s="398">
        <v>3.5</v>
      </c>
      <c r="E279" s="398">
        <v>2.7</v>
      </c>
      <c r="F279" s="398">
        <v>6</v>
      </c>
      <c r="G279" s="398">
        <v>3.7</v>
      </c>
      <c r="I279" s="404" t="s">
        <v>369</v>
      </c>
      <c r="J279" s="405">
        <v>75184</v>
      </c>
      <c r="K279" s="405">
        <v>1384</v>
      </c>
      <c r="L279" s="405">
        <v>18409</v>
      </c>
      <c r="M279" s="406"/>
      <c r="N279" s="405">
        <v>13989</v>
      </c>
      <c r="O279" s="405">
        <v>334</v>
      </c>
      <c r="P279" s="405">
        <v>23897</v>
      </c>
      <c r="Q279" s="406"/>
      <c r="R279" s="405">
        <v>1506</v>
      </c>
      <c r="S279" s="405">
        <v>4</v>
      </c>
      <c r="T279" s="405">
        <v>2657</v>
      </c>
      <c r="U279" s="406"/>
      <c r="V279" s="405">
        <v>4572</v>
      </c>
      <c r="W279" s="405">
        <v>78</v>
      </c>
      <c r="X279" s="405">
        <v>17114</v>
      </c>
      <c r="Y279" s="406"/>
      <c r="Z279" s="405">
        <v>270</v>
      </c>
      <c r="AA279" s="405">
        <v>10</v>
      </c>
      <c r="AB279" s="405">
        <v>38521</v>
      </c>
    </row>
    <row r="280" spans="1:28" s="201" customFormat="1">
      <c r="A280" s="201" t="s">
        <v>878</v>
      </c>
      <c r="B280" s="398">
        <v>0.1</v>
      </c>
      <c r="C280" s="398">
        <v>0.1</v>
      </c>
      <c r="D280" s="398">
        <v>0.1</v>
      </c>
      <c r="E280" s="398">
        <v>0</v>
      </c>
      <c r="F280" s="398">
        <v>0.5</v>
      </c>
      <c r="G280" s="398">
        <v>0.2</v>
      </c>
      <c r="I280" s="404" t="s">
        <v>370</v>
      </c>
      <c r="J280" s="405">
        <v>68616</v>
      </c>
      <c r="K280" s="405">
        <v>1160</v>
      </c>
      <c r="L280" s="405">
        <v>16906</v>
      </c>
      <c r="M280" s="406"/>
      <c r="N280" s="405">
        <v>9437</v>
      </c>
      <c r="O280" s="405">
        <v>200</v>
      </c>
      <c r="P280" s="405">
        <v>21192</v>
      </c>
      <c r="Q280" s="406"/>
      <c r="R280" s="405">
        <v>1554</v>
      </c>
      <c r="S280" s="405">
        <v>4</v>
      </c>
      <c r="T280" s="405">
        <v>2720</v>
      </c>
      <c r="U280" s="406"/>
      <c r="V280" s="405">
        <v>1917</v>
      </c>
      <c r="W280" s="405">
        <v>32</v>
      </c>
      <c r="X280" s="405">
        <v>16560</v>
      </c>
      <c r="Y280" s="406"/>
      <c r="Z280" s="405">
        <v>358</v>
      </c>
      <c r="AA280" s="405">
        <v>14</v>
      </c>
      <c r="AB280" s="405">
        <v>38367</v>
      </c>
    </row>
    <row r="281" spans="1:28" s="201" customFormat="1">
      <c r="A281" s="201" t="s">
        <v>879</v>
      </c>
      <c r="B281" s="398">
        <v>1.3</v>
      </c>
      <c r="C281" s="398">
        <v>1</v>
      </c>
      <c r="D281" s="398">
        <v>3.1</v>
      </c>
      <c r="E281" s="398">
        <v>2.1</v>
      </c>
      <c r="F281" s="398">
        <v>4.8</v>
      </c>
      <c r="G281" s="398">
        <v>2.8</v>
      </c>
      <c r="I281" s="407" t="s">
        <v>1</v>
      </c>
      <c r="J281" s="408">
        <v>2117463</v>
      </c>
      <c r="K281" s="408">
        <v>35975</v>
      </c>
      <c r="L281" s="408">
        <v>16990</v>
      </c>
      <c r="M281" s="408"/>
      <c r="N281" s="408">
        <v>354458</v>
      </c>
      <c r="O281" s="408">
        <v>7891</v>
      </c>
      <c r="P281" s="408">
        <v>22263</v>
      </c>
      <c r="Q281" s="408"/>
      <c r="R281" s="408">
        <v>39851</v>
      </c>
      <c r="S281" s="408">
        <v>109</v>
      </c>
      <c r="T281" s="408">
        <v>2731</v>
      </c>
      <c r="U281" s="408"/>
      <c r="V281" s="408">
        <v>85820</v>
      </c>
      <c r="W281" s="408">
        <v>1485</v>
      </c>
      <c r="X281" s="408">
        <v>17300</v>
      </c>
      <c r="Y281" s="408"/>
      <c r="Z281" s="408">
        <v>21319</v>
      </c>
      <c r="AA281" s="408">
        <v>842</v>
      </c>
      <c r="AB281" s="408">
        <v>39501</v>
      </c>
    </row>
    <row r="282" spans="1:28" s="201" customFormat="1">
      <c r="A282" s="201" t="s">
        <v>880</v>
      </c>
      <c r="B282" s="398">
        <v>1</v>
      </c>
      <c r="C282" s="398">
        <v>0.4</v>
      </c>
      <c r="D282" s="398">
        <v>0.3</v>
      </c>
      <c r="E282" s="398">
        <v>0.6</v>
      </c>
      <c r="F282" s="398">
        <v>0.7</v>
      </c>
      <c r="G282" s="398">
        <v>0.7</v>
      </c>
      <c r="I282" s="404" t="s">
        <v>893</v>
      </c>
    </row>
    <row r="283" spans="1:28" s="201" customFormat="1">
      <c r="A283" s="119" t="s">
        <v>869</v>
      </c>
      <c r="B283" s="399">
        <v>100</v>
      </c>
      <c r="C283" s="399">
        <v>100</v>
      </c>
      <c r="D283" s="399">
        <v>100</v>
      </c>
      <c r="E283" s="399">
        <v>100</v>
      </c>
      <c r="F283" s="399">
        <v>100</v>
      </c>
      <c r="G283" s="399">
        <v>100</v>
      </c>
    </row>
    <row r="284" spans="1:28" s="201" customFormat="1">
      <c r="A284" s="395" t="s">
        <v>881</v>
      </c>
    </row>
    <row r="285" spans="1:28" s="201" customFormat="1"/>
    <row r="286" spans="1:28" s="201" customFormat="1"/>
    <row r="287" spans="1:28" s="201" customFormat="1">
      <c r="F287" s="7"/>
    </row>
    <row r="288" spans="1:28" s="201" customFormat="1">
      <c r="A288" s="201" t="s">
        <v>900</v>
      </c>
      <c r="F288" s="7"/>
    </row>
    <row r="289" spans="1:9" s="201" customFormat="1">
      <c r="A289" s="115" t="s">
        <v>889</v>
      </c>
      <c r="B289" s="113" t="s">
        <v>894</v>
      </c>
      <c r="C289" s="113" t="s">
        <v>895</v>
      </c>
      <c r="D289" s="113" t="s">
        <v>890</v>
      </c>
      <c r="E289" s="113" t="s">
        <v>901</v>
      </c>
      <c r="F289" s="113" t="s">
        <v>517</v>
      </c>
    </row>
    <row r="290" spans="1:9" s="201" customFormat="1">
      <c r="A290" s="201" t="s">
        <v>891</v>
      </c>
      <c r="B290" s="39">
        <v>4</v>
      </c>
      <c r="C290" s="317">
        <f>B240</f>
        <v>0.5</v>
      </c>
      <c r="D290" s="411">
        <f>B290/$B$293</f>
        <v>0.27889325272494597</v>
      </c>
      <c r="E290" s="138">
        <f>$E$293*C290*D290</f>
        <v>7485.229753311015</v>
      </c>
      <c r="F290" s="317">
        <f>E290/$E$293</f>
        <v>0.13944662636247299</v>
      </c>
    </row>
    <row r="291" spans="1:9" s="201" customFormat="1">
      <c r="A291" s="201" t="s">
        <v>899</v>
      </c>
      <c r="B291" s="39">
        <v>17</v>
      </c>
      <c r="C291" s="317">
        <f>C240</f>
        <v>0.41</v>
      </c>
      <c r="D291" s="411">
        <f>B291/$B$293</f>
        <v>1.1852963240810204</v>
      </c>
      <c r="E291" s="138">
        <f>$E$293*C291*D291</f>
        <v>26086.025690288883</v>
      </c>
      <c r="F291" s="317">
        <f>E291/$E$293</f>
        <v>0.48597149287321834</v>
      </c>
      <c r="I291" s="118"/>
    </row>
    <row r="292" spans="1:9" s="201" customFormat="1">
      <c r="A292" s="201" t="s">
        <v>898</v>
      </c>
      <c r="B292" s="316">
        <f>((B293-(B290*C290)-(B291*C291)))/C292</f>
        <v>59.693389592123772</v>
      </c>
      <c r="C292" s="317">
        <f>D240</f>
        <v>0.09</v>
      </c>
      <c r="D292" s="411">
        <f>B292/$B$293</f>
        <v>4.1620208973812085</v>
      </c>
      <c r="E292" s="138">
        <f>$E$293*C292*D292</f>
        <v>20106.843113292791</v>
      </c>
      <c r="F292" s="317">
        <f>E292/$E$293</f>
        <v>0.37458188076430876</v>
      </c>
    </row>
    <row r="293" spans="1:9" s="201" customFormat="1">
      <c r="A293" s="119" t="s">
        <v>1</v>
      </c>
      <c r="B293" s="409">
        <f>(B255*D270/(SUM(D270:D271)))+(B256*D271/(SUM(D270:D271)))</f>
        <v>14.342405063291139</v>
      </c>
      <c r="C293" s="264" t="s">
        <v>17</v>
      </c>
      <c r="D293" s="410" t="s">
        <v>17</v>
      </c>
      <c r="E293" s="412">
        <f>C148</f>
        <v>53678.098556892684</v>
      </c>
      <c r="F293" s="412">
        <f>SUM(F290:F292)</f>
        <v>1</v>
      </c>
      <c r="I293" s="35"/>
    </row>
    <row r="294" spans="1:9" s="201" customFormat="1">
      <c r="A294" s="201" t="s">
        <v>906</v>
      </c>
    </row>
    <row r="295" spans="1:9" s="201" customFormat="1"/>
    <row r="296" spans="1:9" s="201" customFormat="1"/>
    <row r="297" spans="1:9" s="201" customFormat="1"/>
    <row r="298" spans="1:9" s="201" customFormat="1">
      <c r="A298" s="201" t="s">
        <v>904</v>
      </c>
      <c r="F298" s="7"/>
    </row>
    <row r="299" spans="1:9" s="201" customFormat="1">
      <c r="A299" s="115" t="s">
        <v>889</v>
      </c>
      <c r="B299" s="113" t="s">
        <v>894</v>
      </c>
      <c r="C299" s="113" t="s">
        <v>895</v>
      </c>
      <c r="D299" s="113" t="s">
        <v>890</v>
      </c>
      <c r="E299" s="113" t="s">
        <v>901</v>
      </c>
      <c r="F299" s="113" t="s">
        <v>517</v>
      </c>
    </row>
    <row r="300" spans="1:9" s="201" customFormat="1">
      <c r="A300" s="201" t="s">
        <v>891</v>
      </c>
      <c r="B300" s="39">
        <v>4</v>
      </c>
      <c r="C300" s="317">
        <f>B240</f>
        <v>0.5</v>
      </c>
      <c r="D300" s="411">
        <f>B300/$B$303</f>
        <v>0.38095238095238093</v>
      </c>
      <c r="E300" s="316">
        <f>$E$303*C300*D300</f>
        <v>238.72184365296803</v>
      </c>
      <c r="F300" s="317">
        <f>E300/$E$303</f>
        <v>0.19047619047619047</v>
      </c>
    </row>
    <row r="301" spans="1:9" s="201" customFormat="1">
      <c r="A301" s="201" t="s">
        <v>899</v>
      </c>
      <c r="B301" s="39">
        <v>14</v>
      </c>
      <c r="C301" s="317">
        <f>C240</f>
        <v>0.41</v>
      </c>
      <c r="D301" s="411">
        <f>B301/$B$303</f>
        <v>1.3333333333333333</v>
      </c>
      <c r="E301" s="316">
        <f>$E$303*C301*D301</f>
        <v>685.13169128401819</v>
      </c>
      <c r="F301" s="317">
        <f>E301/$E$303</f>
        <v>0.54666666666666663</v>
      </c>
    </row>
    <row r="302" spans="1:9" s="201" customFormat="1">
      <c r="A302" s="201" t="s">
        <v>898</v>
      </c>
      <c r="B302" s="316">
        <f>((B303-(B300*C300)-(B301*C301)))/C302</f>
        <v>30.666666666666675</v>
      </c>
      <c r="C302" s="317">
        <f>D240</f>
        <v>0.09</v>
      </c>
      <c r="D302" s="411">
        <f>B302/$B$303</f>
        <v>2.9206349206349214</v>
      </c>
      <c r="E302" s="316">
        <f>$E$303*C302*D302</f>
        <v>329.43614424109597</v>
      </c>
      <c r="F302" s="317">
        <f>E302/$E$303</f>
        <v>0.2628571428571429</v>
      </c>
    </row>
    <row r="303" spans="1:9" s="201" customFormat="1">
      <c r="A303" s="119" t="s">
        <v>1</v>
      </c>
      <c r="B303" s="409">
        <f>B261</f>
        <v>10.5</v>
      </c>
      <c r="C303" s="264" t="s">
        <v>17</v>
      </c>
      <c r="D303" s="410" t="s">
        <v>17</v>
      </c>
      <c r="E303" s="412">
        <f>C152</f>
        <v>1253.2896791780822</v>
      </c>
      <c r="F303" s="412">
        <f>SUM(F300:F302)</f>
        <v>1</v>
      </c>
    </row>
    <row r="304" spans="1:9" s="201" customFormat="1">
      <c r="A304" s="413"/>
      <c r="B304" s="414"/>
      <c r="C304" s="415"/>
      <c r="D304" s="416"/>
      <c r="E304" s="417"/>
      <c r="F304" s="417"/>
    </row>
    <row r="305" spans="1:6" s="201" customFormat="1">
      <c r="A305" s="413"/>
      <c r="B305" s="414"/>
      <c r="C305" s="415"/>
      <c r="D305" s="416"/>
      <c r="E305" s="417"/>
      <c r="F305" s="417"/>
    </row>
    <row r="306" spans="1:6" s="201" customFormat="1">
      <c r="A306" s="413"/>
      <c r="B306" s="414"/>
      <c r="C306" s="415"/>
      <c r="D306" s="416"/>
      <c r="E306" s="417"/>
      <c r="F306" s="417"/>
    </row>
    <row r="307" spans="1:6" s="201" customFormat="1">
      <c r="A307" s="201" t="s">
        <v>910</v>
      </c>
      <c r="F307" s="7"/>
    </row>
    <row r="308" spans="1:6" s="201" customFormat="1">
      <c r="A308" s="115" t="s">
        <v>889</v>
      </c>
      <c r="B308" s="113" t="s">
        <v>894</v>
      </c>
      <c r="C308" s="113" t="s">
        <v>895</v>
      </c>
      <c r="D308" s="113" t="s">
        <v>890</v>
      </c>
      <c r="E308" s="113" t="s">
        <v>901</v>
      </c>
      <c r="F308" s="113" t="s">
        <v>517</v>
      </c>
    </row>
    <row r="309" spans="1:6" s="201" customFormat="1">
      <c r="A309" s="201" t="s">
        <v>891</v>
      </c>
      <c r="B309" s="39">
        <v>4</v>
      </c>
      <c r="C309" s="317">
        <f>B240</f>
        <v>0.5</v>
      </c>
      <c r="D309" s="411">
        <f>B309/$B$312</f>
        <v>0.24539877300613497</v>
      </c>
      <c r="E309" s="316">
        <f>$E$312*C309*D309</f>
        <v>1204.4243616479548</v>
      </c>
      <c r="F309" s="317">
        <f>E309/$E$312</f>
        <v>0.12269938650306748</v>
      </c>
    </row>
    <row r="310" spans="1:6" s="201" customFormat="1">
      <c r="A310" s="201" t="s">
        <v>899</v>
      </c>
      <c r="B310" s="39">
        <v>17</v>
      </c>
      <c r="C310" s="317">
        <f>C240</f>
        <v>0.41</v>
      </c>
      <c r="D310" s="411">
        <f>B310/$B$312</f>
        <v>1.0429447852760736</v>
      </c>
      <c r="E310" s="316">
        <f>$E$312*C310*D310</f>
        <v>4197.418900343122</v>
      </c>
      <c r="F310" s="317">
        <f>E310/$E$312</f>
        <v>0.4276073619631901</v>
      </c>
    </row>
    <row r="311" spans="1:6" s="201" customFormat="1">
      <c r="A311" s="201" t="s">
        <v>898</v>
      </c>
      <c r="B311" s="316">
        <f>((B312-(B309*C309)-(B310*C310)))/C311</f>
        <v>81.444444444444457</v>
      </c>
      <c r="C311" s="317">
        <f>D240</f>
        <v>0.09</v>
      </c>
      <c r="D311" s="411">
        <f>B311/$B$312</f>
        <v>4.9965916837082487</v>
      </c>
      <c r="E311" s="316">
        <f>$E$312*C311*D311</f>
        <v>4414.2152854397546</v>
      </c>
      <c r="F311" s="317">
        <f>E311/$E$312</f>
        <v>0.44969325153374234</v>
      </c>
    </row>
    <row r="312" spans="1:6" s="201" customFormat="1">
      <c r="A312" s="119" t="s">
        <v>1</v>
      </c>
      <c r="B312" s="409">
        <f>B258</f>
        <v>16.3</v>
      </c>
      <c r="C312" s="264" t="s">
        <v>17</v>
      </c>
      <c r="D312" s="410" t="s">
        <v>17</v>
      </c>
      <c r="E312" s="412">
        <f>C153</f>
        <v>9816.0585474308318</v>
      </c>
      <c r="F312" s="412">
        <f>SUM(F309:F311)</f>
        <v>1</v>
      </c>
    </row>
    <row r="313" spans="1:6" s="201" customFormat="1"/>
    <row r="314" spans="1:6" s="201" customFormat="1"/>
    <row r="315" spans="1:6" s="201" customFormat="1"/>
    <row r="316" spans="1:6" s="201" customFormat="1">
      <c r="A316" s="201" t="s">
        <v>905</v>
      </c>
      <c r="F316" s="7"/>
    </row>
    <row r="317" spans="1:6" s="201" customFormat="1">
      <c r="A317" s="115" t="s">
        <v>889</v>
      </c>
      <c r="B317" s="113" t="s">
        <v>894</v>
      </c>
      <c r="C317" s="113" t="s">
        <v>895</v>
      </c>
      <c r="D317" s="113" t="s">
        <v>890</v>
      </c>
      <c r="E317" s="113" t="s">
        <v>901</v>
      </c>
      <c r="F317" s="113" t="s">
        <v>517</v>
      </c>
    </row>
    <row r="318" spans="1:6" s="201" customFormat="1">
      <c r="A318" s="201" t="s">
        <v>891</v>
      </c>
      <c r="B318" s="39">
        <v>4</v>
      </c>
      <c r="C318" s="317">
        <f>C300</f>
        <v>0.5</v>
      </c>
      <c r="D318" s="411">
        <f>B318/$B$320</f>
        <v>0.29197080291970806</v>
      </c>
      <c r="E318" s="316">
        <f>$E$320*C318*D318</f>
        <v>17.503649635036499</v>
      </c>
      <c r="F318" s="317">
        <f>E318/$E$320</f>
        <v>0.14598540145985403</v>
      </c>
    </row>
    <row r="319" spans="1:6" s="201" customFormat="1">
      <c r="A319" s="201" t="s">
        <v>899</v>
      </c>
      <c r="B319" s="39">
        <f>(B320-(B318*C319))/C318</f>
        <v>23.4</v>
      </c>
      <c r="C319" s="317">
        <v>0.5</v>
      </c>
      <c r="D319" s="411">
        <f>B319/$B$320</f>
        <v>1.7080291970802919</v>
      </c>
      <c r="E319" s="316">
        <f>$E$320*C319*D319</f>
        <v>102.39635036496351</v>
      </c>
      <c r="F319" s="317">
        <f>E319/$E$320</f>
        <v>0.85401459854014605</v>
      </c>
    </row>
    <row r="320" spans="1:6" s="201" customFormat="1">
      <c r="A320" s="119" t="s">
        <v>1</v>
      </c>
      <c r="B320" s="409">
        <f>B262</f>
        <v>13.7</v>
      </c>
      <c r="C320" s="264" t="s">
        <v>17</v>
      </c>
      <c r="D320" s="410" t="s">
        <v>17</v>
      </c>
      <c r="E320" s="412">
        <f>C144</f>
        <v>119.9</v>
      </c>
      <c r="F320" s="412">
        <f>SUM(F318:F319)</f>
        <v>1</v>
      </c>
    </row>
    <row r="321" spans="1:29" s="201" customFormat="1">
      <c r="A321" s="413"/>
      <c r="B321" s="414"/>
      <c r="C321" s="415"/>
      <c r="D321" s="416"/>
      <c r="E321" s="417"/>
      <c r="F321" s="417"/>
    </row>
    <row r="322" spans="1:29" s="201" customFormat="1">
      <c r="A322" s="413"/>
      <c r="B322" s="414"/>
      <c r="C322" s="415"/>
      <c r="D322" s="416"/>
      <c r="E322" s="417"/>
      <c r="F322" s="417"/>
    </row>
    <row r="323" spans="1:29" s="201" customFormat="1">
      <c r="A323" s="413"/>
      <c r="B323" s="414"/>
      <c r="C323" s="415"/>
      <c r="D323" s="416"/>
      <c r="E323" s="417"/>
      <c r="F323" s="417"/>
    </row>
    <row r="324" spans="1:29" s="201" customFormat="1">
      <c r="A324" s="111" t="s">
        <v>903</v>
      </c>
    </row>
    <row r="325" spans="1:29" s="201" customFormat="1">
      <c r="A325" s="115" t="s">
        <v>889</v>
      </c>
      <c r="B325" s="115" t="s">
        <v>63</v>
      </c>
      <c r="C325" s="113" t="str">
        <f t="shared" ref="C325:AC325" si="111">C360</f>
        <v>IE</v>
      </c>
      <c r="D325" s="113" t="str">
        <f t="shared" si="111"/>
        <v>IE-CW</v>
      </c>
      <c r="E325" s="113" t="str">
        <f t="shared" si="111"/>
        <v>IE-D</v>
      </c>
      <c r="F325" s="113" t="str">
        <f t="shared" si="111"/>
        <v>IE-KE</v>
      </c>
      <c r="G325" s="113" t="str">
        <f t="shared" si="111"/>
        <v>IE-KK</v>
      </c>
      <c r="H325" s="113" t="str">
        <f t="shared" si="111"/>
        <v>IE-LS</v>
      </c>
      <c r="I325" s="113" t="str">
        <f t="shared" si="111"/>
        <v>IE-LD</v>
      </c>
      <c r="J325" s="113" t="str">
        <f t="shared" si="111"/>
        <v>IE-LH</v>
      </c>
      <c r="K325" s="113" t="str">
        <f t="shared" si="111"/>
        <v>IE-MH</v>
      </c>
      <c r="L325" s="113" t="str">
        <f t="shared" si="111"/>
        <v>IE-OY</v>
      </c>
      <c r="M325" s="113" t="str">
        <f t="shared" si="111"/>
        <v>IE-WH</v>
      </c>
      <c r="N325" s="113" t="str">
        <f t="shared" si="111"/>
        <v>IE-WX</v>
      </c>
      <c r="O325" s="113" t="str">
        <f t="shared" si="111"/>
        <v>IE-WW</v>
      </c>
      <c r="P325" s="113" t="str">
        <f t="shared" si="111"/>
        <v>IE-CE</v>
      </c>
      <c r="Q325" s="113" t="str">
        <f t="shared" si="111"/>
        <v>IE-CO</v>
      </c>
      <c r="R325" s="113" t="str">
        <f t="shared" si="111"/>
        <v>IE-KY</v>
      </c>
      <c r="S325" s="113" t="str">
        <f t="shared" si="111"/>
        <v>IE-LK</v>
      </c>
      <c r="T325" s="113" t="str">
        <f t="shared" si="111"/>
        <v>IE-TA</v>
      </c>
      <c r="U325" s="113" t="str">
        <f t="shared" si="111"/>
        <v>IE-WD</v>
      </c>
      <c r="V325" s="113" t="str">
        <f t="shared" si="111"/>
        <v>IE-G</v>
      </c>
      <c r="W325" s="113" t="str">
        <f t="shared" si="111"/>
        <v>IE-LM</v>
      </c>
      <c r="X325" s="113" t="str">
        <f t="shared" si="111"/>
        <v>IE-MO</v>
      </c>
      <c r="Y325" s="113" t="str">
        <f t="shared" si="111"/>
        <v>IE-RN</v>
      </c>
      <c r="Z325" s="113" t="str">
        <f t="shared" si="111"/>
        <v>IE-SO</v>
      </c>
      <c r="AA325" s="113" t="str">
        <f t="shared" si="111"/>
        <v>IE-CN</v>
      </c>
      <c r="AB325" s="113" t="str">
        <f t="shared" si="111"/>
        <v>IE-DL</v>
      </c>
      <c r="AC325" s="113" t="str">
        <f t="shared" si="111"/>
        <v>IE-MN</v>
      </c>
    </row>
    <row r="326" spans="1:29" s="201" customFormat="1">
      <c r="A326" s="201" t="s">
        <v>891</v>
      </c>
      <c r="B326" s="201" t="s">
        <v>902</v>
      </c>
      <c r="C326" s="10">
        <f>E290</f>
        <v>7485.229753311015</v>
      </c>
      <c r="D326" s="10">
        <f t="shared" ref="D326:AC326" si="112">$C$326*D148/$C$148</f>
        <v>110.06160990359193</v>
      </c>
      <c r="E326" s="10">
        <f t="shared" si="112"/>
        <v>1583.5140131875958</v>
      </c>
      <c r="F326" s="10">
        <f t="shared" si="112"/>
        <v>378.66187150196095</v>
      </c>
      <c r="G326" s="10">
        <f t="shared" si="112"/>
        <v>172.06228996270426</v>
      </c>
      <c r="H326" s="10">
        <f t="shared" si="112"/>
        <v>140.02167006638444</v>
      </c>
      <c r="I326" s="10">
        <f t="shared" si="112"/>
        <v>70.739030939926764</v>
      </c>
      <c r="J326" s="10">
        <f t="shared" si="112"/>
        <v>187.66648796415862</v>
      </c>
      <c r="K326" s="10">
        <f t="shared" si="112"/>
        <v>335.38622904459396</v>
      </c>
      <c r="L326" s="10">
        <f t="shared" si="112"/>
        <v>137.10888643944631</v>
      </c>
      <c r="M326" s="10">
        <f t="shared" si="112"/>
        <v>163.3239390818897</v>
      </c>
      <c r="N326" s="10">
        <f t="shared" si="112"/>
        <v>288.15752309352519</v>
      </c>
      <c r="O326" s="10">
        <f t="shared" si="112"/>
        <v>241.55298506251461</v>
      </c>
      <c r="P326" s="10">
        <f t="shared" si="112"/>
        <v>222.82794746076934</v>
      </c>
      <c r="Q326" s="10">
        <f t="shared" si="112"/>
        <v>894.22457347001534</v>
      </c>
      <c r="R326" s="10">
        <f t="shared" si="112"/>
        <v>265.89553394478355</v>
      </c>
      <c r="S326" s="10">
        <f t="shared" si="112"/>
        <v>328.72843789730672</v>
      </c>
      <c r="T326" s="10">
        <f t="shared" si="112"/>
        <v>314.78868768267404</v>
      </c>
      <c r="U326" s="10">
        <f t="shared" si="112"/>
        <v>204.72707777908218</v>
      </c>
      <c r="V326" s="10">
        <f t="shared" si="112"/>
        <v>430.67586484014231</v>
      </c>
      <c r="W326" s="10">
        <f t="shared" si="112"/>
        <v>59.295952405526855</v>
      </c>
      <c r="X326" s="10">
        <f t="shared" si="112"/>
        <v>236.35158572869651</v>
      </c>
      <c r="Y326" s="10">
        <f t="shared" si="112"/>
        <v>137.52499838615176</v>
      </c>
      <c r="Z326" s="10">
        <f t="shared" si="112"/>
        <v>109.22938601018103</v>
      </c>
      <c r="AA326" s="10">
        <f t="shared" si="112"/>
        <v>127.5383116652209</v>
      </c>
      <c r="AB326" s="10">
        <f t="shared" si="112"/>
        <v>242.80132090263095</v>
      </c>
      <c r="AC326" s="10">
        <f t="shared" si="112"/>
        <v>102.36353888954106</v>
      </c>
    </row>
    <row r="327" spans="1:29" s="201" customFormat="1">
      <c r="A327" s="201" t="s">
        <v>899</v>
      </c>
      <c r="B327" s="201" t="s">
        <v>902</v>
      </c>
      <c r="C327" s="10">
        <f>E291</f>
        <v>26086.025690288883</v>
      </c>
      <c r="D327" s="10">
        <f t="shared" ref="D327:AC327" si="113">$C$327*D148/$C$148</f>
        <v>383.56471051401786</v>
      </c>
      <c r="E327" s="10">
        <f t="shared" si="113"/>
        <v>5518.5463359587702</v>
      </c>
      <c r="F327" s="10">
        <f t="shared" si="113"/>
        <v>1319.6366221843339</v>
      </c>
      <c r="G327" s="10">
        <f t="shared" si="113"/>
        <v>599.63708052002414</v>
      </c>
      <c r="H327" s="10">
        <f t="shared" si="113"/>
        <v>487.97552018134968</v>
      </c>
      <c r="I327" s="10">
        <f t="shared" si="113"/>
        <v>246.52552282564474</v>
      </c>
      <c r="J327" s="10">
        <f t="shared" si="113"/>
        <v>654.01771055509278</v>
      </c>
      <c r="K327" s="10">
        <f t="shared" si="113"/>
        <v>1168.8210082204098</v>
      </c>
      <c r="L327" s="10">
        <f t="shared" si="113"/>
        <v>477.82446924147024</v>
      </c>
      <c r="M327" s="10">
        <f t="shared" si="113"/>
        <v>569.18392770038554</v>
      </c>
      <c r="N327" s="10">
        <f t="shared" si="113"/>
        <v>1004.2289679809351</v>
      </c>
      <c r="O327" s="10">
        <f t="shared" si="113"/>
        <v>841.81215294286335</v>
      </c>
      <c r="P327" s="10">
        <f t="shared" si="113"/>
        <v>776.55539690078092</v>
      </c>
      <c r="Q327" s="10">
        <f t="shared" si="113"/>
        <v>3116.3726385430027</v>
      </c>
      <c r="R327" s="10">
        <f t="shared" si="113"/>
        <v>926.64593579757059</v>
      </c>
      <c r="S327" s="10">
        <f t="shared" si="113"/>
        <v>1145.6186060721138</v>
      </c>
      <c r="T327" s="10">
        <f t="shared" si="113"/>
        <v>1097.0385765741189</v>
      </c>
      <c r="U327" s="10">
        <f t="shared" si="113"/>
        <v>713.47386606010127</v>
      </c>
      <c r="V327" s="10">
        <f t="shared" si="113"/>
        <v>1500.9053889678955</v>
      </c>
      <c r="W327" s="10">
        <f t="shared" si="113"/>
        <v>206.64639413326103</v>
      </c>
      <c r="X327" s="10">
        <f t="shared" si="113"/>
        <v>823.68527626450714</v>
      </c>
      <c r="Y327" s="10">
        <f t="shared" si="113"/>
        <v>479.27461937573872</v>
      </c>
      <c r="Z327" s="10">
        <f t="shared" si="113"/>
        <v>380.66441024548084</v>
      </c>
      <c r="AA327" s="10">
        <f t="shared" si="113"/>
        <v>444.47101615329478</v>
      </c>
      <c r="AB327" s="10">
        <f t="shared" si="113"/>
        <v>846.1626033456688</v>
      </c>
      <c r="AC327" s="10">
        <f t="shared" si="113"/>
        <v>356.73693303005058</v>
      </c>
    </row>
    <row r="328" spans="1:29" s="201" customFormat="1">
      <c r="A328" s="201" t="s">
        <v>898</v>
      </c>
      <c r="B328" s="201" t="s">
        <v>902</v>
      </c>
      <c r="C328" s="10">
        <f>E292</f>
        <v>20106.843113292791</v>
      </c>
      <c r="D328" s="10">
        <f t="shared" ref="D328:AC328" si="114">$C$328*D148/$C$148</f>
        <v>295.64777516001573</v>
      </c>
      <c r="E328" s="10">
        <f t="shared" si="114"/>
        <v>4253.6393511207552</v>
      </c>
      <c r="F328" s="10">
        <f t="shared" si="114"/>
        <v>1017.1624778662168</v>
      </c>
      <c r="G328" s="10">
        <f t="shared" si="114"/>
        <v>462.19415889855026</v>
      </c>
      <c r="H328" s="10">
        <f t="shared" si="114"/>
        <v>376.12656461756256</v>
      </c>
      <c r="I328" s="10">
        <f t="shared" si="114"/>
        <v>190.01936399698553</v>
      </c>
      <c r="J328" s="10">
        <f t="shared" si="114"/>
        <v>504.11019507435577</v>
      </c>
      <c r="K328" s="10">
        <f t="shared" si="114"/>
        <v>900.91533753864917</v>
      </c>
      <c r="L328" s="10">
        <f t="shared" si="114"/>
        <v>368.30223786474551</v>
      </c>
      <c r="M328" s="10">
        <f t="shared" si="114"/>
        <v>438.72117864009891</v>
      </c>
      <c r="N328" s="10">
        <f t="shared" si="114"/>
        <v>774.04946804654401</v>
      </c>
      <c r="O328" s="10">
        <f t="shared" si="114"/>
        <v>648.8602400014712</v>
      </c>
      <c r="P328" s="10">
        <f t="shared" si="114"/>
        <v>598.5609965905046</v>
      </c>
      <c r="Q328" s="10">
        <f t="shared" si="114"/>
        <v>2402.0683131148348</v>
      </c>
      <c r="R328" s="10">
        <f t="shared" si="114"/>
        <v>714.24925643572794</v>
      </c>
      <c r="S328" s="10">
        <f t="shared" si="114"/>
        <v>883.03116210363874</v>
      </c>
      <c r="T328" s="10">
        <f t="shared" si="114"/>
        <v>845.58616978658563</v>
      </c>
      <c r="U328" s="10">
        <f t="shared" si="114"/>
        <v>549.9383946265699</v>
      </c>
      <c r="V328" s="10">
        <f t="shared" si="114"/>
        <v>1156.8825984522355</v>
      </c>
      <c r="W328" s="10">
        <f t="shared" si="114"/>
        <v>159.28093746806144</v>
      </c>
      <c r="X328" s="10">
        <f t="shared" si="114"/>
        <v>634.88822794286943</v>
      </c>
      <c r="Y328" s="10">
        <f t="shared" si="114"/>
        <v>369.41999882943367</v>
      </c>
      <c r="Z328" s="10">
        <f t="shared" si="114"/>
        <v>293.41225323063946</v>
      </c>
      <c r="AA328" s="10">
        <f t="shared" si="114"/>
        <v>342.59373567691807</v>
      </c>
      <c r="AB328" s="10">
        <f t="shared" si="114"/>
        <v>652.21352289553568</v>
      </c>
      <c r="AC328" s="10">
        <f t="shared" si="114"/>
        <v>274.96919731328495</v>
      </c>
    </row>
    <row r="329" spans="1:29" s="201" customFormat="1">
      <c r="A329" s="119" t="s">
        <v>1</v>
      </c>
      <c r="B329" s="200" t="s">
        <v>902</v>
      </c>
      <c r="C329" s="340">
        <f>SUM(C326:C328)</f>
        <v>53678.098556892684</v>
      </c>
      <c r="D329" s="340">
        <f t="shared" ref="D329:AC329" si="115">SUM(D326:D328)</f>
        <v>789.27409557762553</v>
      </c>
      <c r="E329" s="340">
        <f t="shared" si="115"/>
        <v>11355.699700267121</v>
      </c>
      <c r="F329" s="340">
        <f t="shared" si="115"/>
        <v>2715.4609715525116</v>
      </c>
      <c r="G329" s="340">
        <f t="shared" si="115"/>
        <v>1233.8935293812788</v>
      </c>
      <c r="H329" s="340">
        <f t="shared" si="115"/>
        <v>1004.1237548652966</v>
      </c>
      <c r="I329" s="340">
        <f t="shared" si="115"/>
        <v>507.28391776255705</v>
      </c>
      <c r="J329" s="340">
        <f t="shared" si="115"/>
        <v>1345.7943935936071</v>
      </c>
      <c r="K329" s="340">
        <f t="shared" si="115"/>
        <v>2405.1225748036527</v>
      </c>
      <c r="L329" s="340">
        <f t="shared" si="115"/>
        <v>983.23559354566203</v>
      </c>
      <c r="M329" s="340">
        <f t="shared" si="115"/>
        <v>1171.2290454223742</v>
      </c>
      <c r="N329" s="340">
        <f t="shared" si="115"/>
        <v>2066.4359591210041</v>
      </c>
      <c r="O329" s="340">
        <f t="shared" si="115"/>
        <v>1732.225378006849</v>
      </c>
      <c r="P329" s="340">
        <f t="shared" si="115"/>
        <v>1597.944340952055</v>
      </c>
      <c r="Q329" s="340">
        <f t="shared" si="115"/>
        <v>6412.6655251278535</v>
      </c>
      <c r="R329" s="340">
        <f t="shared" si="115"/>
        <v>1906.790726178082</v>
      </c>
      <c r="S329" s="340">
        <f t="shared" si="115"/>
        <v>2357.3782060730591</v>
      </c>
      <c r="T329" s="340">
        <f t="shared" si="115"/>
        <v>2257.4134340433784</v>
      </c>
      <c r="U329" s="340">
        <f t="shared" si="115"/>
        <v>1468.1393384657533</v>
      </c>
      <c r="V329" s="340">
        <f t="shared" si="115"/>
        <v>3088.4638522602736</v>
      </c>
      <c r="W329" s="340">
        <f t="shared" si="115"/>
        <v>425.22328400684933</v>
      </c>
      <c r="X329" s="340">
        <f t="shared" si="115"/>
        <v>1694.9250899360732</v>
      </c>
      <c r="Y329" s="340">
        <f t="shared" si="115"/>
        <v>986.2196165913241</v>
      </c>
      <c r="Z329" s="340">
        <f t="shared" si="115"/>
        <v>783.30604948630139</v>
      </c>
      <c r="AA329" s="340">
        <f t="shared" si="115"/>
        <v>914.60306349543373</v>
      </c>
      <c r="AB329" s="340">
        <f t="shared" si="115"/>
        <v>1741.1774471438353</v>
      </c>
      <c r="AC329" s="340">
        <f t="shared" si="115"/>
        <v>734.06966923287655</v>
      </c>
    </row>
    <row r="330" spans="1:29" s="201" customFormat="1">
      <c r="A330" s="413"/>
      <c r="B330" s="414"/>
      <c r="C330" s="415"/>
      <c r="D330" s="416"/>
      <c r="E330" s="417"/>
      <c r="F330" s="417"/>
    </row>
    <row r="331" spans="1:29" s="201" customFormat="1">
      <c r="A331" s="413"/>
      <c r="B331" s="414"/>
      <c r="C331" s="415"/>
      <c r="D331" s="416"/>
      <c r="E331" s="417"/>
      <c r="F331" s="417"/>
    </row>
    <row r="332" spans="1:29" s="201" customFormat="1">
      <c r="A332" s="413"/>
      <c r="B332" s="414"/>
      <c r="C332" s="415"/>
      <c r="D332" s="416"/>
      <c r="E332" s="417"/>
      <c r="F332" s="417"/>
    </row>
    <row r="333" spans="1:29" s="201" customFormat="1">
      <c r="A333" s="111" t="s">
        <v>907</v>
      </c>
    </row>
    <row r="334" spans="1:29" s="201" customFormat="1">
      <c r="A334" s="115" t="s">
        <v>889</v>
      </c>
      <c r="B334" s="115" t="s">
        <v>63</v>
      </c>
      <c r="C334" s="113" t="str">
        <f>Regions!C3</f>
        <v>IE</v>
      </c>
      <c r="D334" s="113" t="str">
        <f>Regions!E3</f>
        <v>IE-CW</v>
      </c>
      <c r="E334" s="113" t="str">
        <f>Regions!F3</f>
        <v>IE-D</v>
      </c>
      <c r="F334" s="113" t="str">
        <f>Regions!G3</f>
        <v>IE-KE</v>
      </c>
      <c r="G334" s="113" t="str">
        <f>Regions!H3</f>
        <v>IE-KK</v>
      </c>
      <c r="H334" s="113" t="str">
        <f>Regions!I3</f>
        <v>IE-LS</v>
      </c>
      <c r="I334" s="113" t="str">
        <f>Regions!J3</f>
        <v>IE-LD</v>
      </c>
      <c r="J334" s="113" t="str">
        <f>Regions!K3</f>
        <v>IE-LH</v>
      </c>
      <c r="K334" s="113" t="str">
        <f>Regions!L3</f>
        <v>IE-MH</v>
      </c>
      <c r="L334" s="113" t="str">
        <f>Regions!M3</f>
        <v>IE-OY</v>
      </c>
      <c r="M334" s="113" t="str">
        <f>Regions!N3</f>
        <v>IE-WH</v>
      </c>
      <c r="N334" s="113" t="str">
        <f>Regions!O3</f>
        <v>IE-WX</v>
      </c>
      <c r="O334" s="113" t="str">
        <f>Regions!P3</f>
        <v>IE-WW</v>
      </c>
      <c r="P334" s="113" t="str">
        <f>Regions!Q3</f>
        <v>IE-CE</v>
      </c>
      <c r="Q334" s="113" t="str">
        <f>Regions!R3</f>
        <v>IE-CO</v>
      </c>
      <c r="R334" s="113" t="str">
        <f>Regions!S3</f>
        <v>IE-KY</v>
      </c>
      <c r="S334" s="113" t="str">
        <f>Regions!T3</f>
        <v>IE-LK</v>
      </c>
      <c r="T334" s="113" t="str">
        <f>Regions!U3</f>
        <v>IE-TA</v>
      </c>
      <c r="U334" s="113" t="str">
        <f>Regions!V3</f>
        <v>IE-WD</v>
      </c>
      <c r="V334" s="113" t="str">
        <f>Regions!W3</f>
        <v>IE-G</v>
      </c>
      <c r="W334" s="113" t="str">
        <f>Regions!X3</f>
        <v>IE-LM</v>
      </c>
      <c r="X334" s="113" t="str">
        <f>Regions!Y3</f>
        <v>IE-MO</v>
      </c>
      <c r="Y334" s="113" t="str">
        <f>Regions!Z3</f>
        <v>IE-RN</v>
      </c>
      <c r="Z334" s="113" t="str">
        <f>Regions!AA3</f>
        <v>IE-SO</v>
      </c>
      <c r="AA334" s="113" t="str">
        <f>Regions!AB3</f>
        <v>IE-CN</v>
      </c>
      <c r="AB334" s="113" t="str">
        <f>Regions!AC3</f>
        <v>IE-DL</v>
      </c>
      <c r="AC334" s="113" t="str">
        <f>Regions!AD3</f>
        <v>IE-MN</v>
      </c>
    </row>
    <row r="335" spans="1:29" s="201" customFormat="1">
      <c r="A335" s="201" t="s">
        <v>891</v>
      </c>
      <c r="B335" s="201" t="s">
        <v>902</v>
      </c>
      <c r="C335" s="10">
        <f>E300</f>
        <v>238.72184365296803</v>
      </c>
      <c r="D335" s="10">
        <f t="shared" ref="D335:AC335" si="116">$C$335*D152/$C$152</f>
        <v>1.4209633550771903</v>
      </c>
      <c r="E335" s="10">
        <f t="shared" si="116"/>
        <v>122.2028485366384</v>
      </c>
      <c r="F335" s="10">
        <f t="shared" si="116"/>
        <v>9.9467434855403329</v>
      </c>
      <c r="G335" s="10">
        <f t="shared" si="116"/>
        <v>2.5577340391389427</v>
      </c>
      <c r="H335" s="10">
        <f t="shared" si="116"/>
        <v>2.5577340391389427</v>
      </c>
      <c r="I335" s="10">
        <f t="shared" si="116"/>
        <v>1.1367706840617522</v>
      </c>
      <c r="J335" s="10">
        <f t="shared" si="116"/>
        <v>7.1048167753859506</v>
      </c>
      <c r="K335" s="10">
        <f t="shared" si="116"/>
        <v>11.936092182648398</v>
      </c>
      <c r="L335" s="10">
        <f t="shared" si="116"/>
        <v>1.7051560260926284</v>
      </c>
      <c r="M335" s="10">
        <f t="shared" si="116"/>
        <v>3.4103120521852568</v>
      </c>
      <c r="N335" s="10">
        <f t="shared" si="116"/>
        <v>3.1261193811698189</v>
      </c>
      <c r="O335" s="10">
        <f t="shared" si="116"/>
        <v>3.978697394216133</v>
      </c>
      <c r="P335" s="10">
        <f t="shared" si="116"/>
        <v>3.978697394216133</v>
      </c>
      <c r="Q335" s="10">
        <f t="shared" si="116"/>
        <v>19.893486971080666</v>
      </c>
      <c r="R335" s="10">
        <f t="shared" si="116"/>
        <v>5.1154680782778854</v>
      </c>
      <c r="S335" s="10">
        <f t="shared" si="116"/>
        <v>7.6732021174168281</v>
      </c>
      <c r="T335" s="10">
        <f t="shared" si="116"/>
        <v>2.8419267101543806</v>
      </c>
      <c r="U335" s="10">
        <f t="shared" si="116"/>
        <v>3.1261193811698189</v>
      </c>
      <c r="V335" s="10">
        <f t="shared" si="116"/>
        <v>10.799321498586647</v>
      </c>
      <c r="W335" s="10">
        <f t="shared" si="116"/>
        <v>0.8525780130463142</v>
      </c>
      <c r="X335" s="10">
        <f t="shared" si="116"/>
        <v>3.1261193811698189</v>
      </c>
      <c r="Y335" s="10">
        <f t="shared" si="116"/>
        <v>1.4209633550771903</v>
      </c>
      <c r="Z335" s="10">
        <f t="shared" si="116"/>
        <v>1.7051560260926284</v>
      </c>
      <c r="AA335" s="10">
        <f t="shared" si="116"/>
        <v>1.9893486971080667</v>
      </c>
      <c r="AB335" s="10">
        <f t="shared" si="116"/>
        <v>4.2628900652315709</v>
      </c>
      <c r="AC335" s="10">
        <f t="shared" si="116"/>
        <v>0.8525780130463142</v>
      </c>
    </row>
    <row r="336" spans="1:29" s="201" customFormat="1">
      <c r="A336" s="201" t="s">
        <v>899</v>
      </c>
      <c r="B336" s="201" t="s">
        <v>902</v>
      </c>
      <c r="C336" s="10">
        <f t="shared" ref="C336:C337" si="117">E301</f>
        <v>685.13169128401819</v>
      </c>
      <c r="D336" s="10">
        <f t="shared" ref="D336:AC336" si="118">$C$336*D152/$C$152</f>
        <v>4.078164829071536</v>
      </c>
      <c r="E336" s="10">
        <f t="shared" si="118"/>
        <v>350.72217530015217</v>
      </c>
      <c r="F336" s="10">
        <f t="shared" si="118"/>
        <v>28.547153803500748</v>
      </c>
      <c r="G336" s="10">
        <f t="shared" si="118"/>
        <v>7.3406966923287635</v>
      </c>
      <c r="H336" s="10">
        <f t="shared" si="118"/>
        <v>7.3406966923287635</v>
      </c>
      <c r="I336" s="10">
        <f t="shared" si="118"/>
        <v>3.2625318632572289</v>
      </c>
      <c r="J336" s="10">
        <f t="shared" si="118"/>
        <v>20.39082414535768</v>
      </c>
      <c r="K336" s="10">
        <f t="shared" si="118"/>
        <v>34.256584564200899</v>
      </c>
      <c r="L336" s="10">
        <f t="shared" si="118"/>
        <v>4.8937977948858435</v>
      </c>
      <c r="M336" s="10">
        <f t="shared" si="118"/>
        <v>9.7875955897716871</v>
      </c>
      <c r="N336" s="10">
        <f t="shared" si="118"/>
        <v>8.9719626239573795</v>
      </c>
      <c r="O336" s="10">
        <f t="shared" si="118"/>
        <v>11.4188615214003</v>
      </c>
      <c r="P336" s="10">
        <f t="shared" si="118"/>
        <v>11.4188615214003</v>
      </c>
      <c r="Q336" s="10">
        <f t="shared" si="118"/>
        <v>57.094307607001497</v>
      </c>
      <c r="R336" s="10">
        <f t="shared" si="118"/>
        <v>14.681393384657527</v>
      </c>
      <c r="S336" s="10">
        <f t="shared" si="118"/>
        <v>22.022090076986295</v>
      </c>
      <c r="T336" s="10">
        <f t="shared" si="118"/>
        <v>8.156329658143072</v>
      </c>
      <c r="U336" s="10">
        <f t="shared" si="118"/>
        <v>8.9719626239573795</v>
      </c>
      <c r="V336" s="10">
        <f t="shared" si="118"/>
        <v>30.994052700943669</v>
      </c>
      <c r="W336" s="10">
        <f t="shared" si="118"/>
        <v>2.4468988974429218</v>
      </c>
      <c r="X336" s="10">
        <f t="shared" si="118"/>
        <v>8.9719626239573795</v>
      </c>
      <c r="Y336" s="10">
        <f t="shared" si="118"/>
        <v>4.078164829071536</v>
      </c>
      <c r="Z336" s="10">
        <f t="shared" si="118"/>
        <v>4.8937977948858435</v>
      </c>
      <c r="AA336" s="10">
        <f t="shared" si="118"/>
        <v>5.7094307607001511</v>
      </c>
      <c r="AB336" s="10">
        <f t="shared" si="118"/>
        <v>12.234494487214608</v>
      </c>
      <c r="AC336" s="10">
        <f t="shared" si="118"/>
        <v>2.4468988974429218</v>
      </c>
    </row>
    <row r="337" spans="1:29" s="201" customFormat="1">
      <c r="A337" s="201" t="s">
        <v>898</v>
      </c>
      <c r="B337" s="201" t="s">
        <v>902</v>
      </c>
      <c r="C337" s="10">
        <f t="shared" si="117"/>
        <v>329.43614424109597</v>
      </c>
      <c r="D337" s="10">
        <f t="shared" ref="D337:AC337" si="119">$C$337*D152/$C$152</f>
        <v>1.9609294300065232</v>
      </c>
      <c r="E337" s="10">
        <f t="shared" si="119"/>
        <v>168.63993098056102</v>
      </c>
      <c r="F337" s="10">
        <f t="shared" si="119"/>
        <v>13.726506010045663</v>
      </c>
      <c r="G337" s="10">
        <f t="shared" si="119"/>
        <v>3.5296729740117416</v>
      </c>
      <c r="H337" s="10">
        <f t="shared" si="119"/>
        <v>3.5296729740117416</v>
      </c>
      <c r="I337" s="10">
        <f t="shared" si="119"/>
        <v>1.5687435440052186</v>
      </c>
      <c r="J337" s="10">
        <f t="shared" si="119"/>
        <v>9.8046471500326149</v>
      </c>
      <c r="K337" s="10">
        <f t="shared" si="119"/>
        <v>16.471807212054795</v>
      </c>
      <c r="L337" s="10">
        <f t="shared" si="119"/>
        <v>2.3531153160078278</v>
      </c>
      <c r="M337" s="10">
        <f t="shared" si="119"/>
        <v>4.7062306320156555</v>
      </c>
      <c r="N337" s="10">
        <f t="shared" si="119"/>
        <v>4.3140447460143516</v>
      </c>
      <c r="O337" s="10">
        <f t="shared" si="119"/>
        <v>5.490602404018265</v>
      </c>
      <c r="P337" s="10">
        <f t="shared" si="119"/>
        <v>5.490602404018265</v>
      </c>
      <c r="Q337" s="10">
        <f t="shared" si="119"/>
        <v>27.453012020091325</v>
      </c>
      <c r="R337" s="10">
        <f t="shared" si="119"/>
        <v>7.0593459480234833</v>
      </c>
      <c r="S337" s="10">
        <f t="shared" si="119"/>
        <v>10.589018922035224</v>
      </c>
      <c r="T337" s="10">
        <f t="shared" si="119"/>
        <v>3.9218588600130464</v>
      </c>
      <c r="U337" s="10">
        <f t="shared" si="119"/>
        <v>4.3140447460143516</v>
      </c>
      <c r="V337" s="10">
        <f t="shared" si="119"/>
        <v>14.903063668049578</v>
      </c>
      <c r="W337" s="10">
        <f t="shared" si="119"/>
        <v>1.1765576580039139</v>
      </c>
      <c r="X337" s="10">
        <f t="shared" si="119"/>
        <v>4.3140447460143516</v>
      </c>
      <c r="Y337" s="10">
        <f t="shared" si="119"/>
        <v>1.9609294300065232</v>
      </c>
      <c r="Z337" s="10">
        <f t="shared" si="119"/>
        <v>2.3531153160078278</v>
      </c>
      <c r="AA337" s="10">
        <f t="shared" si="119"/>
        <v>2.7453012020091325</v>
      </c>
      <c r="AB337" s="10">
        <f t="shared" si="119"/>
        <v>5.8827882900195707</v>
      </c>
      <c r="AC337" s="10">
        <f t="shared" si="119"/>
        <v>1.1765576580039139</v>
      </c>
    </row>
    <row r="338" spans="1:29" s="201" customFormat="1">
      <c r="A338" s="119" t="s">
        <v>1</v>
      </c>
      <c r="B338" s="200" t="s">
        <v>902</v>
      </c>
      <c r="C338" s="340">
        <f>SUM(C335:C337)</f>
        <v>1253.2896791780822</v>
      </c>
      <c r="D338" s="340">
        <f>SUM(D335:D337)</f>
        <v>7.4600576141552493</v>
      </c>
      <c r="E338" s="340">
        <f t="shared" ref="E338:AC338" si="120">SUM(E335:E337)</f>
        <v>641.56495481735158</v>
      </c>
      <c r="F338" s="340">
        <f t="shared" si="120"/>
        <v>52.22040329908674</v>
      </c>
      <c r="G338" s="340">
        <f t="shared" si="120"/>
        <v>13.428103705479447</v>
      </c>
      <c r="H338" s="340">
        <f t="shared" si="120"/>
        <v>13.428103705479447</v>
      </c>
      <c r="I338" s="340">
        <f t="shared" si="120"/>
        <v>5.9680460913241991</v>
      </c>
      <c r="J338" s="340">
        <f t="shared" si="120"/>
        <v>37.300288070776247</v>
      </c>
      <c r="K338" s="340">
        <f t="shared" si="120"/>
        <v>62.6644839589041</v>
      </c>
      <c r="L338" s="340">
        <f t="shared" si="120"/>
        <v>8.9520691369862995</v>
      </c>
      <c r="M338" s="340">
        <f t="shared" si="120"/>
        <v>17.904138273972599</v>
      </c>
      <c r="N338" s="340">
        <f t="shared" si="120"/>
        <v>16.41212675114155</v>
      </c>
      <c r="O338" s="340">
        <f t="shared" si="120"/>
        <v>20.888161319634698</v>
      </c>
      <c r="P338" s="340">
        <f t="shared" si="120"/>
        <v>20.888161319634698</v>
      </c>
      <c r="Q338" s="340">
        <f t="shared" si="120"/>
        <v>104.44080659817348</v>
      </c>
      <c r="R338" s="340">
        <f t="shared" si="120"/>
        <v>26.856207410958895</v>
      </c>
      <c r="S338" s="340">
        <f t="shared" si="120"/>
        <v>40.284311116438346</v>
      </c>
      <c r="T338" s="340">
        <f t="shared" si="120"/>
        <v>14.920115228310499</v>
      </c>
      <c r="U338" s="340">
        <f t="shared" si="120"/>
        <v>16.41212675114155</v>
      </c>
      <c r="V338" s="340">
        <f t="shared" si="120"/>
        <v>56.696437867579895</v>
      </c>
      <c r="W338" s="340">
        <f t="shared" si="120"/>
        <v>4.4760345684931497</v>
      </c>
      <c r="X338" s="340">
        <f t="shared" si="120"/>
        <v>16.41212675114155</v>
      </c>
      <c r="Y338" s="340">
        <f t="shared" si="120"/>
        <v>7.4600576141552493</v>
      </c>
      <c r="Z338" s="340">
        <f t="shared" si="120"/>
        <v>8.9520691369862995</v>
      </c>
      <c r="AA338" s="340">
        <f t="shared" si="120"/>
        <v>10.444080659817351</v>
      </c>
      <c r="AB338" s="340">
        <f t="shared" si="120"/>
        <v>22.380172842465747</v>
      </c>
      <c r="AC338" s="340">
        <f t="shared" si="120"/>
        <v>4.4760345684931497</v>
      </c>
    </row>
    <row r="339" spans="1:29" s="201" customFormat="1">
      <c r="A339" s="413"/>
      <c r="B339" s="414"/>
      <c r="C339" s="415"/>
      <c r="D339" s="416"/>
      <c r="E339" s="417"/>
      <c r="F339" s="417"/>
    </row>
    <row r="340" spans="1:29" s="201" customFormat="1">
      <c r="A340" s="413"/>
      <c r="B340" s="414"/>
      <c r="C340" s="415"/>
      <c r="D340" s="416"/>
      <c r="E340" s="417"/>
      <c r="F340" s="417"/>
    </row>
    <row r="341" spans="1:29" s="201" customFormat="1">
      <c r="A341" s="413"/>
      <c r="B341" s="414"/>
      <c r="C341" s="415"/>
      <c r="D341" s="416"/>
      <c r="E341" s="417"/>
      <c r="F341" s="417"/>
    </row>
    <row r="342" spans="1:29" s="201" customFormat="1">
      <c r="A342" s="111" t="s">
        <v>908</v>
      </c>
    </row>
    <row r="343" spans="1:29" s="201" customFormat="1">
      <c r="A343" s="115" t="s">
        <v>889</v>
      </c>
      <c r="B343" s="115" t="s">
        <v>63</v>
      </c>
      <c r="C343" s="113" t="str">
        <f>Regions!C3</f>
        <v>IE</v>
      </c>
      <c r="D343" s="113" t="str">
        <f>Regions!E3</f>
        <v>IE-CW</v>
      </c>
      <c r="E343" s="113" t="str">
        <f>Regions!F3</f>
        <v>IE-D</v>
      </c>
      <c r="F343" s="113" t="str">
        <f>Regions!G3</f>
        <v>IE-KE</v>
      </c>
      <c r="G343" s="113" t="str">
        <f>Regions!H3</f>
        <v>IE-KK</v>
      </c>
      <c r="H343" s="113" t="str">
        <f>Regions!I3</f>
        <v>IE-LS</v>
      </c>
      <c r="I343" s="113" t="str">
        <f>Regions!J3</f>
        <v>IE-LD</v>
      </c>
      <c r="J343" s="113" t="str">
        <f>Regions!K3</f>
        <v>IE-LH</v>
      </c>
      <c r="K343" s="113" t="str">
        <f>Regions!L3</f>
        <v>IE-MH</v>
      </c>
      <c r="L343" s="113" t="str">
        <f>Regions!M3</f>
        <v>IE-OY</v>
      </c>
      <c r="M343" s="113" t="str">
        <f>Regions!N3</f>
        <v>IE-WH</v>
      </c>
      <c r="N343" s="113" t="str">
        <f>Regions!O3</f>
        <v>IE-WX</v>
      </c>
      <c r="O343" s="113" t="str">
        <f>Regions!P3</f>
        <v>IE-WW</v>
      </c>
      <c r="P343" s="113" t="str">
        <f>Regions!Q3</f>
        <v>IE-CE</v>
      </c>
      <c r="Q343" s="113" t="str">
        <f>Regions!R3</f>
        <v>IE-CO</v>
      </c>
      <c r="R343" s="113" t="str">
        <f>Regions!S3</f>
        <v>IE-KY</v>
      </c>
      <c r="S343" s="113" t="str">
        <f>Regions!T3</f>
        <v>IE-LK</v>
      </c>
      <c r="T343" s="113" t="str">
        <f>Regions!U3</f>
        <v>IE-TA</v>
      </c>
      <c r="U343" s="113" t="str">
        <f>Regions!V3</f>
        <v>IE-WD</v>
      </c>
      <c r="V343" s="113" t="str">
        <f>Regions!W3</f>
        <v>IE-G</v>
      </c>
      <c r="W343" s="113" t="str">
        <f>Regions!X3</f>
        <v>IE-LM</v>
      </c>
      <c r="X343" s="113" t="str">
        <f>Regions!Y3</f>
        <v>IE-MO</v>
      </c>
      <c r="Y343" s="113" t="str">
        <f>Regions!Z3</f>
        <v>IE-RN</v>
      </c>
      <c r="Z343" s="113" t="str">
        <f>Regions!AA3</f>
        <v>IE-SO</v>
      </c>
      <c r="AA343" s="113" t="str">
        <f>Regions!AB3</f>
        <v>IE-CN</v>
      </c>
      <c r="AB343" s="113" t="str">
        <f>Regions!AC3</f>
        <v>IE-DL</v>
      </c>
      <c r="AC343" s="113" t="str">
        <f>Regions!AD3</f>
        <v>IE-MN</v>
      </c>
    </row>
    <row r="344" spans="1:29" s="201" customFormat="1">
      <c r="A344" s="201" t="s">
        <v>891</v>
      </c>
      <c r="B344" s="201" t="s">
        <v>902</v>
      </c>
      <c r="C344" s="10">
        <f>E318</f>
        <v>17.503649635036499</v>
      </c>
      <c r="D344" s="140">
        <f t="shared" ref="D344:AC344" si="121">$C$344*D144/$C$144</f>
        <v>0.16058394160583947</v>
      </c>
      <c r="E344" s="140">
        <f t="shared" si="121"/>
        <v>5.4598540145985419</v>
      </c>
      <c r="F344" s="140">
        <f t="shared" si="121"/>
        <v>0.96350364963503665</v>
      </c>
      <c r="G344" s="140">
        <f t="shared" si="121"/>
        <v>0.32116788321167894</v>
      </c>
      <c r="H344" s="140">
        <f t="shared" si="121"/>
        <v>0.16058394160583947</v>
      </c>
      <c r="I344" s="140">
        <f t="shared" si="121"/>
        <v>0.16058394160583947</v>
      </c>
      <c r="J344" s="140">
        <f t="shared" si="121"/>
        <v>0.32116788321167894</v>
      </c>
      <c r="K344" s="140">
        <f t="shared" si="121"/>
        <v>0.80291970802919721</v>
      </c>
      <c r="L344" s="140">
        <f t="shared" si="121"/>
        <v>0.32116788321167894</v>
      </c>
      <c r="M344" s="140">
        <f t="shared" si="121"/>
        <v>0.32116788321167894</v>
      </c>
      <c r="N344" s="140">
        <f t="shared" si="121"/>
        <v>0.64233576642335788</v>
      </c>
      <c r="O344" s="140">
        <f t="shared" si="121"/>
        <v>0.64233576642335788</v>
      </c>
      <c r="P344" s="140">
        <f t="shared" si="121"/>
        <v>0.48175182481751833</v>
      </c>
      <c r="Q344" s="140">
        <f t="shared" si="121"/>
        <v>2.4087591240875916</v>
      </c>
      <c r="R344" s="140">
        <f t="shared" si="121"/>
        <v>0.48175182481751833</v>
      </c>
      <c r="S344" s="140">
        <f t="shared" si="121"/>
        <v>0.64233576642335788</v>
      </c>
      <c r="T344" s="140">
        <f t="shared" si="121"/>
        <v>0.64233576642335788</v>
      </c>
      <c r="U344" s="140">
        <f t="shared" si="121"/>
        <v>0.48175182481751833</v>
      </c>
      <c r="V344" s="140">
        <f t="shared" si="121"/>
        <v>0.64233576642335788</v>
      </c>
      <c r="W344" s="140">
        <f>$C$344*W144/$C$144</f>
        <v>0.16058394160583947</v>
      </c>
      <c r="X344" s="140">
        <f t="shared" si="121"/>
        <v>0.32116788321167894</v>
      </c>
      <c r="Y344" s="140">
        <f t="shared" si="121"/>
        <v>0.16058394160583947</v>
      </c>
      <c r="Z344" s="140">
        <f t="shared" si="121"/>
        <v>0.16058394160583947</v>
      </c>
      <c r="AA344" s="140">
        <f t="shared" si="121"/>
        <v>0.16058394160583947</v>
      </c>
      <c r="AB344" s="140">
        <f t="shared" si="121"/>
        <v>0.32116788321167894</v>
      </c>
      <c r="AC344" s="140">
        <f t="shared" si="121"/>
        <v>0.16058394160583947</v>
      </c>
    </row>
    <row r="345" spans="1:29" s="201" customFormat="1">
      <c r="A345" s="201" t="s">
        <v>899</v>
      </c>
      <c r="B345" s="201" t="s">
        <v>902</v>
      </c>
      <c r="C345" s="10">
        <f>E319</f>
        <v>102.39635036496351</v>
      </c>
      <c r="D345" s="140">
        <f t="shared" ref="D345:AC345" si="122">$C$345*D144/$C$144</f>
        <v>0.93941605839416076</v>
      </c>
      <c r="E345" s="140">
        <f t="shared" si="122"/>
        <v>31.940145985401465</v>
      </c>
      <c r="F345" s="140">
        <f t="shared" si="122"/>
        <v>5.6364963503649639</v>
      </c>
      <c r="G345" s="140">
        <f t="shared" si="122"/>
        <v>1.8788321167883215</v>
      </c>
      <c r="H345" s="140">
        <f t="shared" si="122"/>
        <v>0.93941605839416076</v>
      </c>
      <c r="I345" s="140">
        <f t="shared" si="122"/>
        <v>0.93941605839416076</v>
      </c>
      <c r="J345" s="140">
        <f t="shared" si="122"/>
        <v>1.8788321167883215</v>
      </c>
      <c r="K345" s="140">
        <f t="shared" si="122"/>
        <v>4.6970802919708028</v>
      </c>
      <c r="L345" s="140">
        <f t="shared" si="122"/>
        <v>1.8788321167883215</v>
      </c>
      <c r="M345" s="140">
        <f t="shared" si="122"/>
        <v>1.8788321167883215</v>
      </c>
      <c r="N345" s="140">
        <f t="shared" si="122"/>
        <v>3.757664233576643</v>
      </c>
      <c r="O345" s="140">
        <f t="shared" si="122"/>
        <v>3.757664233576643</v>
      </c>
      <c r="P345" s="140">
        <f t="shared" si="122"/>
        <v>2.8182481751824819</v>
      </c>
      <c r="Q345" s="140">
        <f t="shared" si="122"/>
        <v>14.091240875912408</v>
      </c>
      <c r="R345" s="140">
        <f t="shared" si="122"/>
        <v>2.8182481751824819</v>
      </c>
      <c r="S345" s="140">
        <f t="shared" si="122"/>
        <v>3.757664233576643</v>
      </c>
      <c r="T345" s="140">
        <f t="shared" si="122"/>
        <v>3.757664233576643</v>
      </c>
      <c r="U345" s="140">
        <f t="shared" si="122"/>
        <v>2.8182481751824819</v>
      </c>
      <c r="V345" s="140">
        <f t="shared" si="122"/>
        <v>3.757664233576643</v>
      </c>
      <c r="W345" s="140">
        <f t="shared" si="122"/>
        <v>0.93941605839416076</v>
      </c>
      <c r="X345" s="140">
        <f t="shared" si="122"/>
        <v>1.8788321167883215</v>
      </c>
      <c r="Y345" s="140">
        <f t="shared" si="122"/>
        <v>0.93941605839416076</v>
      </c>
      <c r="Z345" s="140">
        <f t="shared" si="122"/>
        <v>0.93941605839416076</v>
      </c>
      <c r="AA345" s="140">
        <f t="shared" si="122"/>
        <v>0.93941605839416076</v>
      </c>
      <c r="AB345" s="140">
        <f t="shared" si="122"/>
        <v>1.8788321167883215</v>
      </c>
      <c r="AC345" s="140">
        <f t="shared" si="122"/>
        <v>0.93941605839416076</v>
      </c>
    </row>
    <row r="346" spans="1:29" s="201" customFormat="1">
      <c r="A346" s="119" t="s">
        <v>1</v>
      </c>
      <c r="B346" s="200" t="s">
        <v>902</v>
      </c>
      <c r="C346" s="340">
        <f t="shared" ref="C346:AC346" si="123">SUM(C344:C345)</f>
        <v>119.9</v>
      </c>
      <c r="D346" s="340">
        <f t="shared" si="123"/>
        <v>1.1000000000000003</v>
      </c>
      <c r="E346" s="340">
        <f t="shared" si="123"/>
        <v>37.400000000000006</v>
      </c>
      <c r="F346" s="340">
        <f t="shared" si="123"/>
        <v>6.6000000000000005</v>
      </c>
      <c r="G346" s="340">
        <f t="shared" si="123"/>
        <v>2.2000000000000006</v>
      </c>
      <c r="H346" s="340">
        <f t="shared" si="123"/>
        <v>1.1000000000000003</v>
      </c>
      <c r="I346" s="340">
        <f t="shared" si="123"/>
        <v>1.1000000000000003</v>
      </c>
      <c r="J346" s="340">
        <f t="shared" si="123"/>
        <v>2.2000000000000006</v>
      </c>
      <c r="K346" s="340">
        <f t="shared" si="123"/>
        <v>5.5</v>
      </c>
      <c r="L346" s="340">
        <f t="shared" si="123"/>
        <v>2.2000000000000006</v>
      </c>
      <c r="M346" s="340">
        <f t="shared" si="123"/>
        <v>2.2000000000000006</v>
      </c>
      <c r="N346" s="340">
        <f t="shared" si="123"/>
        <v>4.4000000000000012</v>
      </c>
      <c r="O346" s="340">
        <f t="shared" si="123"/>
        <v>4.4000000000000012</v>
      </c>
      <c r="P346" s="340">
        <f t="shared" si="123"/>
        <v>3.3000000000000003</v>
      </c>
      <c r="Q346" s="340">
        <f t="shared" si="123"/>
        <v>16.5</v>
      </c>
      <c r="R346" s="340">
        <f t="shared" si="123"/>
        <v>3.3000000000000003</v>
      </c>
      <c r="S346" s="340">
        <f t="shared" si="123"/>
        <v>4.4000000000000012</v>
      </c>
      <c r="T346" s="340">
        <f t="shared" si="123"/>
        <v>4.4000000000000012</v>
      </c>
      <c r="U346" s="340">
        <f t="shared" si="123"/>
        <v>3.3000000000000003</v>
      </c>
      <c r="V346" s="340">
        <f t="shared" si="123"/>
        <v>4.4000000000000012</v>
      </c>
      <c r="W346" s="340">
        <f t="shared" si="123"/>
        <v>1.1000000000000003</v>
      </c>
      <c r="X346" s="340">
        <f t="shared" si="123"/>
        <v>2.2000000000000006</v>
      </c>
      <c r="Y346" s="340">
        <f t="shared" si="123"/>
        <v>1.1000000000000003</v>
      </c>
      <c r="Z346" s="340">
        <f t="shared" si="123"/>
        <v>1.1000000000000003</v>
      </c>
      <c r="AA346" s="340">
        <f t="shared" si="123"/>
        <v>1.1000000000000003</v>
      </c>
      <c r="AB346" s="340">
        <f t="shared" si="123"/>
        <v>2.2000000000000006</v>
      </c>
      <c r="AC346" s="340">
        <f t="shared" si="123"/>
        <v>1.1000000000000003</v>
      </c>
    </row>
    <row r="347" spans="1:29" s="201" customFormat="1">
      <c r="A347" s="413"/>
      <c r="B347" s="414"/>
      <c r="C347" s="415"/>
      <c r="D347" s="416"/>
      <c r="E347" s="417"/>
      <c r="F347" s="417"/>
    </row>
    <row r="348" spans="1:29" s="201" customFormat="1">
      <c r="A348" s="413"/>
      <c r="B348" s="414"/>
      <c r="C348" s="415"/>
      <c r="D348" s="416"/>
      <c r="E348" s="417"/>
      <c r="F348" s="417"/>
    </row>
    <row r="349" spans="1:29" s="201" customFormat="1">
      <c r="A349" s="413"/>
      <c r="B349" s="414"/>
      <c r="C349" s="415"/>
      <c r="D349" s="416"/>
      <c r="E349" s="417"/>
      <c r="F349" s="417"/>
    </row>
    <row r="350" spans="1:29" s="201" customFormat="1">
      <c r="A350" s="111" t="s">
        <v>909</v>
      </c>
    </row>
    <row r="351" spans="1:29" s="201" customFormat="1">
      <c r="A351" s="115" t="s">
        <v>889</v>
      </c>
      <c r="B351" s="115" t="s">
        <v>63</v>
      </c>
      <c r="C351" s="113" t="str">
        <f>Regions!C3</f>
        <v>IE</v>
      </c>
      <c r="D351" s="113" t="str">
        <f>Regions!E3</f>
        <v>IE-CW</v>
      </c>
      <c r="E351" s="113" t="str">
        <f>Regions!F3</f>
        <v>IE-D</v>
      </c>
      <c r="F351" s="113" t="str">
        <f>Regions!G3</f>
        <v>IE-KE</v>
      </c>
      <c r="G351" s="113" t="str">
        <f>Regions!H3</f>
        <v>IE-KK</v>
      </c>
      <c r="H351" s="113" t="str">
        <f>Regions!I3</f>
        <v>IE-LS</v>
      </c>
      <c r="I351" s="113" t="str">
        <f>Regions!J3</f>
        <v>IE-LD</v>
      </c>
      <c r="J351" s="113" t="str">
        <f>Regions!K3</f>
        <v>IE-LH</v>
      </c>
      <c r="K351" s="113" t="str">
        <f>Regions!L3</f>
        <v>IE-MH</v>
      </c>
      <c r="L351" s="113" t="str">
        <f>Regions!M3</f>
        <v>IE-OY</v>
      </c>
      <c r="M351" s="113" t="str">
        <f>Regions!N3</f>
        <v>IE-WH</v>
      </c>
      <c r="N351" s="113" t="str">
        <f>Regions!O3</f>
        <v>IE-WX</v>
      </c>
      <c r="O351" s="113" t="str">
        <f>Regions!P3</f>
        <v>IE-WW</v>
      </c>
      <c r="P351" s="113" t="str">
        <f>Regions!Q3</f>
        <v>IE-CE</v>
      </c>
      <c r="Q351" s="113" t="str">
        <f>Regions!R3</f>
        <v>IE-CO</v>
      </c>
      <c r="R351" s="113" t="str">
        <f>Regions!S3</f>
        <v>IE-KY</v>
      </c>
      <c r="S351" s="113" t="str">
        <f>Regions!T3</f>
        <v>IE-LK</v>
      </c>
      <c r="T351" s="113" t="str">
        <f>Regions!U3</f>
        <v>IE-TA</v>
      </c>
      <c r="U351" s="113" t="str">
        <f>Regions!V3</f>
        <v>IE-WD</v>
      </c>
      <c r="V351" s="113" t="str">
        <f>Regions!W3</f>
        <v>IE-G</v>
      </c>
      <c r="W351" s="113" t="str">
        <f>Regions!X3</f>
        <v>IE-LM</v>
      </c>
      <c r="X351" s="113" t="str">
        <f>Regions!Y3</f>
        <v>IE-MO</v>
      </c>
      <c r="Y351" s="113" t="str">
        <f>Regions!Z3</f>
        <v>IE-RN</v>
      </c>
      <c r="Z351" s="113" t="str">
        <f>Regions!AA3</f>
        <v>IE-SO</v>
      </c>
      <c r="AA351" s="113" t="str">
        <f>Regions!AB3</f>
        <v>IE-CN</v>
      </c>
      <c r="AB351" s="113" t="str">
        <f>Regions!AC3</f>
        <v>IE-DL</v>
      </c>
      <c r="AC351" s="113" t="str">
        <f>Regions!AD3</f>
        <v>IE-MN</v>
      </c>
    </row>
    <row r="352" spans="1:29" s="201" customFormat="1">
      <c r="A352" s="201" t="s">
        <v>891</v>
      </c>
      <c r="B352" s="201" t="s">
        <v>902</v>
      </c>
      <c r="C352" s="10">
        <f>E309</f>
        <v>1204.4243616479548</v>
      </c>
      <c r="D352" s="10">
        <f>$C$352*D153/$C$153</f>
        <v>13.374233128834355</v>
      </c>
      <c r="E352" s="10">
        <f t="shared" ref="E352:AC352" si="124">$C$352*E153/$C$153</f>
        <v>434.66257668711654</v>
      </c>
      <c r="F352" s="10">
        <f t="shared" si="124"/>
        <v>56.840490797546011</v>
      </c>
      <c r="G352" s="10">
        <f t="shared" si="124"/>
        <v>36.779141104294474</v>
      </c>
      <c r="H352" s="10">
        <f t="shared" si="124"/>
        <v>16.717791411042942</v>
      </c>
      <c r="I352" s="10">
        <f t="shared" si="124"/>
        <v>10.030674846625766</v>
      </c>
      <c r="J352" s="10">
        <f t="shared" si="124"/>
        <v>26.74846625766871</v>
      </c>
      <c r="K352" s="10">
        <f t="shared" si="124"/>
        <v>36.779141104294474</v>
      </c>
      <c r="L352" s="10">
        <f t="shared" si="124"/>
        <v>23.404907975460123</v>
      </c>
      <c r="M352" s="10">
        <f t="shared" si="124"/>
        <v>16.717791411042942</v>
      </c>
      <c r="N352" s="10">
        <f t="shared" si="124"/>
        <v>33.435582822085884</v>
      </c>
      <c r="O352" s="10">
        <f t="shared" si="124"/>
        <v>30.092024539877297</v>
      </c>
      <c r="P352" s="10">
        <f t="shared" si="124"/>
        <v>23.404907975460123</v>
      </c>
      <c r="Q352" s="10">
        <f t="shared" si="124"/>
        <v>96.963190184049083</v>
      </c>
      <c r="R352" s="10">
        <f t="shared" si="124"/>
        <v>60.184049079754594</v>
      </c>
      <c r="S352" s="10">
        <f t="shared" si="124"/>
        <v>36.779141104294474</v>
      </c>
      <c r="T352" s="10">
        <f t="shared" si="124"/>
        <v>43.466257668711656</v>
      </c>
      <c r="U352" s="10">
        <f t="shared" si="124"/>
        <v>20.061349693251532</v>
      </c>
      <c r="V352" s="10">
        <f t="shared" si="124"/>
        <v>70.214723926380373</v>
      </c>
      <c r="W352" s="10">
        <f t="shared" si="124"/>
        <v>6.6871165644171775</v>
      </c>
      <c r="X352" s="10">
        <f t="shared" si="124"/>
        <v>43.466257668711656</v>
      </c>
      <c r="Y352" s="10">
        <f t="shared" si="124"/>
        <v>13.374233128834355</v>
      </c>
      <c r="Z352" s="10">
        <f t="shared" si="124"/>
        <v>13.374233128834355</v>
      </c>
      <c r="AA352" s="10">
        <f t="shared" si="124"/>
        <v>5.5902179975267119</v>
      </c>
      <c r="AB352" s="10">
        <f t="shared" si="124"/>
        <v>1.8402786197531826</v>
      </c>
      <c r="AC352" s="10">
        <f t="shared" si="124"/>
        <v>33.435582822085884</v>
      </c>
    </row>
    <row r="353" spans="1:30" s="201" customFormat="1">
      <c r="A353" s="201" t="s">
        <v>899</v>
      </c>
      <c r="B353" s="201" t="s">
        <v>902</v>
      </c>
      <c r="C353" s="10">
        <f t="shared" ref="C353:C354" si="125">E310</f>
        <v>4197.418900343122</v>
      </c>
      <c r="D353" s="10">
        <f>$C$353*D153/$C$153</f>
        <v>46.609202453987727</v>
      </c>
      <c r="E353" s="10">
        <f t="shared" ref="E353:AC353" si="126">$C$353*E153/$C$153</f>
        <v>1514.7990797546011</v>
      </c>
      <c r="F353" s="10">
        <f t="shared" si="126"/>
        <v>198.08911042944783</v>
      </c>
      <c r="G353" s="10">
        <f t="shared" si="126"/>
        <v>128.17530674846623</v>
      </c>
      <c r="H353" s="10">
        <f t="shared" si="126"/>
        <v>58.261503067484654</v>
      </c>
      <c r="I353" s="10">
        <f t="shared" si="126"/>
        <v>34.956901840490794</v>
      </c>
      <c r="J353" s="10">
        <f t="shared" si="126"/>
        <v>93.218404907975454</v>
      </c>
      <c r="K353" s="10">
        <f t="shared" si="126"/>
        <v>128.17530674846623</v>
      </c>
      <c r="L353" s="10">
        <f t="shared" si="126"/>
        <v>81.566104294478521</v>
      </c>
      <c r="M353" s="10">
        <f t="shared" si="126"/>
        <v>58.261503067484654</v>
      </c>
      <c r="N353" s="10">
        <f t="shared" si="126"/>
        <v>116.52300613496931</v>
      </c>
      <c r="O353" s="10">
        <f t="shared" si="126"/>
        <v>104.87070552147237</v>
      </c>
      <c r="P353" s="10">
        <f t="shared" si="126"/>
        <v>81.566104294478521</v>
      </c>
      <c r="Q353" s="10">
        <f t="shared" si="126"/>
        <v>337.91671779141097</v>
      </c>
      <c r="R353" s="10">
        <f t="shared" si="126"/>
        <v>209.74141104294475</v>
      </c>
      <c r="S353" s="10">
        <f t="shared" si="126"/>
        <v>128.17530674846623</v>
      </c>
      <c r="T353" s="10">
        <f t="shared" si="126"/>
        <v>151.47990797546012</v>
      </c>
      <c r="U353" s="10">
        <f t="shared" si="126"/>
        <v>69.913803680981587</v>
      </c>
      <c r="V353" s="10">
        <f t="shared" si="126"/>
        <v>244.69831288343556</v>
      </c>
      <c r="W353" s="10">
        <f t="shared" si="126"/>
        <v>23.304601226993864</v>
      </c>
      <c r="X353" s="10">
        <f t="shared" si="126"/>
        <v>151.47990797546012</v>
      </c>
      <c r="Y353" s="10">
        <f t="shared" si="126"/>
        <v>46.609202453987727</v>
      </c>
      <c r="Z353" s="10">
        <f t="shared" si="126"/>
        <v>46.609202453987727</v>
      </c>
      <c r="AA353" s="10">
        <f t="shared" si="126"/>
        <v>19.481909721380589</v>
      </c>
      <c r="AB353" s="10">
        <f t="shared" si="126"/>
        <v>6.4133709898398408</v>
      </c>
      <c r="AC353" s="10">
        <f t="shared" si="126"/>
        <v>116.52300613496931</v>
      </c>
    </row>
    <row r="354" spans="1:30" s="201" customFormat="1">
      <c r="A354" s="201" t="s">
        <v>898</v>
      </c>
      <c r="B354" s="201" t="s">
        <v>902</v>
      </c>
      <c r="C354" s="10">
        <f t="shared" si="125"/>
        <v>4414.2152854397546</v>
      </c>
      <c r="D354" s="10">
        <f>$C$354*D153/$C$153</f>
        <v>49.016564417177918</v>
      </c>
      <c r="E354" s="10">
        <f t="shared" ref="E354:AC354" si="127">$C$354*E153/$C$153</f>
        <v>1593.0383435582823</v>
      </c>
      <c r="F354" s="10">
        <f t="shared" si="127"/>
        <v>208.32039877300613</v>
      </c>
      <c r="G354" s="10">
        <f t="shared" si="127"/>
        <v>134.79555214723925</v>
      </c>
      <c r="H354" s="10">
        <f t="shared" si="127"/>
        <v>61.270705521472394</v>
      </c>
      <c r="I354" s="10">
        <f t="shared" si="127"/>
        <v>36.762423312883442</v>
      </c>
      <c r="J354" s="10">
        <f t="shared" si="127"/>
        <v>98.033128834355836</v>
      </c>
      <c r="K354" s="10">
        <f t="shared" si="127"/>
        <v>134.79555214723925</v>
      </c>
      <c r="L354" s="10">
        <f t="shared" si="127"/>
        <v>85.77898773006136</v>
      </c>
      <c r="M354" s="10">
        <f t="shared" si="127"/>
        <v>61.270705521472394</v>
      </c>
      <c r="N354" s="10">
        <f t="shared" si="127"/>
        <v>122.54141104294479</v>
      </c>
      <c r="O354" s="10">
        <f t="shared" si="127"/>
        <v>110.28726993865031</v>
      </c>
      <c r="P354" s="10">
        <f t="shared" si="127"/>
        <v>85.77898773006136</v>
      </c>
      <c r="Q354" s="10">
        <f t="shared" si="127"/>
        <v>355.37009202453987</v>
      </c>
      <c r="R354" s="10">
        <f t="shared" si="127"/>
        <v>220.57453987730062</v>
      </c>
      <c r="S354" s="10">
        <f t="shared" si="127"/>
        <v>134.79555214723925</v>
      </c>
      <c r="T354" s="10">
        <f t="shared" si="127"/>
        <v>159.30383435582823</v>
      </c>
      <c r="U354" s="10">
        <f t="shared" si="127"/>
        <v>73.524846625766884</v>
      </c>
      <c r="V354" s="10">
        <f t="shared" si="127"/>
        <v>257.33696319018406</v>
      </c>
      <c r="W354" s="10">
        <f t="shared" si="127"/>
        <v>24.508282208588959</v>
      </c>
      <c r="X354" s="10">
        <f t="shared" si="127"/>
        <v>159.30383435582823</v>
      </c>
      <c r="Y354" s="10">
        <f t="shared" si="127"/>
        <v>49.016564417177918</v>
      </c>
      <c r="Z354" s="10">
        <f t="shared" si="127"/>
        <v>49.016564417177918</v>
      </c>
      <c r="AA354" s="10">
        <f t="shared" si="127"/>
        <v>20.488148960935401</v>
      </c>
      <c r="AB354" s="10">
        <f t="shared" si="127"/>
        <v>6.7446211413954158</v>
      </c>
      <c r="AC354" s="10">
        <f t="shared" si="127"/>
        <v>122.54141104294479</v>
      </c>
    </row>
    <row r="355" spans="1:30" s="201" customFormat="1">
      <c r="A355" s="119" t="s">
        <v>1</v>
      </c>
      <c r="B355" s="200" t="s">
        <v>902</v>
      </c>
      <c r="C355" s="340">
        <f>SUM(C352:C354)</f>
        <v>9816.0585474308318</v>
      </c>
      <c r="D355" s="340">
        <f>SUM(D352:D354)</f>
        <v>109</v>
      </c>
      <c r="E355" s="340">
        <f t="shared" ref="E355" si="128">SUM(E352:E354)</f>
        <v>3542.5</v>
      </c>
      <c r="F355" s="340">
        <f t="shared" ref="F355" si="129">SUM(F352:F354)</f>
        <v>463.25</v>
      </c>
      <c r="G355" s="340">
        <f t="shared" ref="G355" si="130">SUM(G352:G354)</f>
        <v>299.74999999999994</v>
      </c>
      <c r="H355" s="340">
        <f t="shared" ref="H355" si="131">SUM(H352:H354)</f>
        <v>136.25</v>
      </c>
      <c r="I355" s="340">
        <f t="shared" ref="I355" si="132">SUM(I352:I354)</f>
        <v>81.75</v>
      </c>
      <c r="J355" s="340">
        <f t="shared" ref="J355" si="133">SUM(J352:J354)</f>
        <v>218</v>
      </c>
      <c r="K355" s="340">
        <f t="shared" ref="K355" si="134">SUM(K352:K354)</f>
        <v>299.74999999999994</v>
      </c>
      <c r="L355" s="340">
        <f t="shared" ref="L355" si="135">SUM(L352:L354)</f>
        <v>190.75</v>
      </c>
      <c r="M355" s="340">
        <f t="shared" ref="M355" si="136">SUM(M352:M354)</f>
        <v>136.25</v>
      </c>
      <c r="N355" s="340">
        <f t="shared" ref="N355" si="137">SUM(N352:N354)</f>
        <v>272.5</v>
      </c>
      <c r="O355" s="340">
        <f t="shared" ref="O355" si="138">SUM(O352:O354)</f>
        <v>245.25</v>
      </c>
      <c r="P355" s="340">
        <f t="shared" ref="P355" si="139">SUM(P352:P354)</f>
        <v>190.75</v>
      </c>
      <c r="Q355" s="340">
        <f t="shared" ref="Q355" si="140">SUM(Q352:Q354)</f>
        <v>790.25</v>
      </c>
      <c r="R355" s="340">
        <f t="shared" ref="R355" si="141">SUM(R352:R354)</f>
        <v>490.5</v>
      </c>
      <c r="S355" s="340">
        <f t="shared" ref="S355" si="142">SUM(S352:S354)</f>
        <v>299.74999999999994</v>
      </c>
      <c r="T355" s="340">
        <f t="shared" ref="T355" si="143">SUM(T352:T354)</f>
        <v>354.25</v>
      </c>
      <c r="U355" s="340">
        <f t="shared" ref="U355" si="144">SUM(U352:U354)</f>
        <v>163.5</v>
      </c>
      <c r="V355" s="340">
        <f t="shared" ref="V355" si="145">SUM(V352:V354)</f>
        <v>572.25</v>
      </c>
      <c r="W355" s="340">
        <f t="shared" ref="W355" si="146">SUM(W352:W354)</f>
        <v>54.5</v>
      </c>
      <c r="X355" s="340">
        <f t="shared" ref="X355" si="147">SUM(X352:X354)</f>
        <v>354.25</v>
      </c>
      <c r="Y355" s="340">
        <f t="shared" ref="Y355" si="148">SUM(Y352:Y354)</f>
        <v>109</v>
      </c>
      <c r="Z355" s="340">
        <f t="shared" ref="Z355" si="149">SUM(Z352:Z354)</f>
        <v>109</v>
      </c>
      <c r="AA355" s="340">
        <f t="shared" ref="AA355" si="150">SUM(AA352:AA354)</f>
        <v>45.560276679842701</v>
      </c>
      <c r="AB355" s="340">
        <f t="shared" ref="AB355" si="151">SUM(AB352:AB354)</f>
        <v>14.998270750988439</v>
      </c>
      <c r="AC355" s="340">
        <f t="shared" ref="AC355" si="152">SUM(AC352:AC354)</f>
        <v>272.5</v>
      </c>
    </row>
    <row r="356" spans="1:30" s="201" customFormat="1">
      <c r="A356" s="413"/>
      <c r="B356" s="414"/>
      <c r="C356" s="415"/>
      <c r="D356" s="416"/>
      <c r="E356" s="417"/>
      <c r="F356" s="417"/>
    </row>
    <row r="357" spans="1:30" s="201" customFormat="1">
      <c r="A357" s="413"/>
      <c r="B357" s="414"/>
      <c r="C357" s="415"/>
      <c r="D357" s="416"/>
      <c r="E357" s="417"/>
      <c r="F357" s="417"/>
    </row>
    <row r="358" spans="1:30" s="201" customFormat="1">
      <c r="A358" s="413"/>
      <c r="B358" s="414"/>
      <c r="C358" s="415"/>
      <c r="D358" s="416"/>
      <c r="E358" s="417"/>
      <c r="F358" s="417"/>
    </row>
    <row r="359" spans="1:30" ht="15.6">
      <c r="A359" s="143" t="s">
        <v>446</v>
      </c>
      <c r="B359" s="143"/>
      <c r="C359" s="14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row>
    <row r="360" spans="1:30">
      <c r="A360" s="115" t="s">
        <v>345</v>
      </c>
      <c r="B360" s="115" t="s">
        <v>346</v>
      </c>
      <c r="C360" s="113" t="str">
        <f>Regions!C3</f>
        <v>IE</v>
      </c>
      <c r="D360" s="113" t="str">
        <f>Regions!E3</f>
        <v>IE-CW</v>
      </c>
      <c r="E360" s="113" t="str">
        <f>Regions!F3</f>
        <v>IE-D</v>
      </c>
      <c r="F360" s="113" t="str">
        <f>Regions!G3</f>
        <v>IE-KE</v>
      </c>
      <c r="G360" s="113" t="str">
        <f>Regions!H3</f>
        <v>IE-KK</v>
      </c>
      <c r="H360" s="113" t="str">
        <f>Regions!I3</f>
        <v>IE-LS</v>
      </c>
      <c r="I360" s="113" t="str">
        <f>Regions!J3</f>
        <v>IE-LD</v>
      </c>
      <c r="J360" s="113" t="str">
        <f>Regions!K3</f>
        <v>IE-LH</v>
      </c>
      <c r="K360" s="113" t="str">
        <f>Regions!L3</f>
        <v>IE-MH</v>
      </c>
      <c r="L360" s="113" t="str">
        <f>Regions!M3</f>
        <v>IE-OY</v>
      </c>
      <c r="M360" s="113" t="str">
        <f>Regions!N3</f>
        <v>IE-WH</v>
      </c>
      <c r="N360" s="113" t="str">
        <f>Regions!O3</f>
        <v>IE-WX</v>
      </c>
      <c r="O360" s="113" t="str">
        <f>Regions!P3</f>
        <v>IE-WW</v>
      </c>
      <c r="P360" s="113" t="str">
        <f>Regions!Q3</f>
        <v>IE-CE</v>
      </c>
      <c r="Q360" s="113" t="str">
        <f>Regions!R3</f>
        <v>IE-CO</v>
      </c>
      <c r="R360" s="113" t="str">
        <f>Regions!S3</f>
        <v>IE-KY</v>
      </c>
      <c r="S360" s="113" t="str">
        <f>Regions!T3</f>
        <v>IE-LK</v>
      </c>
      <c r="T360" s="113" t="str">
        <f>Regions!U3</f>
        <v>IE-TA</v>
      </c>
      <c r="U360" s="113" t="str">
        <f>Regions!V3</f>
        <v>IE-WD</v>
      </c>
      <c r="V360" s="113" t="str">
        <f>Regions!W3</f>
        <v>IE-G</v>
      </c>
      <c r="W360" s="113" t="str">
        <f>Regions!X3</f>
        <v>IE-LM</v>
      </c>
      <c r="X360" s="113" t="str">
        <f>Regions!Y3</f>
        <v>IE-MO</v>
      </c>
      <c r="Y360" s="113" t="str">
        <f>Regions!Z3</f>
        <v>IE-RN</v>
      </c>
      <c r="Z360" s="113" t="str">
        <f>Regions!AA3</f>
        <v>IE-SO</v>
      </c>
      <c r="AA360" s="113" t="str">
        <f>Regions!AB3</f>
        <v>IE-CN</v>
      </c>
      <c r="AB360" s="113" t="str">
        <f>Regions!AC3</f>
        <v>IE-DL</v>
      </c>
      <c r="AC360" s="113" t="str">
        <f>Regions!AD3</f>
        <v>IE-MN</v>
      </c>
    </row>
    <row r="361" spans="1:30">
      <c r="A361" s="133" t="s">
        <v>352</v>
      </c>
      <c r="B361" s="133" t="s">
        <v>347</v>
      </c>
      <c r="C361" s="420">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6"/>
    </row>
    <row r="362" spans="1:30">
      <c r="A362" s="133"/>
      <c r="B362" s="133" t="s">
        <v>348</v>
      </c>
      <c r="C362" s="420">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6"/>
    </row>
    <row r="363" spans="1:30">
      <c r="A363" s="133" t="s">
        <v>349</v>
      </c>
      <c r="B363" s="133" t="s">
        <v>355</v>
      </c>
      <c r="C363" s="420">
        <f>C344</f>
        <v>17.503649635036499</v>
      </c>
      <c r="D363" s="419">
        <f t="shared" ref="D363:AC363" si="155">D344</f>
        <v>0.16058394160583947</v>
      </c>
      <c r="E363" s="419">
        <f t="shared" si="155"/>
        <v>5.4598540145985419</v>
      </c>
      <c r="F363" s="419">
        <f t="shared" si="155"/>
        <v>0.96350364963503665</v>
      </c>
      <c r="G363" s="419">
        <f t="shared" si="155"/>
        <v>0.32116788321167894</v>
      </c>
      <c r="H363" s="419">
        <f t="shared" si="155"/>
        <v>0.16058394160583947</v>
      </c>
      <c r="I363" s="419">
        <f t="shared" si="155"/>
        <v>0.16058394160583947</v>
      </c>
      <c r="J363" s="419">
        <f t="shared" si="155"/>
        <v>0.32116788321167894</v>
      </c>
      <c r="K363" s="419">
        <f t="shared" si="155"/>
        <v>0.80291970802919721</v>
      </c>
      <c r="L363" s="419">
        <f t="shared" si="155"/>
        <v>0.32116788321167894</v>
      </c>
      <c r="M363" s="419">
        <f t="shared" si="155"/>
        <v>0.32116788321167894</v>
      </c>
      <c r="N363" s="419">
        <f t="shared" si="155"/>
        <v>0.64233576642335788</v>
      </c>
      <c r="O363" s="419">
        <f t="shared" si="155"/>
        <v>0.64233576642335788</v>
      </c>
      <c r="P363" s="419">
        <f t="shared" si="155"/>
        <v>0.48175182481751833</v>
      </c>
      <c r="Q363" s="419">
        <f t="shared" si="155"/>
        <v>2.4087591240875916</v>
      </c>
      <c r="R363" s="419">
        <f t="shared" si="155"/>
        <v>0.48175182481751833</v>
      </c>
      <c r="S363" s="419">
        <f t="shared" si="155"/>
        <v>0.64233576642335788</v>
      </c>
      <c r="T363" s="419">
        <f t="shared" si="155"/>
        <v>0.64233576642335788</v>
      </c>
      <c r="U363" s="419">
        <f t="shared" si="155"/>
        <v>0.48175182481751833</v>
      </c>
      <c r="V363" s="419">
        <f t="shared" si="155"/>
        <v>0.64233576642335788</v>
      </c>
      <c r="W363" s="419">
        <f>W344</f>
        <v>0.16058394160583947</v>
      </c>
      <c r="X363" s="419">
        <f t="shared" si="155"/>
        <v>0.32116788321167894</v>
      </c>
      <c r="Y363" s="419">
        <f t="shared" si="155"/>
        <v>0.16058394160583947</v>
      </c>
      <c r="Z363" s="419">
        <f t="shared" si="155"/>
        <v>0.16058394160583947</v>
      </c>
      <c r="AA363" s="419">
        <f t="shared" si="155"/>
        <v>0.16058394160583947</v>
      </c>
      <c r="AB363" s="419">
        <f t="shared" si="155"/>
        <v>0.32116788321167894</v>
      </c>
      <c r="AC363" s="419">
        <f t="shared" si="155"/>
        <v>0.16058394160583947</v>
      </c>
      <c r="AD363" s="6"/>
    </row>
    <row r="364" spans="1:30">
      <c r="A364" s="133"/>
      <c r="B364" s="133" t="s">
        <v>354</v>
      </c>
      <c r="C364" s="420">
        <f>C326</f>
        <v>7485.229753311015</v>
      </c>
      <c r="D364" s="352">
        <f t="shared" ref="D364:AC364" si="156">D326</f>
        <v>110.06160990359193</v>
      </c>
      <c r="E364" s="352">
        <f t="shared" si="156"/>
        <v>1583.5140131875958</v>
      </c>
      <c r="F364" s="352">
        <f t="shared" si="156"/>
        <v>378.66187150196095</v>
      </c>
      <c r="G364" s="352">
        <f t="shared" si="156"/>
        <v>172.06228996270426</v>
      </c>
      <c r="H364" s="352">
        <f t="shared" si="156"/>
        <v>140.02167006638444</v>
      </c>
      <c r="I364" s="352">
        <f t="shared" si="156"/>
        <v>70.739030939926764</v>
      </c>
      <c r="J364" s="352">
        <f t="shared" si="156"/>
        <v>187.66648796415862</v>
      </c>
      <c r="K364" s="352">
        <f t="shared" si="156"/>
        <v>335.38622904459396</v>
      </c>
      <c r="L364" s="352">
        <f t="shared" si="156"/>
        <v>137.10888643944631</v>
      </c>
      <c r="M364" s="352">
        <f t="shared" si="156"/>
        <v>163.3239390818897</v>
      </c>
      <c r="N364" s="352">
        <f t="shared" si="156"/>
        <v>288.15752309352519</v>
      </c>
      <c r="O364" s="352">
        <f t="shared" si="156"/>
        <v>241.55298506251461</v>
      </c>
      <c r="P364" s="352">
        <f t="shared" si="156"/>
        <v>222.82794746076934</v>
      </c>
      <c r="Q364" s="352">
        <f t="shared" si="156"/>
        <v>894.22457347001534</v>
      </c>
      <c r="R364" s="352">
        <f t="shared" si="156"/>
        <v>265.89553394478355</v>
      </c>
      <c r="S364" s="352">
        <f t="shared" si="156"/>
        <v>328.72843789730672</v>
      </c>
      <c r="T364" s="352">
        <f t="shared" si="156"/>
        <v>314.78868768267404</v>
      </c>
      <c r="U364" s="352">
        <f t="shared" si="156"/>
        <v>204.72707777908218</v>
      </c>
      <c r="V364" s="352">
        <f t="shared" si="156"/>
        <v>430.67586484014231</v>
      </c>
      <c r="W364" s="352">
        <f t="shared" si="156"/>
        <v>59.295952405526855</v>
      </c>
      <c r="X364" s="352">
        <f t="shared" si="156"/>
        <v>236.35158572869651</v>
      </c>
      <c r="Y364" s="352">
        <f t="shared" si="156"/>
        <v>137.52499838615176</v>
      </c>
      <c r="Z364" s="352">
        <f t="shared" si="156"/>
        <v>109.22938601018103</v>
      </c>
      <c r="AA364" s="352">
        <f t="shared" si="156"/>
        <v>127.5383116652209</v>
      </c>
      <c r="AB364" s="352">
        <f t="shared" si="156"/>
        <v>242.80132090263095</v>
      </c>
      <c r="AC364" s="352">
        <f t="shared" si="156"/>
        <v>102.36353888954106</v>
      </c>
      <c r="AD364" s="6"/>
    </row>
    <row r="365" spans="1:30">
      <c r="A365" s="133" t="s">
        <v>313</v>
      </c>
      <c r="B365" s="133" t="s">
        <v>351</v>
      </c>
      <c r="C365" s="420">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6"/>
    </row>
    <row r="366" spans="1:30">
      <c r="A366" s="133"/>
      <c r="B366" s="133" t="s">
        <v>573</v>
      </c>
      <c r="C366" s="420">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6"/>
    </row>
    <row r="367" spans="1:30">
      <c r="A367" s="133"/>
      <c r="B367" s="133" t="s">
        <v>560</v>
      </c>
      <c r="C367" s="36">
        <f>$B$174*C154</f>
        <v>112.040329</v>
      </c>
      <c r="D367" s="10">
        <v>0</v>
      </c>
      <c r="E367" s="10">
        <f>C367</f>
        <v>112.040329</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6"/>
    </row>
    <row r="368" spans="1:30">
      <c r="B368" s="201" t="s">
        <v>353</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134"/>
      <c r="B369" s="152" t="s">
        <v>16</v>
      </c>
      <c r="C369" s="141">
        <f>SUM(C361:C368)</f>
        <v>14556.561092397196</v>
      </c>
      <c r="D369" s="141">
        <f>SUM(D361:D368)</f>
        <v>190.75815329593269</v>
      </c>
      <c r="E369" s="141">
        <f t="shared" ref="E369:AC369" si="159">SUM(E361:E368)</f>
        <v>3813.7077787050948</v>
      </c>
      <c r="F369" s="141">
        <f t="shared" si="159"/>
        <v>703.34338163959455</v>
      </c>
      <c r="G369" s="141">
        <f t="shared" si="159"/>
        <v>326.30593319176307</v>
      </c>
      <c r="H369" s="141">
        <f t="shared" si="159"/>
        <v>257.25946218495216</v>
      </c>
      <c r="I369" s="141">
        <f t="shared" si="159"/>
        <v>129.26410609378712</v>
      </c>
      <c r="J369" s="141">
        <f t="shared" si="159"/>
        <v>370.66642356770211</v>
      </c>
      <c r="K369" s="141">
        <f t="shared" si="159"/>
        <v>610.12642539130309</v>
      </c>
      <c r="L369" s="141">
        <f t="shared" si="159"/>
        <v>252.56357827040125</v>
      </c>
      <c r="M369" s="141">
        <f t="shared" si="159"/>
        <v>286.27808516599748</v>
      </c>
      <c r="N369" s="141">
        <f t="shared" si="159"/>
        <v>498.24919039150342</v>
      </c>
      <c r="O369" s="141">
        <f t="shared" si="159"/>
        <v>440.72764898712006</v>
      </c>
      <c r="P369" s="141">
        <f t="shared" si="159"/>
        <v>387.89417997018353</v>
      </c>
      <c r="Q369" s="141">
        <f t="shared" si="159"/>
        <v>1640.3528726430968</v>
      </c>
      <c r="R369" s="141">
        <f t="shared" si="159"/>
        <v>502.23766282260613</v>
      </c>
      <c r="S369" s="141">
        <f t="shared" si="159"/>
        <v>598.87772521592171</v>
      </c>
      <c r="T369" s="141">
        <f t="shared" si="159"/>
        <v>545.97893159747036</v>
      </c>
      <c r="U369" s="141">
        <f t="shared" si="159"/>
        <v>362.54754715779956</v>
      </c>
      <c r="V369" s="141">
        <f t="shared" si="159"/>
        <v>810.31808544860041</v>
      </c>
      <c r="W369" s="141">
        <f t="shared" si="159"/>
        <v>103.99821589805379</v>
      </c>
      <c r="X369" s="141">
        <f t="shared" si="159"/>
        <v>433.96473286285794</v>
      </c>
      <c r="Y369" s="141">
        <f t="shared" si="159"/>
        <v>227.01130303232972</v>
      </c>
      <c r="Z369" s="141">
        <f t="shared" si="159"/>
        <v>200.14421509334298</v>
      </c>
      <c r="AA369" s="141">
        <f t="shared" si="159"/>
        <v>223.24073939976716</v>
      </c>
      <c r="AB369" s="141">
        <f t="shared" si="159"/>
        <v>433.04852577361913</v>
      </c>
      <c r="AC369" s="141">
        <f t="shared" si="159"/>
        <v>207.69618859639607</v>
      </c>
      <c r="AD369" s="6"/>
    </row>
    <row r="371" spans="1:31" s="201" customFormat="1"/>
    <row r="373" spans="1:31" ht="15.6">
      <c r="A373" s="143" t="s">
        <v>447</v>
      </c>
      <c r="B373" s="143"/>
      <c r="C373" s="14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row>
    <row r="374" spans="1:31">
      <c r="A374" s="115" t="s">
        <v>345</v>
      </c>
      <c r="B374" s="115" t="s">
        <v>346</v>
      </c>
      <c r="C374" s="113" t="str">
        <f>Regions!C3</f>
        <v>IE</v>
      </c>
      <c r="D374" s="113" t="str">
        <f>Regions!E3</f>
        <v>IE-CW</v>
      </c>
      <c r="E374" s="113" t="str">
        <f>Regions!F3</f>
        <v>IE-D</v>
      </c>
      <c r="F374" s="113" t="str">
        <f>Regions!G3</f>
        <v>IE-KE</v>
      </c>
      <c r="G374" s="113" t="str">
        <f>Regions!H3</f>
        <v>IE-KK</v>
      </c>
      <c r="H374" s="113" t="str">
        <f>Regions!I3</f>
        <v>IE-LS</v>
      </c>
      <c r="I374" s="113" t="str">
        <f>Regions!J3</f>
        <v>IE-LD</v>
      </c>
      <c r="J374" s="113" t="str">
        <f>Regions!K3</f>
        <v>IE-LH</v>
      </c>
      <c r="K374" s="113" t="str">
        <f>Regions!L3</f>
        <v>IE-MH</v>
      </c>
      <c r="L374" s="113" t="str">
        <f>Regions!M3</f>
        <v>IE-OY</v>
      </c>
      <c r="M374" s="113" t="str">
        <f>Regions!N3</f>
        <v>IE-WH</v>
      </c>
      <c r="N374" s="113" t="str">
        <f>Regions!O3</f>
        <v>IE-WX</v>
      </c>
      <c r="O374" s="113" t="str">
        <f>Regions!P3</f>
        <v>IE-WW</v>
      </c>
      <c r="P374" s="113" t="str">
        <f>Regions!Q3</f>
        <v>IE-CE</v>
      </c>
      <c r="Q374" s="113" t="str">
        <f>Regions!R3</f>
        <v>IE-CO</v>
      </c>
      <c r="R374" s="113" t="str">
        <f>Regions!S3</f>
        <v>IE-KY</v>
      </c>
      <c r="S374" s="113" t="str">
        <f>Regions!T3</f>
        <v>IE-LK</v>
      </c>
      <c r="T374" s="113" t="str">
        <f>Regions!U3</f>
        <v>IE-TA</v>
      </c>
      <c r="U374" s="113" t="str">
        <f>Regions!V3</f>
        <v>IE-WD</v>
      </c>
      <c r="V374" s="113" t="str">
        <f>Regions!W3</f>
        <v>IE-G</v>
      </c>
      <c r="W374" s="113" t="str">
        <f>Regions!X3</f>
        <v>IE-LM</v>
      </c>
      <c r="X374" s="113" t="str">
        <f>Regions!Y3</f>
        <v>IE-MO</v>
      </c>
      <c r="Y374" s="113" t="str">
        <f>Regions!Z3</f>
        <v>IE-RN</v>
      </c>
      <c r="Z374" s="113" t="str">
        <f>Regions!AA3</f>
        <v>IE-SO</v>
      </c>
      <c r="AA374" s="113" t="str">
        <f>Regions!AB3</f>
        <v>IE-CN</v>
      </c>
      <c r="AB374" s="113" t="str">
        <f>Regions!AC3</f>
        <v>IE-DL</v>
      </c>
      <c r="AC374" s="113" t="str">
        <f>Regions!AD3</f>
        <v>IE-MN</v>
      </c>
      <c r="AD374" s="133"/>
    </row>
    <row r="375" spans="1:31">
      <c r="A375" s="133" t="s">
        <v>352</v>
      </c>
      <c r="B375" s="201" t="s">
        <v>347</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6"/>
    </row>
    <row r="376" spans="1:31">
      <c r="A376" s="133"/>
      <c r="B376" s="201" t="s">
        <v>348</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6"/>
    </row>
    <row r="377" spans="1:31">
      <c r="A377" s="133" t="s">
        <v>349</v>
      </c>
      <c r="B377" s="201" t="s">
        <v>355</v>
      </c>
      <c r="C377" s="420">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6"/>
      <c r="AE377" s="9"/>
    </row>
    <row r="378" spans="1:31">
      <c r="A378" s="133"/>
      <c r="B378" s="201" t="s">
        <v>354</v>
      </c>
      <c r="C378" s="420">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6"/>
    </row>
    <row r="379" spans="1:31">
      <c r="A379" s="133" t="s">
        <v>313</v>
      </c>
      <c r="B379" s="201" t="s">
        <v>351</v>
      </c>
      <c r="C379" s="420">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6"/>
    </row>
    <row r="380" spans="1:31">
      <c r="A380" s="133"/>
      <c r="B380" s="201" t="s">
        <v>573</v>
      </c>
      <c r="C380" s="420">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6"/>
    </row>
    <row r="381" spans="1:31">
      <c r="A381" s="133"/>
      <c r="B381" s="201" t="s">
        <v>560</v>
      </c>
      <c r="C381" s="420">
        <f>C154*C174</f>
        <v>205.14590800000002</v>
      </c>
      <c r="D381" s="10">
        <v>0</v>
      </c>
      <c r="E381" s="10">
        <f>C381</f>
        <v>205.14590800000002</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6"/>
    </row>
    <row r="382" spans="1:31">
      <c r="B382" s="201" t="s">
        <v>353</v>
      </c>
      <c r="C382" s="211">
        <v>0</v>
      </c>
      <c r="D382" s="211">
        <v>0</v>
      </c>
      <c r="E382" s="211">
        <v>0</v>
      </c>
      <c r="F382" s="211">
        <v>0</v>
      </c>
      <c r="G382" s="211">
        <v>0</v>
      </c>
      <c r="H382" s="211">
        <v>0</v>
      </c>
      <c r="I382" s="211">
        <v>0</v>
      </c>
      <c r="J382" s="211">
        <v>0</v>
      </c>
      <c r="K382" s="211">
        <v>0</v>
      </c>
      <c r="L382" s="211">
        <v>0</v>
      </c>
      <c r="M382" s="211">
        <v>0</v>
      </c>
      <c r="N382" s="211">
        <v>0</v>
      </c>
      <c r="O382" s="211">
        <v>0</v>
      </c>
      <c r="P382" s="211">
        <v>0</v>
      </c>
      <c r="Q382" s="211">
        <v>0</v>
      </c>
      <c r="R382" s="211">
        <v>0</v>
      </c>
      <c r="S382" s="211">
        <v>0</v>
      </c>
      <c r="T382" s="211">
        <v>0</v>
      </c>
      <c r="U382" s="211">
        <v>0</v>
      </c>
      <c r="V382" s="211">
        <v>0</v>
      </c>
      <c r="W382" s="211">
        <v>0</v>
      </c>
      <c r="X382" s="211">
        <v>0</v>
      </c>
      <c r="Y382" s="211">
        <v>0</v>
      </c>
      <c r="Z382" s="211">
        <v>0</v>
      </c>
      <c r="AA382" s="211">
        <v>0</v>
      </c>
      <c r="AB382" s="211">
        <v>0</v>
      </c>
      <c r="AC382" s="211">
        <v>0</v>
      </c>
    </row>
    <row r="383" spans="1:31">
      <c r="A383" s="134"/>
      <c r="B383" s="152" t="s">
        <v>16</v>
      </c>
      <c r="C383" s="141">
        <f>SUM(C375:C382)</f>
        <v>31276.118540280986</v>
      </c>
      <c r="D383" s="141">
        <f t="shared" ref="D383:AC383" si="164">SUM(D375:D382)</f>
        <v>435.19149385547126</v>
      </c>
      <c r="E383" s="141">
        <f>SUM(E375:E382)</f>
        <v>7621.1536449989253</v>
      </c>
      <c r="F383" s="141">
        <f t="shared" si="164"/>
        <v>1551.9093827676475</v>
      </c>
      <c r="G383" s="141">
        <f t="shared" si="164"/>
        <v>737.03191607760743</v>
      </c>
      <c r="H383" s="141">
        <f t="shared" si="164"/>
        <v>554.51713599955724</v>
      </c>
      <c r="I383" s="141">
        <f t="shared" si="164"/>
        <v>285.68437258778692</v>
      </c>
      <c r="J383" s="141">
        <f t="shared" si="164"/>
        <v>769.50577172521423</v>
      </c>
      <c r="K383" s="141">
        <f t="shared" si="164"/>
        <v>1335.9499798250479</v>
      </c>
      <c r="L383" s="141">
        <f t="shared" si="164"/>
        <v>566.16320344762289</v>
      </c>
      <c r="M383" s="141">
        <f t="shared" si="164"/>
        <v>639.11185847443028</v>
      </c>
      <c r="N383" s="141">
        <f t="shared" si="164"/>
        <v>1133.4816009734384</v>
      </c>
      <c r="O383" s="141">
        <f t="shared" si="164"/>
        <v>961.85938421931269</v>
      </c>
      <c r="P383" s="141">
        <f t="shared" si="164"/>
        <v>872.35861089184232</v>
      </c>
      <c r="Q383" s="141">
        <f t="shared" si="164"/>
        <v>3525.4749048173276</v>
      </c>
      <c r="R383" s="141">
        <f t="shared" si="164"/>
        <v>1153.8869884003554</v>
      </c>
      <c r="S383" s="141">
        <f t="shared" si="164"/>
        <v>1299.5736671311431</v>
      </c>
      <c r="T383" s="141">
        <f t="shared" si="164"/>
        <v>1260.4324784412986</v>
      </c>
      <c r="U383" s="141">
        <f t="shared" si="164"/>
        <v>795.17788054022265</v>
      </c>
      <c r="V383" s="141">
        <f t="shared" si="164"/>
        <v>1780.3554187858515</v>
      </c>
      <c r="W383" s="141">
        <f t="shared" si="164"/>
        <v>233.33731031609199</v>
      </c>
      <c r="X383" s="141">
        <f t="shared" si="164"/>
        <v>986.01597898071293</v>
      </c>
      <c r="Y383" s="141">
        <f t="shared" si="164"/>
        <v>530.90140271719213</v>
      </c>
      <c r="Z383" s="141">
        <f t="shared" si="164"/>
        <v>433.1068265527486</v>
      </c>
      <c r="AA383" s="141">
        <f t="shared" si="164"/>
        <v>470.6017726937697</v>
      </c>
      <c r="AB383" s="141">
        <f t="shared" si="164"/>
        <v>866.68930093951155</v>
      </c>
      <c r="AC383" s="141">
        <f t="shared" si="164"/>
        <v>476.64625412085695</v>
      </c>
      <c r="AD383" s="6"/>
    </row>
    <row r="385" spans="1:30" s="201" customFormat="1"/>
    <row r="387" spans="1:30" ht="15.6">
      <c r="A387" s="143" t="s">
        <v>454</v>
      </c>
      <c r="B387" s="143"/>
      <c r="C387" s="14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row>
    <row r="388" spans="1:30">
      <c r="A388" s="115" t="s">
        <v>345</v>
      </c>
      <c r="B388" s="115" t="s">
        <v>346</v>
      </c>
      <c r="C388" s="113" t="str">
        <f>Regions!C3</f>
        <v>IE</v>
      </c>
      <c r="D388" s="113" t="str">
        <f>Regions!E3</f>
        <v>IE-CW</v>
      </c>
      <c r="E388" s="113" t="str">
        <f>Regions!F3</f>
        <v>IE-D</v>
      </c>
      <c r="F388" s="113" t="str">
        <f>Regions!G3</f>
        <v>IE-KE</v>
      </c>
      <c r="G388" s="113" t="str">
        <f>Regions!H3</f>
        <v>IE-KK</v>
      </c>
      <c r="H388" s="113" t="str">
        <f>Regions!I3</f>
        <v>IE-LS</v>
      </c>
      <c r="I388" s="113" t="str">
        <f>Regions!J3</f>
        <v>IE-LD</v>
      </c>
      <c r="J388" s="113" t="str">
        <f>Regions!K3</f>
        <v>IE-LH</v>
      </c>
      <c r="K388" s="113" t="str">
        <f>Regions!L3</f>
        <v>IE-MH</v>
      </c>
      <c r="L388" s="113" t="str">
        <f>Regions!M3</f>
        <v>IE-OY</v>
      </c>
      <c r="M388" s="113" t="str">
        <f>Regions!N3</f>
        <v>IE-WH</v>
      </c>
      <c r="N388" s="113" t="str">
        <f>Regions!O3</f>
        <v>IE-WX</v>
      </c>
      <c r="O388" s="113" t="str">
        <f>Regions!P3</f>
        <v>IE-WW</v>
      </c>
      <c r="P388" s="113" t="str">
        <f>Regions!Q3</f>
        <v>IE-CE</v>
      </c>
      <c r="Q388" s="113" t="str">
        <f>Regions!R3</f>
        <v>IE-CO</v>
      </c>
      <c r="R388" s="113" t="str">
        <f>Regions!S3</f>
        <v>IE-KY</v>
      </c>
      <c r="S388" s="113" t="str">
        <f>Regions!T3</f>
        <v>IE-LK</v>
      </c>
      <c r="T388" s="113" t="str">
        <f>Regions!U3</f>
        <v>IE-TA</v>
      </c>
      <c r="U388" s="113" t="str">
        <f>Regions!V3</f>
        <v>IE-WD</v>
      </c>
      <c r="V388" s="113" t="str">
        <f>Regions!W3</f>
        <v>IE-G</v>
      </c>
      <c r="W388" s="113" t="str">
        <f>Regions!X3</f>
        <v>IE-LM</v>
      </c>
      <c r="X388" s="113" t="str">
        <f>Regions!Y3</f>
        <v>IE-MO</v>
      </c>
      <c r="Y388" s="113" t="str">
        <f>Regions!Z3</f>
        <v>IE-RN</v>
      </c>
      <c r="Z388" s="113" t="str">
        <f>Regions!AA3</f>
        <v>IE-SO</v>
      </c>
      <c r="AA388" s="113" t="str">
        <f>Regions!AB3</f>
        <v>IE-CN</v>
      </c>
      <c r="AB388" s="113" t="str">
        <f>Regions!AC3</f>
        <v>IE-DL</v>
      </c>
      <c r="AC388" s="113" t="str">
        <f>Regions!AD3</f>
        <v>IE-MN</v>
      </c>
      <c r="AD388" s="133"/>
    </row>
    <row r="389" spans="1:30">
      <c r="A389" s="133" t="s">
        <v>352</v>
      </c>
      <c r="B389" s="201" t="s">
        <v>347</v>
      </c>
      <c r="C389" s="352">
        <v>0</v>
      </c>
      <c r="D389" s="352">
        <v>0</v>
      </c>
      <c r="E389" s="352">
        <v>0</v>
      </c>
      <c r="F389" s="352">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6"/>
    </row>
    <row r="390" spans="1:30">
      <c r="A390" s="133"/>
      <c r="B390" s="201" t="s">
        <v>348</v>
      </c>
      <c r="C390" s="352">
        <v>0</v>
      </c>
      <c r="D390" s="352">
        <v>0</v>
      </c>
      <c r="E390" s="352">
        <v>0</v>
      </c>
      <c r="F390" s="352">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6"/>
    </row>
    <row r="391" spans="1:30">
      <c r="A391" s="133" t="s">
        <v>349</v>
      </c>
      <c r="B391" s="201" t="s">
        <v>355</v>
      </c>
      <c r="C391" s="352">
        <v>0</v>
      </c>
      <c r="D391" s="352">
        <v>0</v>
      </c>
      <c r="E391" s="352">
        <v>0</v>
      </c>
      <c r="F391" s="352">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6"/>
    </row>
    <row r="392" spans="1:30">
      <c r="A392" s="133"/>
      <c r="B392" s="201" t="s">
        <v>354</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6"/>
    </row>
    <row r="393" spans="1:30">
      <c r="A393" s="133" t="s">
        <v>313</v>
      </c>
      <c r="B393" s="201" t="s">
        <v>351</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6"/>
    </row>
    <row r="394" spans="1:30">
      <c r="A394" s="133"/>
      <c r="B394" s="201" t="s">
        <v>573</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6"/>
    </row>
    <row r="395" spans="1:30">
      <c r="A395" s="133"/>
      <c r="B395" s="201" t="s">
        <v>560</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6"/>
    </row>
    <row r="396" spans="1:30" ht="13.95" customHeight="1">
      <c r="A396" s="133"/>
      <c r="B396" s="201" t="s">
        <v>353</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6"/>
    </row>
    <row r="397" spans="1:30">
      <c r="A397" s="200"/>
      <c r="B397" s="152" t="s">
        <v>16</v>
      </c>
      <c r="C397" s="141">
        <f>SUM(C389:C396)</f>
        <v>27131.577542973639</v>
      </c>
      <c r="D397" s="141">
        <f t="shared" ref="D397:AC397" si="169">SUM(D389:D396)</f>
        <v>373.89748637497502</v>
      </c>
      <c r="E397" s="141">
        <f t="shared" si="169"/>
        <v>6660.744934034994</v>
      </c>
      <c r="F397" s="141">
        <f t="shared" si="169"/>
        <v>1345.7957919305056</v>
      </c>
      <c r="G397" s="141">
        <f t="shared" si="169"/>
        <v>648.05463087287239</v>
      </c>
      <c r="H397" s="141">
        <f t="shared" si="169"/>
        <v>481.49946813234055</v>
      </c>
      <c r="I397" s="141">
        <f t="shared" si="169"/>
        <v>247.92998248868531</v>
      </c>
      <c r="J397" s="141">
        <f t="shared" si="169"/>
        <v>673.68745787157877</v>
      </c>
      <c r="K397" s="141">
        <f t="shared" si="169"/>
        <v>1145.614903113785</v>
      </c>
      <c r="L397" s="141">
        <f t="shared" si="169"/>
        <v>493.78011021821834</v>
      </c>
      <c r="M397" s="141">
        <f t="shared" si="169"/>
        <v>547.22173482691426</v>
      </c>
      <c r="N397" s="141">
        <f t="shared" si="169"/>
        <v>972.62646758485323</v>
      </c>
      <c r="O397" s="141">
        <f t="shared" si="169"/>
        <v>832.86416374941882</v>
      </c>
      <c r="P397" s="141">
        <f t="shared" si="169"/>
        <v>746.7476641324904</v>
      </c>
      <c r="Q397" s="141">
        <f t="shared" si="169"/>
        <v>3044.9422514531716</v>
      </c>
      <c r="R397" s="141">
        <f t="shared" si="169"/>
        <v>1012.6394376791288</v>
      </c>
      <c r="S397" s="141">
        <f t="shared" si="169"/>
        <v>1121.7784798314174</v>
      </c>
      <c r="T397" s="141">
        <f t="shared" si="169"/>
        <v>1085.2427647392462</v>
      </c>
      <c r="U397" s="141">
        <f t="shared" si="169"/>
        <v>683.42924139985848</v>
      </c>
      <c r="V397" s="141">
        <f t="shared" si="169"/>
        <v>1552.7405180508131</v>
      </c>
      <c r="W397" s="141">
        <f t="shared" si="169"/>
        <v>200.31586047476844</v>
      </c>
      <c r="X397" s="141">
        <f t="shared" si="169"/>
        <v>861.02306186829458</v>
      </c>
      <c r="Y397" s="141">
        <f t="shared" si="169"/>
        <v>451.31609728888651</v>
      </c>
      <c r="Z397" s="141">
        <f t="shared" si="169"/>
        <v>376.17525772313689</v>
      </c>
      <c r="AA397" s="141">
        <f t="shared" si="169"/>
        <v>402.31788404487259</v>
      </c>
      <c r="AB397" s="141">
        <f t="shared" si="169"/>
        <v>741.09890371757149</v>
      </c>
      <c r="AC397" s="141">
        <f t="shared" si="169"/>
        <v>428.09298937083867</v>
      </c>
    </row>
    <row r="398" spans="1:30">
      <c r="B398" t="s">
        <v>210</v>
      </c>
      <c r="C398" s="6">
        <f t="shared" ref="C398:AC398" si="170">C397+C383+C369-C156</f>
        <v>0</v>
      </c>
      <c r="D398" s="6">
        <f t="shared" si="170"/>
        <v>0</v>
      </c>
      <c r="E398" s="6">
        <f t="shared" si="170"/>
        <v>0</v>
      </c>
      <c r="F398" s="6">
        <f t="shared" si="170"/>
        <v>0</v>
      </c>
      <c r="G398" s="6">
        <f t="shared" si="170"/>
        <v>0</v>
      </c>
      <c r="H398" s="6">
        <f t="shared" si="170"/>
        <v>0</v>
      </c>
      <c r="I398" s="6">
        <f t="shared" si="170"/>
        <v>0</v>
      </c>
      <c r="J398" s="6">
        <f t="shared" si="170"/>
        <v>0</v>
      </c>
      <c r="K398" s="6">
        <f t="shared" si="170"/>
        <v>0</v>
      </c>
      <c r="L398" s="6">
        <f t="shared" si="170"/>
        <v>0</v>
      </c>
      <c r="M398" s="6">
        <f t="shared" si="170"/>
        <v>0</v>
      </c>
      <c r="N398" s="6">
        <f t="shared" si="170"/>
        <v>0</v>
      </c>
      <c r="O398" s="6">
        <f t="shared" si="170"/>
        <v>0</v>
      </c>
      <c r="P398" s="6">
        <f t="shared" si="170"/>
        <v>0</v>
      </c>
      <c r="Q398" s="6">
        <f t="shared" si="170"/>
        <v>0</v>
      </c>
      <c r="R398" s="6">
        <f t="shared" si="170"/>
        <v>0</v>
      </c>
      <c r="S398" s="6">
        <f t="shared" si="170"/>
        <v>0</v>
      </c>
      <c r="T398" s="6">
        <f t="shared" si="170"/>
        <v>0</v>
      </c>
      <c r="U398" s="6">
        <f t="shared" si="170"/>
        <v>0</v>
      </c>
      <c r="V398" s="6">
        <f t="shared" si="170"/>
        <v>0</v>
      </c>
      <c r="W398" s="6">
        <f t="shared" si="170"/>
        <v>0</v>
      </c>
      <c r="X398" s="6">
        <f t="shared" si="170"/>
        <v>0</v>
      </c>
      <c r="Y398" s="6">
        <f t="shared" si="170"/>
        <v>0</v>
      </c>
      <c r="Z398" s="6">
        <f t="shared" si="170"/>
        <v>0</v>
      </c>
      <c r="AA398" s="6">
        <f t="shared" si="170"/>
        <v>0</v>
      </c>
      <c r="AB398" s="6">
        <f t="shared" si="170"/>
        <v>0</v>
      </c>
      <c r="AC398" s="6">
        <f t="shared" si="170"/>
        <v>0</v>
      </c>
    </row>
    <row r="401" spans="1:29" s="261" customFormat="1" ht="18">
      <c r="A401" s="263" t="s">
        <v>649</v>
      </c>
    </row>
    <row r="403" spans="1:29" s="201" customFormat="1" ht="15.6">
      <c r="A403" s="143" t="s">
        <v>659</v>
      </c>
    </row>
    <row r="404" spans="1:29" s="201" customFormat="1">
      <c r="A404" s="115" t="s">
        <v>691</v>
      </c>
      <c r="B404" s="115" t="s">
        <v>467</v>
      </c>
      <c r="C404" s="113" t="str">
        <f>C388</f>
        <v>IE</v>
      </c>
      <c r="D404" s="113" t="str">
        <f t="shared" ref="D404:AC404" si="171">D388</f>
        <v>IE-CW</v>
      </c>
      <c r="E404" s="113" t="str">
        <f t="shared" si="171"/>
        <v>IE-D</v>
      </c>
      <c r="F404" s="113" t="str">
        <f t="shared" si="171"/>
        <v>IE-KE</v>
      </c>
      <c r="G404" s="113" t="str">
        <f t="shared" si="171"/>
        <v>IE-KK</v>
      </c>
      <c r="H404" s="113" t="str">
        <f t="shared" si="171"/>
        <v>IE-LS</v>
      </c>
      <c r="I404" s="113" t="str">
        <f t="shared" si="171"/>
        <v>IE-LD</v>
      </c>
      <c r="J404" s="113" t="str">
        <f t="shared" si="171"/>
        <v>IE-LH</v>
      </c>
      <c r="K404" s="113" t="str">
        <f t="shared" si="171"/>
        <v>IE-MH</v>
      </c>
      <c r="L404" s="113" t="str">
        <f t="shared" si="171"/>
        <v>IE-OY</v>
      </c>
      <c r="M404" s="113" t="str">
        <f t="shared" si="171"/>
        <v>IE-WH</v>
      </c>
      <c r="N404" s="113" t="str">
        <f t="shared" si="171"/>
        <v>IE-WX</v>
      </c>
      <c r="O404" s="113" t="str">
        <f t="shared" si="171"/>
        <v>IE-WW</v>
      </c>
      <c r="P404" s="113" t="str">
        <f t="shared" si="171"/>
        <v>IE-CE</v>
      </c>
      <c r="Q404" s="113" t="str">
        <f t="shared" si="171"/>
        <v>IE-CO</v>
      </c>
      <c r="R404" s="113" t="str">
        <f t="shared" si="171"/>
        <v>IE-KY</v>
      </c>
      <c r="S404" s="113" t="str">
        <f t="shared" si="171"/>
        <v>IE-LK</v>
      </c>
      <c r="T404" s="113" t="str">
        <f t="shared" si="171"/>
        <v>IE-TA</v>
      </c>
      <c r="U404" s="113" t="str">
        <f t="shared" si="171"/>
        <v>IE-WD</v>
      </c>
      <c r="V404" s="113" t="str">
        <f t="shared" si="171"/>
        <v>IE-G</v>
      </c>
      <c r="W404" s="113" t="str">
        <f t="shared" si="171"/>
        <v>IE-LM</v>
      </c>
      <c r="X404" s="113" t="str">
        <f t="shared" si="171"/>
        <v>IE-MO</v>
      </c>
      <c r="Y404" s="113" t="str">
        <f t="shared" si="171"/>
        <v>IE-RN</v>
      </c>
      <c r="Z404" s="113" t="str">
        <f t="shared" si="171"/>
        <v>IE-SO</v>
      </c>
      <c r="AA404" s="113" t="str">
        <f t="shared" si="171"/>
        <v>IE-CN</v>
      </c>
      <c r="AB404" s="113" t="str">
        <f t="shared" si="171"/>
        <v>IE-DL</v>
      </c>
      <c r="AC404" s="113" t="str">
        <f t="shared" si="171"/>
        <v>IE-MN</v>
      </c>
    </row>
    <row r="405" spans="1:29" s="201" customFormat="1">
      <c r="B405" s="201" t="s">
        <v>19</v>
      </c>
      <c r="C405" s="36">
        <f>SUM(D405:AC405)</f>
        <v>353571</v>
      </c>
      <c r="D405" s="201">
        <v>5799</v>
      </c>
      <c r="E405" s="201">
        <v>74245</v>
      </c>
      <c r="F405" s="201">
        <v>16042</v>
      </c>
      <c r="G405" s="201">
        <v>8206</v>
      </c>
      <c r="H405" s="201">
        <v>6014</v>
      </c>
      <c r="I405" s="201">
        <v>3931</v>
      </c>
      <c r="J405" s="201">
        <v>8128</v>
      </c>
      <c r="K405" s="201">
        <v>14762</v>
      </c>
      <c r="L405" s="201">
        <v>6515</v>
      </c>
      <c r="M405" s="201">
        <v>8096</v>
      </c>
      <c r="N405" s="201">
        <v>13961</v>
      </c>
      <c r="O405" s="201">
        <v>9390</v>
      </c>
      <c r="P405" s="201">
        <v>9420</v>
      </c>
      <c r="Q405" s="201">
        <v>41391</v>
      </c>
      <c r="R405" s="201">
        <v>11899</v>
      </c>
      <c r="S405" s="201">
        <v>13635</v>
      </c>
      <c r="T405" s="201">
        <v>13935</v>
      </c>
      <c r="U405" s="201">
        <v>8132</v>
      </c>
      <c r="V405" s="201">
        <v>20314</v>
      </c>
      <c r="W405" s="201">
        <v>3401</v>
      </c>
      <c r="X405" s="201">
        <v>13343</v>
      </c>
      <c r="Y405" s="201">
        <v>6369</v>
      </c>
      <c r="Z405" s="201">
        <v>6037</v>
      </c>
      <c r="AA405" s="201">
        <v>8043</v>
      </c>
      <c r="AB405" s="201">
        <v>14606</v>
      </c>
      <c r="AC405" s="201">
        <v>7957</v>
      </c>
    </row>
    <row r="406" spans="1:29" s="201" customFormat="1">
      <c r="A406" s="2"/>
      <c r="B406" s="2" t="s">
        <v>20</v>
      </c>
      <c r="C406" s="37">
        <f t="shared" ref="C406:C407" si="172">SUM(D406:AC406)</f>
        <v>667</v>
      </c>
      <c r="D406" s="2">
        <v>9</v>
      </c>
      <c r="E406" s="2">
        <v>178</v>
      </c>
      <c r="F406" s="2">
        <v>42</v>
      </c>
      <c r="G406" s="2">
        <v>12</v>
      </c>
      <c r="H406" s="2">
        <v>17</v>
      </c>
      <c r="I406" s="2">
        <v>5</v>
      </c>
      <c r="J406" s="2">
        <v>11</v>
      </c>
      <c r="K406" s="2">
        <v>19</v>
      </c>
      <c r="L406" s="2">
        <v>7</v>
      </c>
      <c r="M406" s="2">
        <v>9</v>
      </c>
      <c r="N406" s="2">
        <v>20</v>
      </c>
      <c r="O406" s="2">
        <v>36</v>
      </c>
      <c r="P406" s="2">
        <v>12</v>
      </c>
      <c r="Q406" s="2">
        <v>103</v>
      </c>
      <c r="R406" s="2">
        <v>19</v>
      </c>
      <c r="S406" s="2">
        <v>10</v>
      </c>
      <c r="T406" s="2">
        <v>21</v>
      </c>
      <c r="U406" s="2">
        <v>26</v>
      </c>
      <c r="V406" s="2">
        <v>37</v>
      </c>
      <c r="W406" s="2">
        <v>2</v>
      </c>
      <c r="X406" s="2">
        <v>17</v>
      </c>
      <c r="Y406" s="2">
        <v>11</v>
      </c>
      <c r="Z406" s="2">
        <v>8</v>
      </c>
      <c r="AA406" s="2">
        <v>5</v>
      </c>
      <c r="AB406" s="2">
        <v>20</v>
      </c>
      <c r="AC406" s="2">
        <v>11</v>
      </c>
    </row>
    <row r="407" spans="1:29" s="201" customFormat="1">
      <c r="A407" s="200"/>
      <c r="B407" s="200" t="s">
        <v>214</v>
      </c>
      <c r="C407" s="246">
        <f t="shared" si="172"/>
        <v>223</v>
      </c>
      <c r="D407" s="200">
        <v>1</v>
      </c>
      <c r="E407" s="200">
        <v>100</v>
      </c>
      <c r="F407" s="200">
        <v>7</v>
      </c>
      <c r="G407" s="200">
        <v>3</v>
      </c>
      <c r="H407" s="200">
        <v>4</v>
      </c>
      <c r="I407" s="200">
        <v>3</v>
      </c>
      <c r="J407" s="200">
        <v>4</v>
      </c>
      <c r="K407" s="200">
        <v>2</v>
      </c>
      <c r="L407" s="200">
        <v>3</v>
      </c>
      <c r="M407" s="200">
        <v>5</v>
      </c>
      <c r="N407" s="200">
        <v>8</v>
      </c>
      <c r="O407" s="200">
        <v>10</v>
      </c>
      <c r="P407" s="200">
        <v>4</v>
      </c>
      <c r="Q407" s="200">
        <v>28</v>
      </c>
      <c r="R407" s="200">
        <v>2</v>
      </c>
      <c r="S407" s="200">
        <v>4</v>
      </c>
      <c r="T407" s="200">
        <v>6</v>
      </c>
      <c r="U407" s="200">
        <v>4</v>
      </c>
      <c r="V407" s="200">
        <v>7</v>
      </c>
      <c r="W407" s="200">
        <v>0</v>
      </c>
      <c r="X407" s="200">
        <v>2</v>
      </c>
      <c r="Y407" s="200">
        <v>3</v>
      </c>
      <c r="Z407" s="200">
        <v>1</v>
      </c>
      <c r="AA407" s="200">
        <v>2</v>
      </c>
      <c r="AB407" s="200">
        <v>9</v>
      </c>
      <c r="AC407" s="200">
        <v>1</v>
      </c>
    </row>
    <row r="408" spans="1:29" s="201" customFormat="1">
      <c r="A408" s="201" t="s">
        <v>692</v>
      </c>
    </row>
    <row r="412" spans="1:29" ht="15.6">
      <c r="A412" s="143" t="s">
        <v>659</v>
      </c>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spans="1:29" ht="17.399999999999999">
      <c r="A413" s="431" t="s">
        <v>1052</v>
      </c>
      <c r="B413" s="115" t="s">
        <v>657</v>
      </c>
      <c r="C413" s="113" t="str">
        <f t="shared" ref="C413:AC413" si="173">C426</f>
        <v>IE</v>
      </c>
      <c r="D413" s="113" t="str">
        <f t="shared" si="173"/>
        <v>IE-CW</v>
      </c>
      <c r="E413" s="113" t="str">
        <f t="shared" si="173"/>
        <v>IE-D</v>
      </c>
      <c r="F413" s="113" t="str">
        <f t="shared" si="173"/>
        <v>IE-KE</v>
      </c>
      <c r="G413" s="113" t="str">
        <f t="shared" si="173"/>
        <v>IE-KK</v>
      </c>
      <c r="H413" s="113" t="str">
        <f t="shared" si="173"/>
        <v>IE-LS</v>
      </c>
      <c r="I413" s="113" t="str">
        <f t="shared" si="173"/>
        <v>IE-LD</v>
      </c>
      <c r="J413" s="113" t="str">
        <f t="shared" si="173"/>
        <v>IE-LH</v>
      </c>
      <c r="K413" s="113" t="str">
        <f t="shared" si="173"/>
        <v>IE-MH</v>
      </c>
      <c r="L413" s="113" t="str">
        <f t="shared" si="173"/>
        <v>IE-OY</v>
      </c>
      <c r="M413" s="113" t="str">
        <f t="shared" si="173"/>
        <v>IE-WH</v>
      </c>
      <c r="N413" s="113" t="str">
        <f t="shared" si="173"/>
        <v>IE-WX</v>
      </c>
      <c r="O413" s="113" t="str">
        <f t="shared" si="173"/>
        <v>IE-WW</v>
      </c>
      <c r="P413" s="113" t="str">
        <f t="shared" si="173"/>
        <v>IE-CE</v>
      </c>
      <c r="Q413" s="113" t="str">
        <f t="shared" si="173"/>
        <v>IE-CO</v>
      </c>
      <c r="R413" s="113" t="str">
        <f t="shared" si="173"/>
        <v>IE-KY</v>
      </c>
      <c r="S413" s="113" t="str">
        <f t="shared" si="173"/>
        <v>IE-LK</v>
      </c>
      <c r="T413" s="113" t="str">
        <f t="shared" si="173"/>
        <v>IE-TA</v>
      </c>
      <c r="U413" s="113" t="str">
        <f t="shared" si="173"/>
        <v>IE-WD</v>
      </c>
      <c r="V413" s="113" t="str">
        <f t="shared" si="173"/>
        <v>IE-G</v>
      </c>
      <c r="W413" s="113" t="str">
        <f t="shared" si="173"/>
        <v>IE-LM</v>
      </c>
      <c r="X413" s="113" t="str">
        <f t="shared" si="173"/>
        <v>IE-MO</v>
      </c>
      <c r="Y413" s="113" t="str">
        <f t="shared" si="173"/>
        <v>IE-RN</v>
      </c>
      <c r="Z413" s="113" t="str">
        <f t="shared" si="173"/>
        <v>IE-SO</v>
      </c>
      <c r="AA413" s="113" t="str">
        <f t="shared" si="173"/>
        <v>IE-CN</v>
      </c>
      <c r="AB413" s="113" t="str">
        <f t="shared" si="173"/>
        <v>IE-DL</v>
      </c>
      <c r="AC413" s="113" t="str">
        <f t="shared" si="173"/>
        <v>IE-MN</v>
      </c>
    </row>
    <row r="414" spans="1:29">
      <c r="A414" s="860" t="s">
        <v>1049</v>
      </c>
      <c r="B414" s="201" t="s">
        <v>651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60"/>
      <c r="B415" s="201" t="s">
        <v>652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60" t="s">
        <v>1050</v>
      </c>
      <c r="B416" s="201" t="s">
        <v>653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60"/>
      <c r="B417" s="201" t="s">
        <v>654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60" t="s">
        <v>1051</v>
      </c>
      <c r="B418" s="201" t="s">
        <v>655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60"/>
      <c r="B419" s="201" t="s">
        <v>656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243"/>
      <c r="B420" s="243" t="s">
        <v>16</v>
      </c>
      <c r="C420" s="265">
        <f>SUM(C414:C419)</f>
        <v>354459</v>
      </c>
      <c r="D420" s="265">
        <f t="shared" ref="D420" si="174">SUM(D414:D419)</f>
        <v>5809</v>
      </c>
      <c r="E420" s="265">
        <f t="shared" ref="E420" si="175">SUM(E414:E419)</f>
        <v>74523</v>
      </c>
      <c r="F420" s="265">
        <f t="shared" ref="F420" si="176">SUM(F414:F419)</f>
        <v>16091</v>
      </c>
      <c r="G420" s="265">
        <f t="shared" ref="G420" si="177">SUM(G414:G419)</f>
        <v>8221</v>
      </c>
      <c r="H420" s="265">
        <f t="shared" ref="H420" si="178">SUM(H414:H419)</f>
        <v>6034</v>
      </c>
      <c r="I420" s="265">
        <f t="shared" ref="I420" si="179">SUM(I414:I419)</f>
        <v>3939</v>
      </c>
      <c r="J420" s="265">
        <f t="shared" ref="J420" si="180">SUM(J414:J419)</f>
        <v>8143</v>
      </c>
      <c r="K420" s="265">
        <f t="shared" ref="K420" si="181">SUM(K414:K419)</f>
        <v>14784</v>
      </c>
      <c r="L420" s="265">
        <f t="shared" ref="L420" si="182">SUM(L414:L419)</f>
        <v>6526</v>
      </c>
      <c r="M420" s="265">
        <f t="shared" ref="M420" si="183">SUM(M414:M419)</f>
        <v>8109</v>
      </c>
      <c r="N420" s="265">
        <f t="shared" ref="N420" si="184">SUM(N414:N419)</f>
        <v>13988</v>
      </c>
      <c r="O420" s="265">
        <f t="shared" ref="O420" si="185">SUM(O414:O419)</f>
        <v>9436</v>
      </c>
      <c r="P420" s="265">
        <f t="shared" ref="P420" si="186">SUM(P414:P419)</f>
        <v>9435</v>
      </c>
      <c r="Q420" s="265">
        <f t="shared" ref="Q420" si="187">SUM(Q414:Q419)</f>
        <v>41523</v>
      </c>
      <c r="R420" s="265">
        <f t="shared" ref="R420" si="188">SUM(R414:R419)</f>
        <v>11919</v>
      </c>
      <c r="S420" s="265">
        <f t="shared" ref="S420" si="189">SUM(S414:S419)</f>
        <v>13648</v>
      </c>
      <c r="T420" s="265">
        <f t="shared" ref="T420" si="190">SUM(T414:T419)</f>
        <v>13962</v>
      </c>
      <c r="U420" s="265">
        <f t="shared" ref="U420" si="191">SUM(U414:U419)</f>
        <v>8162</v>
      </c>
      <c r="V420" s="265">
        <f t="shared" ref="V420" si="192">SUM(V414:V419)</f>
        <v>20357</v>
      </c>
      <c r="W420" s="265">
        <f t="shared" ref="W420" si="193">SUM(W414:W419)</f>
        <v>3404</v>
      </c>
      <c r="X420" s="265">
        <f t="shared" ref="X420" si="194">SUM(X414:X419)</f>
        <v>13361</v>
      </c>
      <c r="Y420" s="265">
        <f t="shared" ref="Y420" si="195">SUM(Y414:Y419)</f>
        <v>6384</v>
      </c>
      <c r="Z420" s="265">
        <f t="shared" ref="Z420" si="196">SUM(Z414:Z419)</f>
        <v>6046</v>
      </c>
      <c r="AA420" s="265">
        <f t="shared" ref="AA420" si="197">SUM(AA414:AA419)</f>
        <v>8049</v>
      </c>
      <c r="AB420" s="265">
        <f t="shared" ref="AB420" si="198">SUM(AB414:AB419)</f>
        <v>14635</v>
      </c>
      <c r="AC420" s="265">
        <f t="shared" ref="AC420" si="199">SUM(AC414:AC419)</f>
        <v>7968</v>
      </c>
    </row>
    <row r="421" spans="1:29">
      <c r="A421" s="201" t="s">
        <v>658</v>
      </c>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spans="1:29">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5" spans="1:29" ht="15.6">
      <c r="A425" s="143" t="s">
        <v>660</v>
      </c>
    </row>
    <row r="426" spans="1:29" ht="17.399999999999999">
      <c r="A426" s="431" t="s">
        <v>1052</v>
      </c>
      <c r="B426" s="115" t="s">
        <v>657</v>
      </c>
      <c r="C426" s="113" t="str">
        <f t="shared" ref="C426:AC426" si="200">C388</f>
        <v>IE</v>
      </c>
      <c r="D426" s="113" t="str">
        <f t="shared" si="200"/>
        <v>IE-CW</v>
      </c>
      <c r="E426" s="113" t="str">
        <f t="shared" si="200"/>
        <v>IE-D</v>
      </c>
      <c r="F426" s="113" t="str">
        <f t="shared" si="200"/>
        <v>IE-KE</v>
      </c>
      <c r="G426" s="113" t="str">
        <f t="shared" si="200"/>
        <v>IE-KK</v>
      </c>
      <c r="H426" s="113" t="str">
        <f t="shared" si="200"/>
        <v>IE-LS</v>
      </c>
      <c r="I426" s="113" t="str">
        <f t="shared" si="200"/>
        <v>IE-LD</v>
      </c>
      <c r="J426" s="113" t="str">
        <f t="shared" si="200"/>
        <v>IE-LH</v>
      </c>
      <c r="K426" s="113" t="str">
        <f t="shared" si="200"/>
        <v>IE-MH</v>
      </c>
      <c r="L426" s="113" t="str">
        <f t="shared" si="200"/>
        <v>IE-OY</v>
      </c>
      <c r="M426" s="113" t="str">
        <f t="shared" si="200"/>
        <v>IE-WH</v>
      </c>
      <c r="N426" s="113" t="str">
        <f t="shared" si="200"/>
        <v>IE-WX</v>
      </c>
      <c r="O426" s="113" t="str">
        <f t="shared" si="200"/>
        <v>IE-WW</v>
      </c>
      <c r="P426" s="113" t="str">
        <f t="shared" si="200"/>
        <v>IE-CE</v>
      </c>
      <c r="Q426" s="113" t="str">
        <f t="shared" si="200"/>
        <v>IE-CO</v>
      </c>
      <c r="R426" s="113" t="str">
        <f t="shared" si="200"/>
        <v>IE-KY</v>
      </c>
      <c r="S426" s="113" t="str">
        <f t="shared" si="200"/>
        <v>IE-LK</v>
      </c>
      <c r="T426" s="113" t="str">
        <f t="shared" si="200"/>
        <v>IE-TA</v>
      </c>
      <c r="U426" s="113" t="str">
        <f t="shared" si="200"/>
        <v>IE-WD</v>
      </c>
      <c r="V426" s="113" t="str">
        <f t="shared" si="200"/>
        <v>IE-G</v>
      </c>
      <c r="W426" s="113" t="str">
        <f t="shared" si="200"/>
        <v>IE-LM</v>
      </c>
      <c r="X426" s="113" t="str">
        <f t="shared" si="200"/>
        <v>IE-MO</v>
      </c>
      <c r="Y426" s="113" t="str">
        <f t="shared" si="200"/>
        <v>IE-RN</v>
      </c>
      <c r="Z426" s="113" t="str">
        <f t="shared" si="200"/>
        <v>IE-SO</v>
      </c>
      <c r="AA426" s="113" t="str">
        <f t="shared" si="200"/>
        <v>IE-CN</v>
      </c>
      <c r="AB426" s="113" t="str">
        <f t="shared" si="200"/>
        <v>IE-DL</v>
      </c>
      <c r="AC426" s="113" t="str">
        <f t="shared" si="200"/>
        <v>IE-MN</v>
      </c>
    </row>
    <row r="427" spans="1:29">
      <c r="A427" s="860" t="s">
        <v>1049</v>
      </c>
      <c r="B427" s="201" t="s">
        <v>651</v>
      </c>
      <c r="C427" s="201">
        <v>4320</v>
      </c>
      <c r="D427" s="201">
        <v>68</v>
      </c>
      <c r="E427" s="201">
        <v>1005</v>
      </c>
      <c r="F427" s="201">
        <v>189</v>
      </c>
      <c r="G427" s="201">
        <v>86</v>
      </c>
      <c r="H427" s="201">
        <v>56</v>
      </c>
      <c r="I427" s="201">
        <v>45</v>
      </c>
      <c r="J427" s="201">
        <v>96</v>
      </c>
      <c r="K427" s="201">
        <v>165</v>
      </c>
      <c r="L427" s="201">
        <v>80</v>
      </c>
      <c r="M427" s="201">
        <v>107</v>
      </c>
      <c r="N427" s="201">
        <v>165</v>
      </c>
      <c r="O427" s="201">
        <v>87</v>
      </c>
      <c r="P427" s="201">
        <v>121</v>
      </c>
      <c r="Q427" s="201">
        <v>507</v>
      </c>
      <c r="R427" s="201">
        <v>145</v>
      </c>
      <c r="S427" s="201">
        <v>145</v>
      </c>
      <c r="T427" s="201">
        <v>155</v>
      </c>
      <c r="U427" s="201">
        <v>96</v>
      </c>
      <c r="V427" s="201">
        <v>262</v>
      </c>
      <c r="W427" s="201">
        <v>46</v>
      </c>
      <c r="X427" s="201">
        <v>163</v>
      </c>
      <c r="Y427" s="201">
        <v>82</v>
      </c>
      <c r="Z427" s="201">
        <v>76</v>
      </c>
      <c r="AA427" s="201">
        <v>98</v>
      </c>
      <c r="AB427" s="201">
        <v>189</v>
      </c>
      <c r="AC427" s="201">
        <v>88</v>
      </c>
    </row>
    <row r="428" spans="1:29">
      <c r="A428" s="860"/>
      <c r="B428" s="201" t="s">
        <v>652</v>
      </c>
      <c r="C428" s="201">
        <v>2098</v>
      </c>
      <c r="D428" s="201">
        <v>36</v>
      </c>
      <c r="E428" s="201">
        <v>466</v>
      </c>
      <c r="F428" s="201">
        <v>112</v>
      </c>
      <c r="G428" s="201">
        <v>53</v>
      </c>
      <c r="H428" s="201">
        <v>53</v>
      </c>
      <c r="I428" s="201">
        <v>24</v>
      </c>
      <c r="J428" s="201">
        <v>49</v>
      </c>
      <c r="K428" s="201">
        <v>107</v>
      </c>
      <c r="L428" s="201">
        <v>38</v>
      </c>
      <c r="M428" s="201">
        <v>45</v>
      </c>
      <c r="N428" s="201">
        <v>78</v>
      </c>
      <c r="O428" s="201">
        <v>87</v>
      </c>
      <c r="P428" s="201">
        <v>51</v>
      </c>
      <c r="Q428" s="201">
        <v>201</v>
      </c>
      <c r="R428" s="201">
        <v>65</v>
      </c>
      <c r="S428" s="201">
        <v>100</v>
      </c>
      <c r="T428" s="201">
        <v>84</v>
      </c>
      <c r="U428" s="201">
        <v>43</v>
      </c>
      <c r="V428" s="201">
        <v>105</v>
      </c>
      <c r="W428" s="201">
        <v>15</v>
      </c>
      <c r="X428" s="201">
        <v>78</v>
      </c>
      <c r="Y428" s="201">
        <v>34</v>
      </c>
      <c r="Z428" s="201">
        <v>29</v>
      </c>
      <c r="AA428" s="201">
        <v>45</v>
      </c>
      <c r="AB428" s="201">
        <v>58</v>
      </c>
      <c r="AC428" s="201">
        <v>43</v>
      </c>
    </row>
    <row r="429" spans="1:29">
      <c r="A429" s="860" t="s">
        <v>1050</v>
      </c>
      <c r="B429" s="201" t="s">
        <v>653</v>
      </c>
      <c r="C429" s="201">
        <v>113</v>
      </c>
      <c r="D429" s="201">
        <v>2</v>
      </c>
      <c r="E429" s="201">
        <v>33</v>
      </c>
      <c r="F429" s="201">
        <v>4</v>
      </c>
      <c r="G429" s="201">
        <v>2</v>
      </c>
      <c r="H429" s="201">
        <v>2</v>
      </c>
      <c r="I429" s="201">
        <v>1</v>
      </c>
      <c r="J429" s="201">
        <v>4</v>
      </c>
      <c r="K429" s="201">
        <v>4</v>
      </c>
      <c r="L429" s="201">
        <v>1</v>
      </c>
      <c r="M429" s="201">
        <v>2</v>
      </c>
      <c r="N429" s="201">
        <v>4</v>
      </c>
      <c r="O429" s="201">
        <v>2</v>
      </c>
      <c r="P429" s="201">
        <v>2</v>
      </c>
      <c r="Q429" s="201">
        <v>15</v>
      </c>
      <c r="R429" s="201">
        <v>2</v>
      </c>
      <c r="S429" s="201">
        <v>6</v>
      </c>
      <c r="T429" s="201">
        <v>5</v>
      </c>
      <c r="U429" s="201">
        <v>2</v>
      </c>
      <c r="V429" s="201">
        <v>6</v>
      </c>
      <c r="W429" s="201">
        <v>1</v>
      </c>
      <c r="X429" s="201">
        <v>2</v>
      </c>
      <c r="Y429" s="201">
        <v>2</v>
      </c>
      <c r="Z429" s="201">
        <v>2</v>
      </c>
      <c r="AA429" s="201">
        <v>2</v>
      </c>
      <c r="AB429" s="201">
        <v>3</v>
      </c>
      <c r="AC429" s="201">
        <v>2</v>
      </c>
    </row>
    <row r="430" spans="1:29">
      <c r="A430" s="860"/>
      <c r="B430" s="201" t="s">
        <v>654</v>
      </c>
      <c r="C430" s="201">
        <v>220</v>
      </c>
      <c r="D430" s="201">
        <v>3</v>
      </c>
      <c r="E430" s="201">
        <v>69</v>
      </c>
      <c r="F430" s="201">
        <v>11</v>
      </c>
      <c r="G430" s="201">
        <v>4</v>
      </c>
      <c r="H430" s="201">
        <v>4</v>
      </c>
      <c r="I430" s="201">
        <v>2</v>
      </c>
      <c r="J430" s="201">
        <v>8</v>
      </c>
      <c r="K430" s="201">
        <v>10</v>
      </c>
      <c r="L430" s="201">
        <v>3</v>
      </c>
      <c r="M430" s="201">
        <v>4</v>
      </c>
      <c r="N430" s="201">
        <v>9</v>
      </c>
      <c r="O430" s="201">
        <v>3</v>
      </c>
      <c r="P430" s="201">
        <v>3</v>
      </c>
      <c r="Q430" s="201">
        <v>19</v>
      </c>
      <c r="R430" s="201">
        <v>5</v>
      </c>
      <c r="S430" s="201">
        <v>16</v>
      </c>
      <c r="T430" s="201">
        <v>6</v>
      </c>
      <c r="U430" s="201">
        <v>3</v>
      </c>
      <c r="V430" s="201">
        <v>9</v>
      </c>
      <c r="W430" s="201">
        <v>1</v>
      </c>
      <c r="X430" s="201">
        <v>5</v>
      </c>
      <c r="Y430" s="201">
        <v>4</v>
      </c>
      <c r="Z430" s="201">
        <v>3</v>
      </c>
      <c r="AA430" s="201">
        <v>4</v>
      </c>
      <c r="AB430" s="201">
        <v>5</v>
      </c>
      <c r="AC430" s="201">
        <v>6</v>
      </c>
    </row>
    <row r="431" spans="1:29">
      <c r="A431" s="860" t="s">
        <v>1051</v>
      </c>
      <c r="B431" s="201" t="s">
        <v>655</v>
      </c>
      <c r="C431" s="201">
        <v>360</v>
      </c>
      <c r="D431" s="201">
        <v>5</v>
      </c>
      <c r="E431" s="201">
        <v>71</v>
      </c>
      <c r="F431" s="201">
        <v>22</v>
      </c>
      <c r="G431" s="201">
        <v>13</v>
      </c>
      <c r="H431" s="201">
        <v>7</v>
      </c>
      <c r="I431" s="201">
        <v>3</v>
      </c>
      <c r="J431" s="201">
        <v>15</v>
      </c>
      <c r="K431" s="201">
        <v>30</v>
      </c>
      <c r="L431" s="201">
        <v>3</v>
      </c>
      <c r="M431" s="201">
        <v>5</v>
      </c>
      <c r="N431" s="201">
        <v>34</v>
      </c>
      <c r="O431" s="201">
        <v>5</v>
      </c>
      <c r="P431" s="201">
        <v>4</v>
      </c>
      <c r="Q431" s="201">
        <v>35</v>
      </c>
      <c r="R431" s="201">
        <v>5</v>
      </c>
      <c r="S431" s="201">
        <v>12</v>
      </c>
      <c r="T431" s="201">
        <v>10</v>
      </c>
      <c r="U431" s="201">
        <v>6</v>
      </c>
      <c r="V431" s="201">
        <v>11</v>
      </c>
      <c r="W431" s="201">
        <v>2</v>
      </c>
      <c r="X431" s="201">
        <v>6</v>
      </c>
      <c r="Y431" s="201">
        <v>5</v>
      </c>
      <c r="Z431" s="201">
        <v>3</v>
      </c>
      <c r="AA431" s="201">
        <v>14</v>
      </c>
      <c r="AB431" s="201">
        <v>12</v>
      </c>
      <c r="AC431" s="201">
        <v>20</v>
      </c>
    </row>
    <row r="432" spans="1:29">
      <c r="A432" s="860"/>
      <c r="B432" s="201" t="s">
        <v>656</v>
      </c>
      <c r="C432" s="201">
        <v>780</v>
      </c>
      <c r="D432" s="201">
        <v>16</v>
      </c>
      <c r="E432" s="201">
        <v>126</v>
      </c>
      <c r="F432" s="201">
        <v>40</v>
      </c>
      <c r="G432" s="201">
        <v>30</v>
      </c>
      <c r="H432" s="201">
        <v>19</v>
      </c>
      <c r="I432" s="201">
        <v>12</v>
      </c>
      <c r="J432" s="201">
        <v>17</v>
      </c>
      <c r="K432" s="201">
        <v>42</v>
      </c>
      <c r="L432" s="201">
        <v>14</v>
      </c>
      <c r="M432" s="201">
        <v>11</v>
      </c>
      <c r="N432" s="201">
        <v>44</v>
      </c>
      <c r="O432" s="201">
        <v>16</v>
      </c>
      <c r="P432" s="201">
        <v>17</v>
      </c>
      <c r="Q432" s="201">
        <v>101</v>
      </c>
      <c r="R432" s="201">
        <v>21</v>
      </c>
      <c r="S432" s="201">
        <v>42</v>
      </c>
      <c r="T432" s="201">
        <v>42</v>
      </c>
      <c r="U432" s="201">
        <v>13</v>
      </c>
      <c r="V432" s="201">
        <v>35</v>
      </c>
      <c r="W432" s="201">
        <v>5</v>
      </c>
      <c r="X432" s="201">
        <v>16</v>
      </c>
      <c r="Y432" s="201">
        <v>11</v>
      </c>
      <c r="Z432" s="201">
        <v>8</v>
      </c>
      <c r="AA432" s="201">
        <v>16</v>
      </c>
      <c r="AB432" s="201">
        <v>23</v>
      </c>
      <c r="AC432" s="201">
        <v>41</v>
      </c>
    </row>
    <row r="433" spans="1:29">
      <c r="A433" s="243"/>
      <c r="B433" s="243" t="s">
        <v>16</v>
      </c>
      <c r="C433" s="264">
        <f>SUM(C427:C432)</f>
        <v>7891</v>
      </c>
      <c r="D433" s="264">
        <f t="shared" ref="D433:AC433" si="201">SUM(D427:D432)</f>
        <v>130</v>
      </c>
      <c r="E433" s="264">
        <f t="shared" si="201"/>
        <v>1770</v>
      </c>
      <c r="F433" s="264">
        <f t="shared" si="201"/>
        <v>378</v>
      </c>
      <c r="G433" s="264">
        <f t="shared" si="201"/>
        <v>188</v>
      </c>
      <c r="H433" s="264">
        <f t="shared" si="201"/>
        <v>141</v>
      </c>
      <c r="I433" s="264">
        <f t="shared" si="201"/>
        <v>87</v>
      </c>
      <c r="J433" s="264">
        <f t="shared" si="201"/>
        <v>189</v>
      </c>
      <c r="K433" s="264">
        <f t="shared" si="201"/>
        <v>358</v>
      </c>
      <c r="L433" s="264">
        <f t="shared" si="201"/>
        <v>139</v>
      </c>
      <c r="M433" s="264">
        <f t="shared" si="201"/>
        <v>174</v>
      </c>
      <c r="N433" s="264">
        <f t="shared" si="201"/>
        <v>334</v>
      </c>
      <c r="O433" s="264">
        <f t="shared" si="201"/>
        <v>200</v>
      </c>
      <c r="P433" s="264">
        <f t="shared" si="201"/>
        <v>198</v>
      </c>
      <c r="Q433" s="264">
        <f t="shared" si="201"/>
        <v>878</v>
      </c>
      <c r="R433" s="264">
        <f t="shared" si="201"/>
        <v>243</v>
      </c>
      <c r="S433" s="264">
        <f t="shared" si="201"/>
        <v>321</v>
      </c>
      <c r="T433" s="264">
        <f t="shared" si="201"/>
        <v>302</v>
      </c>
      <c r="U433" s="264">
        <f t="shared" si="201"/>
        <v>163</v>
      </c>
      <c r="V433" s="264">
        <f t="shared" si="201"/>
        <v>428</v>
      </c>
      <c r="W433" s="264">
        <f t="shared" si="201"/>
        <v>70</v>
      </c>
      <c r="X433" s="264">
        <f t="shared" si="201"/>
        <v>270</v>
      </c>
      <c r="Y433" s="264">
        <f t="shared" si="201"/>
        <v>138</v>
      </c>
      <c r="Z433" s="264">
        <f t="shared" si="201"/>
        <v>121</v>
      </c>
      <c r="AA433" s="264">
        <f t="shared" si="201"/>
        <v>179</v>
      </c>
      <c r="AB433" s="264">
        <f t="shared" si="201"/>
        <v>290</v>
      </c>
      <c r="AC433" s="264">
        <f t="shared" si="201"/>
        <v>200</v>
      </c>
    </row>
    <row r="434" spans="1:29">
      <c r="A434" t="s">
        <v>658</v>
      </c>
    </row>
    <row r="435" spans="1:29" s="548" customFormat="1"/>
    <row r="436" spans="1:29" s="548" customFormat="1"/>
    <row r="437" spans="1:29" s="548" customFormat="1"/>
    <row r="438" spans="1:29" s="548" customFormat="1" ht="15.6">
      <c r="A438" s="143" t="s">
        <v>1096</v>
      </c>
    </row>
    <row r="439" spans="1:29" s="548" customFormat="1">
      <c r="A439" s="552" t="s">
        <v>691</v>
      </c>
      <c r="B439" s="552" t="s">
        <v>1095</v>
      </c>
      <c r="C439" s="113" t="str">
        <f>C426</f>
        <v>IE</v>
      </c>
      <c r="D439" s="113" t="str">
        <f t="shared" ref="D439:AC439" si="202">D426</f>
        <v>IE-CW</v>
      </c>
      <c r="E439" s="113" t="str">
        <f t="shared" si="202"/>
        <v>IE-D</v>
      </c>
      <c r="F439" s="113" t="str">
        <f t="shared" si="202"/>
        <v>IE-KE</v>
      </c>
      <c r="G439" s="113" t="str">
        <f t="shared" si="202"/>
        <v>IE-KK</v>
      </c>
      <c r="H439" s="113" t="str">
        <f t="shared" si="202"/>
        <v>IE-LS</v>
      </c>
      <c r="I439" s="113" t="str">
        <f t="shared" si="202"/>
        <v>IE-LD</v>
      </c>
      <c r="J439" s="113" t="str">
        <f t="shared" si="202"/>
        <v>IE-LH</v>
      </c>
      <c r="K439" s="113" t="str">
        <f t="shared" si="202"/>
        <v>IE-MH</v>
      </c>
      <c r="L439" s="113" t="str">
        <f t="shared" si="202"/>
        <v>IE-OY</v>
      </c>
      <c r="M439" s="113" t="str">
        <f t="shared" si="202"/>
        <v>IE-WH</v>
      </c>
      <c r="N439" s="113" t="str">
        <f t="shared" si="202"/>
        <v>IE-WX</v>
      </c>
      <c r="O439" s="113" t="str">
        <f t="shared" si="202"/>
        <v>IE-WW</v>
      </c>
      <c r="P439" s="113" t="str">
        <f t="shared" si="202"/>
        <v>IE-CE</v>
      </c>
      <c r="Q439" s="113" t="str">
        <f t="shared" si="202"/>
        <v>IE-CO</v>
      </c>
      <c r="R439" s="113" t="str">
        <f t="shared" si="202"/>
        <v>IE-KY</v>
      </c>
      <c r="S439" s="113" t="str">
        <f t="shared" si="202"/>
        <v>IE-LK</v>
      </c>
      <c r="T439" s="113" t="str">
        <f t="shared" si="202"/>
        <v>IE-TA</v>
      </c>
      <c r="U439" s="113" t="str">
        <f t="shared" si="202"/>
        <v>IE-WD</v>
      </c>
      <c r="V439" s="113" t="str">
        <f t="shared" si="202"/>
        <v>IE-G</v>
      </c>
      <c r="W439" s="113" t="str">
        <f t="shared" si="202"/>
        <v>IE-LM</v>
      </c>
      <c r="X439" s="113" t="str">
        <f t="shared" si="202"/>
        <v>IE-MO</v>
      </c>
      <c r="Y439" s="113" t="str">
        <f t="shared" si="202"/>
        <v>IE-RN</v>
      </c>
      <c r="Z439" s="113" t="str">
        <f t="shared" si="202"/>
        <v>IE-SO</v>
      </c>
      <c r="AA439" s="113" t="str">
        <f t="shared" si="202"/>
        <v>IE-CN</v>
      </c>
      <c r="AB439" s="113" t="str">
        <f t="shared" si="202"/>
        <v>IE-DL</v>
      </c>
      <c r="AC439" s="113" t="str">
        <f t="shared" si="202"/>
        <v>IE-MN</v>
      </c>
    </row>
    <row r="440" spans="1:29" s="548" customFormat="1">
      <c r="A440" s="548" t="s">
        <v>1092</v>
      </c>
      <c r="B440" s="548" t="s">
        <v>1086</v>
      </c>
      <c r="C440" s="36">
        <f>((C414*AF!D133*ACT2FLO!E70)+(C415*AF!D134*ACT2FLO!E71))/1000000</f>
        <v>275.993624899</v>
      </c>
      <c r="D440" s="36">
        <f>((D414*AF!E133*ACT2FLO!F70)+(D415*AF!E134*ACT2FLO!F71))/1000000</f>
        <v>4.4664439269999994</v>
      </c>
      <c r="E440" s="36">
        <f>((E414*AF!F133*ACT2FLO!G70)+(E415*AF!F134*ACT2FLO!G71))/1000000</f>
        <v>63.264013847999998</v>
      </c>
      <c r="F440" s="36">
        <f>((F414*AF!G133*ACT2FLO!H70)+(F415*AF!G134*ACT2FLO!H71))/1000000</f>
        <v>12.95299578</v>
      </c>
      <c r="G440" s="36">
        <f>((G414*AF!H133*ACT2FLO!I70)+(G415*AF!H134*ACT2FLO!I71))/1000000</f>
        <v>5.9712435900000003</v>
      </c>
      <c r="H440" s="36">
        <f>((H414*AF!I133*ACT2FLO!J70)+(H415*AF!I134*ACT2FLO!J71))/1000000</f>
        <v>4.6924343829999993</v>
      </c>
      <c r="I440" s="36">
        <f>((I414*AF!J133*ACT2FLO!K70)+(I415*AF!J134*ACT2FLO!K71))/1000000</f>
        <v>2.9547502029999997</v>
      </c>
      <c r="J440" s="36">
        <f>((J414*AF!K133*ACT2FLO!L70)+(J415*AF!K134*ACT2FLO!L71))/1000000</f>
        <v>6.2321199459999992</v>
      </c>
      <c r="K440" s="36">
        <f>((K414*AF!L133*ACT2FLO!M70)+(K415*AF!L134*ACT2FLO!M71))/1000000</f>
        <v>11.666045855999998</v>
      </c>
      <c r="L440" s="36">
        <f>((L414*AF!M133*ACT2FLO!N70)+(L415*AF!M134*ACT2FLO!N71))/1000000</f>
        <v>5.0565246279999991</v>
      </c>
      <c r="M440" s="36">
        <f>((M414*AF!N133*ACT2FLO!O70)+(M415*AF!N134*ACT2FLO!O71))/1000000</f>
        <v>6.5503635049999991</v>
      </c>
      <c r="N440" s="36">
        <f>((N414*AF!O133*ACT2FLO!P70)+(N415*AF!O134*ACT2FLO!P71))/1000000</f>
        <v>10.433975886000001</v>
      </c>
      <c r="O440" s="36">
        <f>((O414*AF!P133*ACT2FLO!Q70)+(O415*AF!P134*ACT2FLO!Q71))/1000000</f>
        <v>7.4718604279999994</v>
      </c>
      <c r="P440" s="36">
        <f>((P414*AF!Q133*ACT2FLO!R70)+(P415*AF!Q134*ACT2FLO!R71))/1000000</f>
        <v>7.3643639539999999</v>
      </c>
      <c r="Q440" s="36">
        <f>((Q414*AF!R133*ACT2FLO!S70)+(Q415*AF!R134*ACT2FLO!S71))/1000000</f>
        <v>30.442963742999996</v>
      </c>
      <c r="R440" s="36">
        <f>((R414*AF!S133*ACT2FLO!T70)+(R415*AF!S134*ACT2FLO!T71))/1000000</f>
        <v>9.0589121250000009</v>
      </c>
      <c r="S440" s="36">
        <f>((S414*AF!T133*ACT2FLO!U70)+(S415*AF!T134*ACT2FLO!U71))/1000000</f>
        <v>10.553827076999999</v>
      </c>
      <c r="T440" s="36">
        <f>((T414*AF!U133*ACT2FLO!V70)+(T415*AF!U134*ACT2FLO!V71))/1000000</f>
        <v>10.269840026999999</v>
      </c>
      <c r="U440" s="36">
        <f>((U414*AF!V133*ACT2FLO!W70)+(U415*AF!V134*ACT2FLO!W71))/1000000</f>
        <v>5.9749364299999996</v>
      </c>
      <c r="V440" s="36">
        <f>((V414*AF!W133*ACT2FLO!X70)+(V415*AF!W134*ACT2FLO!X71))/1000000</f>
        <v>15.756442527999997</v>
      </c>
      <c r="W440" s="36">
        <f>((W414*AF!X133*ACT2FLO!Y70)+(W415*AF!X134*ACT2FLO!Y71))/1000000</f>
        <v>2.6189747699999995</v>
      </c>
      <c r="X440" s="36">
        <f>((X414*AF!Y133*ACT2FLO!Z70)+(X415*AF!Y134*ACT2FLO!Z71))/1000000</f>
        <v>10.367365531999999</v>
      </c>
      <c r="Y440" s="36">
        <f>((Y414*AF!Z133*ACT2FLO!AA70)+(Y415*AF!Z134*ACT2FLO!AA71))/1000000</f>
        <v>4.9898322299999993</v>
      </c>
      <c r="Z440" s="36">
        <f>((Z414*AF!AA133*ACT2FLO!AB70)+(Z415*AF!AA134*ACT2FLO!AB71))/1000000</f>
        <v>4.5254536869999988</v>
      </c>
      <c r="AA440" s="36">
        <f>((AA414*AF!AB133*ACT2FLO!AC70)+(AA415*AF!AB134*ACT2FLO!AC71))/1000000</f>
        <v>6.1400258999999995</v>
      </c>
      <c r="AB440" s="36">
        <f>((AB414*AF!AC133*ACT2FLO!AD70)+(AB415*AF!AC134*ACT2FLO!AD71))/1000000</f>
        <v>10.612086616000001</v>
      </c>
      <c r="AC440" s="36">
        <f>((AC414*AF!AD133*ACT2FLO!AE70)+(AC415*AF!AD134*ACT2FLO!AE71))/1000000</f>
        <v>5.6079158639999998</v>
      </c>
    </row>
    <row r="441" spans="1:29" s="548" customFormat="1">
      <c r="A441" s="548" t="s">
        <v>1093</v>
      </c>
      <c r="B441" s="548" t="s">
        <v>1087</v>
      </c>
      <c r="C441" s="36">
        <f>((C416*AF!D135*ACT2FLO!E72)+(C417*AF!D136*ACT2FLO!E72))/1000000</f>
        <v>1170.4876383179999</v>
      </c>
      <c r="D441" s="36">
        <f>((D416*AF!E135*ACT2FLO!F72)+(D417*AF!E136*ACT2FLO!F72))/1000000</f>
        <v>16.53365346</v>
      </c>
      <c r="E441" s="36">
        <f>((E416*AF!F135*ACT2FLO!G72)+(E417*AF!F136*ACT2FLO!G72))/1000000</f>
        <v>357.163885548</v>
      </c>
      <c r="F441" s="36">
        <f>((F416*AF!G135*ACT2FLO!H72)+(F417*AF!G136*ACT2FLO!H72))/1000000</f>
        <v>51.199073261999999</v>
      </c>
      <c r="G441" s="36">
        <f>((G416*AF!H135*ACT2FLO!I72)+(G417*AF!H136*ACT2FLO!I72))/1000000</f>
        <v>22.551935357999998</v>
      </c>
      <c r="H441" s="36">
        <f>((H416*AF!I135*ACT2FLO!J72)+(H417*AF!I136*ACT2FLO!J72))/1000000</f>
        <v>20.480825129999999</v>
      </c>
      <c r="I441" s="36">
        <f>((I416*AF!J135*ACT2FLO!K72)+(I417*AF!J136*ACT2FLO!K72))/1000000</f>
        <v>12.040452686999998</v>
      </c>
      <c r="J441" s="36">
        <f>((J416*AF!K135*ACT2FLO!L72)+(J417*AF!K136*ACT2FLO!L72))/1000000</f>
        <v>39.986357148000003</v>
      </c>
      <c r="K441" s="36">
        <f>((K416*AF!L135*ACT2FLO!M72)+(K417*AF!L136*ACT2FLO!M72))/1000000</f>
        <v>49.596653441999997</v>
      </c>
      <c r="L441" s="36">
        <f>((L416*AF!M135*ACT2FLO!N72)+(L417*AF!M136*ACT2FLO!N72))/1000000</f>
        <v>14.99562693</v>
      </c>
      <c r="M441" s="36">
        <f>((M416*AF!N135*ACT2FLO!O72)+(M417*AF!N136*ACT2FLO!O72))/1000000</f>
        <v>19.197188982</v>
      </c>
      <c r="N441" s="36">
        <f>((N416*AF!O135*ACT2FLO!P72)+(N417*AF!O136*ACT2FLO!P72))/1000000</f>
        <v>46.276485524999998</v>
      </c>
      <c r="O441" s="36">
        <f>((O416*AF!P135*ACT2FLO!Q72)+(O417*AF!P136*ACT2FLO!Q72))/1000000</f>
        <v>19.091451195000001</v>
      </c>
      <c r="P441" s="36">
        <f>((P416*AF!Q135*ACT2FLO!R72)+(P417*AF!Q136*ACT2FLO!R72))/1000000</f>
        <v>20.042311391999998</v>
      </c>
      <c r="Q441" s="36">
        <f>((Q416*AF!R135*ACT2FLO!S72)+(Q417*AF!R136*ACT2FLO!S72))/1000000</f>
        <v>121.040140986</v>
      </c>
      <c r="R441" s="36">
        <f>((R416*AF!S135*ACT2FLO!T72)+(R417*AF!S136*ACT2FLO!T72))/1000000</f>
        <v>25.302389525999995</v>
      </c>
      <c r="S441" s="36">
        <f>((S416*AF!T135*ACT2FLO!U72)+(S417*AF!T136*ACT2FLO!U72))/1000000</f>
        <v>78.658455326999999</v>
      </c>
      <c r="T441" s="36">
        <f>((T416*AF!U135*ACT2FLO!V72)+(T417*AF!U136*ACT2FLO!V72))/1000000</f>
        <v>38.391040613999991</v>
      </c>
      <c r="U441" s="36">
        <f>((U416*AF!V135*ACT2FLO!W72)+(U417*AF!V136*ACT2FLO!W72))/1000000</f>
        <v>18.87123879</v>
      </c>
      <c r="V441" s="36">
        <f>((V416*AF!W135*ACT2FLO!X72)+(V417*AF!W136*ACT2FLO!X72))/1000000</f>
        <v>55.882260588000001</v>
      </c>
      <c r="W441" s="36">
        <f>((W416*AF!X135*ACT2FLO!Y72)+(W417*AF!X136*ACT2FLO!Y72))/1000000</f>
        <v>6.8616267300000002</v>
      </c>
      <c r="X441" s="36">
        <f>((X416*AF!Y135*ACT2FLO!Z72)+(X417*AF!Y136*ACT2FLO!Z72))/1000000</f>
        <v>25.900186197</v>
      </c>
      <c r="Y441" s="36">
        <f>((Y416*AF!Z135*ACT2FLO!AA72)+(Y417*AF!Z136*ACT2FLO!AA72))/1000000</f>
        <v>18.203593139999999</v>
      </c>
      <c r="Z441" s="36">
        <f>((Z416*AF!AA135*ACT2FLO!AB72)+(Z417*AF!AA136*ACT2FLO!AB72))/1000000</f>
        <v>16.478126981999999</v>
      </c>
      <c r="AA441" s="36">
        <f>((AA416*AF!AB135*ACT2FLO!AC72)+(AA417*AF!AB136*ACT2FLO!AC72))/1000000</f>
        <v>20.703387731999999</v>
      </c>
      <c r="AB441" s="36">
        <f>((AB416*AF!AC135*ACT2FLO!AD72)+(AB417*AF!AC136*ACT2FLO!AD72))/1000000</f>
        <v>26.293456008</v>
      </c>
      <c r="AC441" s="36">
        <f>((AC416*AF!AD135*ACT2FLO!AE72)+(AC417*AF!AD136*ACT2FLO!AE72))/1000000</f>
        <v>28.794416915999999</v>
      </c>
    </row>
    <row r="442" spans="1:29" s="548" customFormat="1">
      <c r="A442" s="548" t="s">
        <v>1094</v>
      </c>
      <c r="B442" s="548" t="s">
        <v>1088</v>
      </c>
      <c r="C442" s="118">
        <f>((C418*AF!D137*ACT2FLO!E73)+(C419*AF!D138*ACT2FLO!E73))/1000000</f>
        <v>10447.393318175999</v>
      </c>
      <c r="D442" s="118">
        <f>((D418*AF!E137*ACT2FLO!F73)+(D419*AF!E138*ACT2FLO!F73))/1000000</f>
        <v>191.25112679999998</v>
      </c>
      <c r="E442" s="118">
        <f>((E418*AF!F137*ACT2FLO!G73)+(E419*AF!F138*ACT2FLO!G73))/1000000</f>
        <v>1801.6202282399997</v>
      </c>
      <c r="F442" s="118">
        <f>((F418*AF!G137*ACT2FLO!H73)+(F419*AF!G138*ACT2FLO!H73))/1000000</f>
        <v>567.11463907200005</v>
      </c>
      <c r="G442" s="118">
        <f>((G418*AF!H137*ACT2FLO!I73)+(G419*AF!H138*ACT2FLO!I73))/1000000</f>
        <v>401.39321097599998</v>
      </c>
      <c r="H442" s="118">
        <f>((H418*AF!I137*ACT2FLO!J73)+(H419*AF!I138*ACT2FLO!J73))/1000000</f>
        <v>232.66431216000001</v>
      </c>
      <c r="I442" s="118">
        <f>((I418*AF!J137*ACT2FLO!K73)+(I419*AF!J138*ACT2FLO!K73))/1000000</f>
        <v>142.62160694399998</v>
      </c>
      <c r="J442" s="118">
        <f>((J418*AF!K137*ACT2FLO!L73)+(J419*AF!K138*ACT2FLO!L73))/1000000</f>
        <v>290.99081644799998</v>
      </c>
      <c r="K442" s="118">
        <f>((K418*AF!L137*ACT2FLO!M73)+(K419*AF!L138*ACT2FLO!M73))/1000000</f>
        <v>657.40236825600005</v>
      </c>
      <c r="L442" s="118">
        <f>((L418*AF!M137*ACT2FLO!N73)+(L419*AF!M138*ACT2FLO!N73))/1000000</f>
        <v>160.64494147199997</v>
      </c>
      <c r="M442" s="118">
        <f>((M418*AF!N137*ACT2FLO!O73)+(M419*AF!N138*ACT2FLO!O73))/1000000</f>
        <v>146.17946937599999</v>
      </c>
      <c r="N442" s="118">
        <f>((N418*AF!O137*ACT2FLO!P73)+(N419*AF!O138*ACT2FLO!P73))/1000000</f>
        <v>719.12865115199997</v>
      </c>
      <c r="O442" s="118">
        <f>((O418*AF!P137*ACT2FLO!Q73)+(O419*AF!P138*ACT2FLO!Q73))/1000000</f>
        <v>190.43531231999995</v>
      </c>
      <c r="P442" s="118">
        <f>((P418*AF!Q137*ACT2FLO!R73)+(P419*AF!Q138*ACT2FLO!R73))/1000000</f>
        <v>191.792928096</v>
      </c>
      <c r="Q442" s="118">
        <f>((Q418*AF!R137*ACT2FLO!S73)+(Q419*AF!R138*ACT2FLO!S73))/1000000</f>
        <v>1251.9188758079999</v>
      </c>
      <c r="R442" s="118">
        <f>((R418*AF!S137*ACT2FLO!T73)+(R419*AF!S138*ACT2FLO!T73))/1000000</f>
        <v>245.403101472</v>
      </c>
      <c r="S442" s="118">
        <f>((S418*AF!T137*ACT2FLO!U73)+(S419*AF!T138*ACT2FLO!U73))/1000000</f>
        <v>496.25415859199995</v>
      </c>
      <c r="T442" s="118">
        <f>((T418*AF!U137*ACT2FLO!V73)+(T419*AF!U138*ACT2FLO!V73))/1000000</f>
        <v>482.837056464</v>
      </c>
      <c r="U442" s="118">
        <f>((U418*AF!V137*ACT2FLO!W73)+(U419*AF!V138*ACT2FLO!W73))/1000000</f>
        <v>170.67215726399999</v>
      </c>
      <c r="V442" s="118">
        <f>((V418*AF!W137*ACT2FLO!X73)+(V419*AF!W138*ACT2FLO!X73))/1000000</f>
        <v>428.07617073599999</v>
      </c>
      <c r="W442" s="118">
        <f>((W418*AF!X137*ACT2FLO!Y73)+(W419*AF!X138*ACT2FLO!Y73))/1000000</f>
        <v>68.119661039999997</v>
      </c>
      <c r="X442" s="118">
        <f>((X418*AF!Y137*ACT2FLO!Z73)+(X419*AF!Y138*ACT2FLO!Z73))/1000000</f>
        <v>203.87141971199998</v>
      </c>
      <c r="Y442" s="118">
        <f>((Y418*AF!Z137*ACT2FLO!AA73)+(Y419*AF!Z138*ACT2FLO!AA73))/1000000</f>
        <v>150.88424860799998</v>
      </c>
      <c r="Z442" s="118">
        <f>((Z418*AF!AA137*ACT2FLO!AB73)+(Z419*AF!AA138*ACT2FLO!AB73))/1000000</f>
        <v>104.698798368</v>
      </c>
      <c r="AA442" s="118">
        <f>((AA418*AF!AB137*ACT2FLO!AC73)+(AA419*AF!AB138*ACT2FLO!AC73))/1000000</f>
        <v>273.25984943999998</v>
      </c>
      <c r="AB442" s="118">
        <f>((AB418*AF!AC137*ACT2FLO!AD73)+(AB419*AF!AC138*ACT2FLO!AD73))/1000000</f>
        <v>318.60472243199996</v>
      </c>
      <c r="AC442" s="118">
        <f>((AC418*AF!AD137*ACT2FLO!AE73)+(AC419*AF!AD138*ACT2FLO!AE73))/1000000</f>
        <v>558.08887142399988</v>
      </c>
    </row>
    <row r="443" spans="1:29" s="548" customFormat="1">
      <c r="A443" s="544"/>
      <c r="B443" s="544" t="s">
        <v>16</v>
      </c>
      <c r="C443" s="509">
        <f t="shared" ref="C443:AC443" si="203">SUM(C440:C442)</f>
        <v>11893.874581392998</v>
      </c>
      <c r="D443" s="509">
        <f t="shared" si="203"/>
        <v>212.25122418699999</v>
      </c>
      <c r="E443" s="509">
        <f t="shared" si="203"/>
        <v>2222.0481276359997</v>
      </c>
      <c r="F443" s="509">
        <f t="shared" si="203"/>
        <v>631.26670811400004</v>
      </c>
      <c r="G443" s="509">
        <f t="shared" si="203"/>
        <v>429.91638992399999</v>
      </c>
      <c r="H443" s="509">
        <f t="shared" si="203"/>
        <v>257.83757167300001</v>
      </c>
      <c r="I443" s="509">
        <f t="shared" si="203"/>
        <v>157.61680983399998</v>
      </c>
      <c r="J443" s="509">
        <f t="shared" si="203"/>
        <v>337.20929354199995</v>
      </c>
      <c r="K443" s="509">
        <f t="shared" si="203"/>
        <v>718.66506755400007</v>
      </c>
      <c r="L443" s="509">
        <f t="shared" si="203"/>
        <v>180.69709302999996</v>
      </c>
      <c r="M443" s="509">
        <f t="shared" si="203"/>
        <v>171.92702186299999</v>
      </c>
      <c r="N443" s="509">
        <f t="shared" si="203"/>
        <v>775.83911256299996</v>
      </c>
      <c r="O443" s="509">
        <f t="shared" si="203"/>
        <v>216.99862394299996</v>
      </c>
      <c r="P443" s="509">
        <f t="shared" si="203"/>
        <v>219.19960344200001</v>
      </c>
      <c r="Q443" s="509">
        <f t="shared" si="203"/>
        <v>1403.4019805369999</v>
      </c>
      <c r="R443" s="509">
        <f t="shared" si="203"/>
        <v>279.76440312300002</v>
      </c>
      <c r="S443" s="509">
        <f t="shared" si="203"/>
        <v>585.46644099599996</v>
      </c>
      <c r="T443" s="509">
        <f t="shared" si="203"/>
        <v>531.49793710500001</v>
      </c>
      <c r="U443" s="509">
        <f t="shared" si="203"/>
        <v>195.51833248399998</v>
      </c>
      <c r="V443" s="509">
        <f t="shared" si="203"/>
        <v>499.71487385199998</v>
      </c>
      <c r="W443" s="509">
        <f t="shared" si="203"/>
        <v>77.600262539999989</v>
      </c>
      <c r="X443" s="509">
        <f t="shared" si="203"/>
        <v>240.13897144099997</v>
      </c>
      <c r="Y443" s="509">
        <f t="shared" si="203"/>
        <v>174.07767397799998</v>
      </c>
      <c r="Z443" s="509">
        <f t="shared" si="203"/>
        <v>125.702379037</v>
      </c>
      <c r="AA443" s="509">
        <f t="shared" si="203"/>
        <v>300.103263072</v>
      </c>
      <c r="AB443" s="509">
        <f t="shared" si="203"/>
        <v>355.51026505599998</v>
      </c>
      <c r="AC443" s="509">
        <f t="shared" si="203"/>
        <v>592.49120420399993</v>
      </c>
    </row>
    <row r="444" spans="1:29" s="548" customFormat="1"/>
    <row r="445" spans="1:29" s="548" customFormat="1"/>
    <row r="446" spans="1:29" s="548" customFormat="1"/>
    <row r="447" spans="1:29" s="548" customFormat="1" ht="15.6">
      <c r="A447" s="554" t="s">
        <v>1097</v>
      </c>
    </row>
    <row r="448" spans="1:29" s="548" customFormat="1">
      <c r="A448" s="552" t="s">
        <v>691</v>
      </c>
      <c r="B448" s="552" t="s">
        <v>1095</v>
      </c>
      <c r="C448" s="113" t="str">
        <f>C439</f>
        <v>IE</v>
      </c>
      <c r="D448" s="113" t="str">
        <f t="shared" ref="D448:AC448" si="204">D439</f>
        <v>IE-CW</v>
      </c>
      <c r="E448" s="113" t="str">
        <f t="shared" si="204"/>
        <v>IE-D</v>
      </c>
      <c r="F448" s="113" t="str">
        <f t="shared" si="204"/>
        <v>IE-KE</v>
      </c>
      <c r="G448" s="113" t="str">
        <f t="shared" si="204"/>
        <v>IE-KK</v>
      </c>
      <c r="H448" s="113" t="str">
        <f t="shared" si="204"/>
        <v>IE-LS</v>
      </c>
      <c r="I448" s="113" t="str">
        <f t="shared" si="204"/>
        <v>IE-LD</v>
      </c>
      <c r="J448" s="113" t="str">
        <f t="shared" si="204"/>
        <v>IE-LH</v>
      </c>
      <c r="K448" s="113" t="str">
        <f t="shared" si="204"/>
        <v>IE-MH</v>
      </c>
      <c r="L448" s="113" t="str">
        <f t="shared" si="204"/>
        <v>IE-OY</v>
      </c>
      <c r="M448" s="113" t="str">
        <f t="shared" si="204"/>
        <v>IE-WH</v>
      </c>
      <c r="N448" s="113" t="str">
        <f t="shared" si="204"/>
        <v>IE-WX</v>
      </c>
      <c r="O448" s="113" t="str">
        <f t="shared" si="204"/>
        <v>IE-WW</v>
      </c>
      <c r="P448" s="113" t="str">
        <f t="shared" si="204"/>
        <v>IE-CE</v>
      </c>
      <c r="Q448" s="113" t="str">
        <f t="shared" si="204"/>
        <v>IE-CO</v>
      </c>
      <c r="R448" s="113" t="str">
        <f t="shared" si="204"/>
        <v>IE-KY</v>
      </c>
      <c r="S448" s="113" t="str">
        <f t="shared" si="204"/>
        <v>IE-LK</v>
      </c>
      <c r="T448" s="113" t="str">
        <f t="shared" si="204"/>
        <v>IE-TA</v>
      </c>
      <c r="U448" s="113" t="str">
        <f t="shared" si="204"/>
        <v>IE-WD</v>
      </c>
      <c r="V448" s="113" t="str">
        <f t="shared" si="204"/>
        <v>IE-G</v>
      </c>
      <c r="W448" s="113" t="str">
        <f t="shared" si="204"/>
        <v>IE-LM</v>
      </c>
      <c r="X448" s="113" t="str">
        <f t="shared" si="204"/>
        <v>IE-MO</v>
      </c>
      <c r="Y448" s="113" t="str">
        <f t="shared" si="204"/>
        <v>IE-RN</v>
      </c>
      <c r="Z448" s="113" t="str">
        <f t="shared" si="204"/>
        <v>IE-SO</v>
      </c>
      <c r="AA448" s="113" t="str">
        <f t="shared" si="204"/>
        <v>IE-CN</v>
      </c>
      <c r="AB448" s="113" t="str">
        <f t="shared" si="204"/>
        <v>IE-DL</v>
      </c>
      <c r="AC448" s="113" t="str">
        <f t="shared" si="204"/>
        <v>IE-MN</v>
      </c>
    </row>
    <row r="449" spans="1:31" s="548" customFormat="1">
      <c r="A449" s="548" t="s">
        <v>1092</v>
      </c>
      <c r="B449" s="548" t="s">
        <v>1086</v>
      </c>
      <c r="C449" s="553">
        <f>ACT2FLO!E70*C470/C440</f>
        <v>4.5493804447819669E-2</v>
      </c>
      <c r="D449" s="553">
        <f>ACT2FLO!F70*D470/D440</f>
        <v>4.3358329895848091E-2</v>
      </c>
      <c r="E449" s="553">
        <f>ACT2FLO!G70*E470/E440</f>
        <v>4.5230346590859345E-2</v>
      </c>
      <c r="F449" s="553">
        <f>ACT2FLO!H70*F470/F440</f>
        <v>4.0522019628972429E-2</v>
      </c>
      <c r="G449" s="553">
        <f>ACT2FLO!I70*G470/G440</f>
        <v>5.6528172751623862E-2</v>
      </c>
      <c r="H449" s="553">
        <f>ACT2FLO!J70*H470/H440</f>
        <v>5.1234809195997238E-2</v>
      </c>
      <c r="I449" s="553">
        <f>1.06*ACT2FLO!K70*I470/I440</f>
        <v>4.1621421936233714E-2</v>
      </c>
      <c r="J449" s="553">
        <f>ACT2FLO!L70*J470/J440</f>
        <v>4.8785042392482061E-2</v>
      </c>
      <c r="K449" s="553">
        <f>ACT2FLO!M70*K470/K440</f>
        <v>3.9439590734345581E-2</v>
      </c>
      <c r="L449" s="553">
        <f>ACT2FLO!N70*L470/L440</f>
        <v>4.3764359626499945E-2</v>
      </c>
      <c r="M449" s="553">
        <f>ACT2FLO!O70*M470/M440</f>
        <v>3.8467691311872873E-2</v>
      </c>
      <c r="N449" s="553">
        <f>ACT2FLO!P70*N470/N440</f>
        <v>4.8810559062806416E-2</v>
      </c>
      <c r="O449" s="553">
        <f>ACT2FLO!Q70*O470/O440</f>
        <v>4.4965658844273497E-2</v>
      </c>
      <c r="P449" s="553">
        <f>1.05*ACT2FLO!R70*P470/P440</f>
        <v>4.7139181399312009E-2</v>
      </c>
      <c r="Q449" s="553">
        <f>ACT2FLO!S70*Q470/Q440</f>
        <v>5.8108430041832138E-2</v>
      </c>
      <c r="R449" s="553">
        <f>1.08*ACT2FLO!T70*R470/R440</f>
        <v>5.7382652048294305E-2</v>
      </c>
      <c r="S449" s="553">
        <f>ACT2FLO!U70*S470/S440</f>
        <v>5.1386499612748299E-2</v>
      </c>
      <c r="T449" s="553">
        <f>ACT2FLO!V70*T470/T440</f>
        <v>4.3230543351130864E-2</v>
      </c>
      <c r="U449" s="553">
        <f>ACT2FLO!W70*U470/U440</f>
        <v>6.6139532565710202E-2</v>
      </c>
      <c r="V449" s="553">
        <f>ACT2FLO!X70*V470/V440</f>
        <v>4.1792599254131077E-2</v>
      </c>
      <c r="W449" s="553">
        <f>ACT2FLO!Y70*W470/W440</f>
        <v>3.3532465950634381E-2</v>
      </c>
      <c r="X449" s="553">
        <f>ACT2FLO!Z70*X470/X440</f>
        <v>3.2122225057614875E-2</v>
      </c>
      <c r="Y449" s="553">
        <f>ACT2FLO!AA70*Y470/Y440</f>
        <v>3.3007311961299503E-2</v>
      </c>
      <c r="Z449" s="553">
        <f>ACT2FLO!AB70*Z470/Z440</f>
        <v>3.9688187235904247E-2</v>
      </c>
      <c r="AA449" s="553">
        <f>ACT2FLO!AC70*AA470/AA440</f>
        <v>3.4001497512077837E-2</v>
      </c>
      <c r="AB449" s="553">
        <f>ACT2FLO!AD70*AB470/AB440</f>
        <v>4.1112182905093803E-2</v>
      </c>
      <c r="AC449" s="553">
        <f>ACT2FLO!AE70*AC470/AC440</f>
        <v>2.9999770313504304E-2</v>
      </c>
    </row>
    <row r="450" spans="1:31" s="548" customFormat="1">
      <c r="A450" s="548" t="s">
        <v>1093</v>
      </c>
      <c r="B450" s="548" t="s">
        <v>1087</v>
      </c>
      <c r="C450" s="553">
        <f>1.5*ACT2FLO!E72*C471/C441</f>
        <v>5.1322455729924981</v>
      </c>
      <c r="D450" s="553">
        <f>1.5*ACT2FLO!F72*D471/D441</f>
        <v>5.6038764788433317</v>
      </c>
      <c r="E450" s="553">
        <f>1.5*ACT2FLO!G72*E471/E441</f>
        <v>3.8330287131577809</v>
      </c>
      <c r="F450" s="553">
        <f>1.5*ACT2FLO!H72*F471/F441</f>
        <v>4.9048096746472645</v>
      </c>
      <c r="G450" s="553">
        <f>1.5*ACT2FLO!I72*G471/G441</f>
        <v>7.1609208014409687</v>
      </c>
      <c r="H450" s="553">
        <f>1.5*ACT2FLO!J72*H471/H441</f>
        <v>5.6161517651135364</v>
      </c>
      <c r="I450" s="553">
        <f>1.5*ACT2FLO!K72*I471/I441</f>
        <v>4.6101170984987014</v>
      </c>
      <c r="J450" s="553">
        <f>1.5*ACT2FLO!L72*J471/J441</f>
        <v>3.6377563086767704</v>
      </c>
      <c r="K450" s="553">
        <f>1.5*ACT2FLO!M72*K471/K441</f>
        <v>4.4384022412948205</v>
      </c>
      <c r="L450" s="553">
        <f>1.5*ACT2FLO!N72*L471/L441</f>
        <v>7.0604280368629988</v>
      </c>
      <c r="M450" s="553">
        <f>1.5*ACT2FLO!O72*M471/M441</f>
        <v>6.2798148089184771</v>
      </c>
      <c r="N450" s="553">
        <f>1.5*ACT2FLO!P72*N471/N441</f>
        <v>5.2653372676002732</v>
      </c>
      <c r="O450" s="553">
        <f>1.5*ACT2FLO!Q72*O471/O441</f>
        <v>8.4196438935239382</v>
      </c>
      <c r="P450" s="553">
        <f>1.5*ACT2FLO!R72*P471/P441</f>
        <v>7.8922917064124984</v>
      </c>
      <c r="Q450" s="553">
        <f>1.5*ACT2FLO!S72*Q471/Q441</f>
        <v>6.9922927793807528</v>
      </c>
      <c r="R450" s="553">
        <f>1.5*ACT2FLO!T72*R471/R441</f>
        <v>9.101109158130571</v>
      </c>
      <c r="S450" s="553">
        <f>1.5*ACT2FLO!U72*S471/S441</f>
        <v>3.2986523626645048</v>
      </c>
      <c r="T450" s="553">
        <f>1.5*ACT2FLO!V72*T471/T441</f>
        <v>5.5328314696599277</v>
      </c>
      <c r="U450" s="553">
        <f>1.5*ACT2FLO!W72*U471/U441</f>
        <v>10.01882874950007</v>
      </c>
      <c r="V450" s="553">
        <f>1.5*ACT2FLO!X72*V471/V441</f>
        <v>5.6377594191267457</v>
      </c>
      <c r="W450" s="553">
        <f>1.5*ACT2FLO!Y72*W471/W441</f>
        <v>6.1234005825452709</v>
      </c>
      <c r="X450" s="553">
        <f>1.5*ACT2FLO!Z72*X471/X441</f>
        <v>6.1516851346980319</v>
      </c>
      <c r="Y450" s="553">
        <f>1.5*ACT2FLO!AA72*Y471/Y441</f>
        <v>4.3287443192786723</v>
      </c>
      <c r="Z450" s="553">
        <f>1.5*ACT2FLO!AB72*Z471/Z441</f>
        <v>5.2148100704369913</v>
      </c>
      <c r="AA450" s="553">
        <f>1.5*ACT2FLO!AC72*AA471/AA441</f>
        <v>4.8244719476360425</v>
      </c>
      <c r="AB450" s="553">
        <f>1.5*ACT2FLO!AD72*AB471/AB441</f>
        <v>7.9386490387867692</v>
      </c>
      <c r="AC450" s="553">
        <f>1.5*ACT2FLO!AE72*AC471/AC441</f>
        <v>2.7953364240099825</v>
      </c>
    </row>
    <row r="451" spans="1:31" s="429" customFormat="1">
      <c r="A451" s="200" t="s">
        <v>1094</v>
      </c>
      <c r="B451" s="200" t="s">
        <v>1088</v>
      </c>
      <c r="C451" s="555">
        <f>1.5*ACT2FLO!E73*C472/C442</f>
        <v>13.302620832529735</v>
      </c>
      <c r="D451" s="555">
        <f>1.5*ACT2FLO!F73*D472/D442</f>
        <v>11.207900828300826</v>
      </c>
      <c r="E451" s="555">
        <f>1.5*ACT2FLO!G73*E472/E442</f>
        <v>17.579934779985763</v>
      </c>
      <c r="F451" s="555">
        <f>1.5*ACT2FLO!H73*F472/F442</f>
        <v>10.244347438236131</v>
      </c>
      <c r="G451" s="555">
        <f>1.5*ACT2FLO!I73*G472/G442</f>
        <v>9.3079397454844361</v>
      </c>
      <c r="H451" s="555">
        <f>1.5*ACT2FLO!J73*H472/H442</f>
        <v>11.437402611644858</v>
      </c>
      <c r="I451" s="555">
        <f>1.5*ACT2FLO!K73*I472/I442</f>
        <v>9.0041007164514202</v>
      </c>
      <c r="J451" s="555">
        <f>1.5*ACT2FLO!L73*J472/J442</f>
        <v>11.564771534647889</v>
      </c>
      <c r="K451" s="555">
        <f>1.5*ACT2FLO!M73*K472/K442</f>
        <v>7.7467343790123158</v>
      </c>
      <c r="L451" s="555">
        <f>1.5*ACT2FLO!N73*L472/L442</f>
        <v>15.247530151851587</v>
      </c>
      <c r="M451" s="555">
        <f>1.5*ACT2FLO!O73*M472/M442</f>
        <v>19.07958803231476</v>
      </c>
      <c r="N451" s="555">
        <f>1.5*ACT2FLO!P73*N472/N442</f>
        <v>7.8388231978119034</v>
      </c>
      <c r="O451" s="555">
        <f>1.5*ACT2FLO!Q73*O472/O442</f>
        <v>19.527924171137613</v>
      </c>
      <c r="P451" s="555">
        <f>1.5*ACT2FLO!R73*P472/P442</f>
        <v>19.080477632961422</v>
      </c>
      <c r="Q451" s="555">
        <f>1.5*ACT2FLO!S73*Q472/Q442</f>
        <v>15.640251608652607</v>
      </c>
      <c r="R451" s="555">
        <f>1.5*ACT2FLO!T73*R472/R442</f>
        <v>21.709344523674044</v>
      </c>
      <c r="S451" s="555">
        <f>1.5*ACT2FLO!U73*S472/S442</f>
        <v>12.096192803330524</v>
      </c>
      <c r="T451" s="555">
        <f>1.5*ACT2FLO!V73*T472/T442</f>
        <v>10.177652761285335</v>
      </c>
      <c r="U451" s="555">
        <f>1.5*ACT2FLO!W73*U472/U442</f>
        <v>25.628641309867906</v>
      </c>
      <c r="V451" s="555">
        <f>1.5*ACT2FLO!X73*V472/V442</f>
        <v>17.026694731183554</v>
      </c>
      <c r="W451" s="555">
        <f>1.5*ACT2FLO!Y73*W472/W442</f>
        <v>14.269809625707298</v>
      </c>
      <c r="X451" s="555">
        <f>1.5*ACT2FLO!Z73*X472/X442</f>
        <v>18.080545739903158</v>
      </c>
      <c r="Y451" s="555">
        <f>1.5*ACT2FLO!AA73*Y472/Y442</f>
        <v>12.08220076069405</v>
      </c>
      <c r="Z451" s="555">
        <f>1.5*ACT2FLO!AB73*Z472/Z442</f>
        <v>18.987839011037483</v>
      </c>
      <c r="AA451" s="555">
        <f>1.5*ACT2FLO!AC73*AA472/AA442</f>
        <v>8.4564147260632616</v>
      </c>
      <c r="AB451" s="555">
        <f>1.5*ACT2FLO!AD73*AB472/AB442</f>
        <v>15.156990021486887</v>
      </c>
      <c r="AC451" s="555">
        <f>1.5*ACT2FLO!AE73*AC472/AC442</f>
        <v>3.3366442643954035</v>
      </c>
    </row>
    <row r="452" spans="1:31" s="548" customFormat="1">
      <c r="A452" s="508"/>
      <c r="B452" s="508"/>
      <c r="C452" s="510"/>
      <c r="D452" s="510"/>
      <c r="E452" s="510"/>
      <c r="F452" s="510"/>
      <c r="G452" s="510"/>
      <c r="H452" s="510"/>
      <c r="I452" s="510"/>
      <c r="J452" s="510"/>
      <c r="K452" s="510"/>
      <c r="L452" s="510"/>
      <c r="M452" s="510"/>
      <c r="N452" s="510"/>
      <c r="O452" s="510"/>
      <c r="P452" s="510"/>
      <c r="Q452" s="510"/>
      <c r="R452" s="510"/>
      <c r="S452" s="510"/>
      <c r="T452" s="510"/>
      <c r="U452" s="510"/>
      <c r="V452" s="510"/>
      <c r="W452" s="510"/>
      <c r="X452" s="510"/>
      <c r="Y452" s="510"/>
      <c r="Z452" s="510"/>
      <c r="AA452" s="510"/>
      <c r="AB452" s="510"/>
      <c r="AC452" s="510"/>
    </row>
    <row r="453" spans="1:31" s="548" customFormat="1">
      <c r="A453" s="508"/>
      <c r="B453" s="508"/>
      <c r="C453" s="510"/>
      <c r="D453" s="510"/>
      <c r="E453" s="510"/>
      <c r="F453" s="510"/>
      <c r="G453" s="510"/>
      <c r="H453" s="510"/>
      <c r="I453" s="510"/>
      <c r="J453" s="510"/>
      <c r="K453" s="510"/>
      <c r="L453" s="510"/>
      <c r="M453" s="510"/>
      <c r="N453" s="510"/>
      <c r="O453" s="510"/>
      <c r="P453" s="510"/>
      <c r="Q453" s="510"/>
      <c r="R453" s="510"/>
      <c r="S453" s="510"/>
      <c r="T453" s="510"/>
      <c r="U453" s="510"/>
      <c r="V453" s="510"/>
      <c r="W453" s="510"/>
      <c r="X453" s="510"/>
      <c r="Y453" s="510"/>
      <c r="Z453" s="510"/>
      <c r="AA453" s="510"/>
      <c r="AB453" s="510"/>
      <c r="AC453" s="510"/>
    </row>
    <row r="454" spans="1:31" s="429" customFormat="1"/>
    <row r="455" spans="1:31" s="429" customFormat="1" ht="15.6">
      <c r="A455" s="143" t="s">
        <v>1057</v>
      </c>
      <c r="L455" s="415"/>
      <c r="M455" s="548"/>
    </row>
    <row r="456" spans="1:31" s="429" customFormat="1" ht="17.399999999999999">
      <c r="A456" s="431" t="s">
        <v>1052</v>
      </c>
      <c r="B456" s="431" t="s">
        <v>657</v>
      </c>
      <c r="C456" s="431" t="s">
        <v>1054</v>
      </c>
      <c r="D456" s="431" t="s">
        <v>1055</v>
      </c>
      <c r="E456" s="431" t="s">
        <v>1085</v>
      </c>
      <c r="F456" s="431" t="s">
        <v>1085</v>
      </c>
      <c r="G456" s="415"/>
      <c r="J456" s="552" t="s">
        <v>1090</v>
      </c>
      <c r="K456" s="552" t="s">
        <v>1089</v>
      </c>
      <c r="L456" s="552" t="s">
        <v>1091</v>
      </c>
      <c r="M456" s="415"/>
      <c r="N456" s="415"/>
      <c r="O456" s="415"/>
      <c r="P456" s="415"/>
      <c r="Q456" s="415"/>
      <c r="R456" s="415"/>
      <c r="S456" s="415"/>
      <c r="T456" s="415"/>
      <c r="U456" s="415"/>
      <c r="V456" s="415"/>
      <c r="W456" s="415"/>
      <c r="X456" s="415"/>
      <c r="Y456" s="415"/>
      <c r="Z456" s="415"/>
      <c r="AA456" s="415"/>
      <c r="AB456" s="415"/>
      <c r="AC456" s="415"/>
      <c r="AD456" s="415"/>
      <c r="AE456" s="415"/>
    </row>
    <row r="457" spans="1:31" s="429" customFormat="1">
      <c r="A457" s="860" t="s">
        <v>1049</v>
      </c>
      <c r="B457" s="429" t="s">
        <v>651</v>
      </c>
      <c r="E457" s="415"/>
      <c r="F457" s="873">
        <f>D458*1000/(C414+C415)</f>
        <v>20.719511209731053</v>
      </c>
      <c r="G457" s="415"/>
      <c r="I457" s="548" t="s">
        <v>1086</v>
      </c>
      <c r="J457" s="550">
        <v>140.52000000000001</v>
      </c>
      <c r="K457" s="549">
        <v>292</v>
      </c>
      <c r="L457" s="510">
        <f>F457*K457/J457</f>
        <v>43.05506172246988</v>
      </c>
      <c r="M457" s="415"/>
      <c r="N457" s="415"/>
      <c r="O457" s="415"/>
      <c r="P457" s="415"/>
      <c r="Q457" s="415"/>
      <c r="R457" s="415"/>
      <c r="S457" s="415"/>
      <c r="T457" s="415"/>
      <c r="U457" s="415"/>
      <c r="V457" s="415"/>
      <c r="W457" s="415"/>
      <c r="X457" s="415"/>
      <c r="Y457" s="415"/>
      <c r="Z457" s="415"/>
      <c r="AA457" s="415"/>
      <c r="AB457" s="415"/>
      <c r="AC457" s="415"/>
      <c r="AD457" s="415"/>
      <c r="AE457" s="415"/>
    </row>
    <row r="458" spans="1:31" s="429" customFormat="1">
      <c r="A458" s="860"/>
      <c r="B458" s="429" t="s">
        <v>652</v>
      </c>
      <c r="C458" s="429">
        <v>292</v>
      </c>
      <c r="D458" s="429">
        <v>6667</v>
      </c>
      <c r="E458" s="541">
        <f>D458*1000/(C414+C415)</f>
        <v>20.719511209731053</v>
      </c>
      <c r="F458" s="873"/>
      <c r="G458" s="415"/>
      <c r="I458" s="548" t="s">
        <v>1087</v>
      </c>
      <c r="J458" s="551">
        <v>485.95331592500008</v>
      </c>
      <c r="K458" s="549">
        <v>1140</v>
      </c>
      <c r="L458" s="510">
        <f>F459*K458/J458</f>
        <v>3512.9035392776655</v>
      </c>
      <c r="M458" s="415"/>
      <c r="N458" s="415"/>
      <c r="O458" s="415"/>
      <c r="P458" s="415"/>
      <c r="Q458" s="415"/>
      <c r="R458" s="415"/>
      <c r="S458" s="415"/>
      <c r="T458" s="415"/>
      <c r="U458" s="415"/>
      <c r="V458" s="415"/>
      <c r="W458" s="415"/>
      <c r="X458" s="415"/>
      <c r="Y458" s="415"/>
      <c r="Z458" s="415"/>
      <c r="AA458" s="415"/>
      <c r="AB458" s="415"/>
      <c r="AC458" s="415"/>
      <c r="AD458" s="415"/>
      <c r="AE458" s="415"/>
    </row>
    <row r="459" spans="1:31" s="429" customFormat="1">
      <c r="A459" s="860" t="s">
        <v>1050</v>
      </c>
      <c r="B459" s="429" t="s">
        <v>653</v>
      </c>
      <c r="C459" s="429">
        <v>246</v>
      </c>
      <c r="D459" s="429">
        <v>4107</v>
      </c>
      <c r="E459" s="541">
        <f>D459*1000/(C416)</f>
        <v>904.6255506607929</v>
      </c>
      <c r="F459" s="874">
        <f>(1000*(D459+D460))/(C416+C417)</f>
        <v>1497.4623889795178</v>
      </c>
      <c r="G459" s="415"/>
      <c r="H459" s="548"/>
      <c r="I459" s="548" t="s">
        <v>1088</v>
      </c>
      <c r="J459" s="551">
        <v>6457.963038912002</v>
      </c>
      <c r="K459" s="549">
        <v>10106</v>
      </c>
      <c r="L459" s="510">
        <f>F461*K459/J459</f>
        <v>9168.1678434403839</v>
      </c>
      <c r="M459" s="415"/>
      <c r="N459" s="415"/>
      <c r="O459" s="415"/>
      <c r="P459" s="415"/>
      <c r="Q459" s="415"/>
      <c r="R459" s="415"/>
      <c r="S459" s="415"/>
      <c r="T459" s="415"/>
      <c r="U459" s="415"/>
      <c r="V459" s="415"/>
      <c r="W459" s="415"/>
      <c r="X459" s="415"/>
      <c r="Y459" s="415"/>
      <c r="Z459" s="415"/>
      <c r="AA459" s="415"/>
      <c r="AB459" s="415"/>
      <c r="AC459" s="415"/>
      <c r="AD459" s="415"/>
      <c r="AE459" s="415"/>
    </row>
    <row r="460" spans="1:31" s="429" customFormat="1">
      <c r="A460" s="860"/>
      <c r="B460" s="429" t="s">
        <v>654</v>
      </c>
      <c r="C460" s="429">
        <v>894</v>
      </c>
      <c r="D460" s="429">
        <v>12416</v>
      </c>
      <c r="E460" s="541">
        <f>D460*1000/(C417)</f>
        <v>1911.9186941792423</v>
      </c>
      <c r="F460" s="874"/>
      <c r="G460" s="415"/>
      <c r="H460" s="541"/>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row>
    <row r="461" spans="1:31" s="429" customFormat="1">
      <c r="A461" s="860" t="s">
        <v>1051</v>
      </c>
      <c r="B461" s="429" t="s">
        <v>655</v>
      </c>
      <c r="C461" s="429">
        <v>2606</v>
      </c>
      <c r="D461" s="429">
        <v>35975</v>
      </c>
      <c r="E461" s="541">
        <f>D461*1000/(C418)</f>
        <v>4375.45609340793</v>
      </c>
      <c r="F461" s="874">
        <f>1000*(D461+D462)/(C418+C419)</f>
        <v>5858.6670361646111</v>
      </c>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row>
    <row r="462" spans="1:31">
      <c r="A462" s="860"/>
      <c r="B462" s="429" t="s">
        <v>656</v>
      </c>
      <c r="C462" s="429">
        <v>7500</v>
      </c>
      <c r="D462" s="429">
        <v>90871</v>
      </c>
      <c r="E462" s="541">
        <f>D462*1000/(C419)</f>
        <v>6766.7734008489088</v>
      </c>
      <c r="F462" s="874"/>
      <c r="G462" s="415"/>
      <c r="H462" s="541"/>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row>
    <row r="463" spans="1:31">
      <c r="A463" s="507"/>
      <c r="B463" s="507" t="s">
        <v>16</v>
      </c>
      <c r="C463" s="509">
        <f>SUM(C457:C462)</f>
        <v>11538</v>
      </c>
      <c r="D463" s="509">
        <f>SUM(D457:D462)</f>
        <v>150036</v>
      </c>
      <c r="E463" s="542">
        <f>D463*1000/(C420)</f>
        <v>423.2816771474275</v>
      </c>
      <c r="F463" s="264"/>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row>
    <row r="464" spans="1:31" s="429" customFormat="1">
      <c r="A464" s="429" t="s">
        <v>1056</v>
      </c>
      <c r="B464" s="508"/>
      <c r="C464" s="510"/>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row>
    <row r="465" spans="1:29" s="429" customFormat="1">
      <c r="A465" s="508"/>
      <c r="B465" s="508"/>
      <c r="C465" s="510"/>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row>
    <row r="466" spans="1:29" s="429" customFormat="1">
      <c r="A466" s="508"/>
      <c r="B466" s="508"/>
      <c r="C466" s="510"/>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row>
    <row r="467" spans="1:29" s="429" customFormat="1">
      <c r="A467" s="508"/>
      <c r="B467" s="508"/>
      <c r="C467" s="510"/>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row>
    <row r="468" spans="1:29" s="429" customFormat="1" ht="15.6">
      <c r="A468" s="143" t="s">
        <v>1053</v>
      </c>
    </row>
    <row r="469" spans="1:29" s="429" customFormat="1" ht="17.399999999999999">
      <c r="A469" s="431" t="s">
        <v>1052</v>
      </c>
      <c r="B469" s="431" t="s">
        <v>657</v>
      </c>
      <c r="C469" s="113" t="str">
        <f t="shared" ref="C469:AC469" si="205">C426</f>
        <v>IE</v>
      </c>
      <c r="D469" s="113" t="str">
        <f t="shared" si="205"/>
        <v>IE-CW</v>
      </c>
      <c r="E469" s="113" t="str">
        <f t="shared" si="205"/>
        <v>IE-D</v>
      </c>
      <c r="F469" s="113" t="str">
        <f t="shared" si="205"/>
        <v>IE-KE</v>
      </c>
      <c r="G469" s="113" t="str">
        <f t="shared" si="205"/>
        <v>IE-KK</v>
      </c>
      <c r="H469" s="113" t="str">
        <f t="shared" si="205"/>
        <v>IE-LS</v>
      </c>
      <c r="I469" s="113" t="str">
        <f t="shared" si="205"/>
        <v>IE-LD</v>
      </c>
      <c r="J469" s="113" t="str">
        <f t="shared" si="205"/>
        <v>IE-LH</v>
      </c>
      <c r="K469" s="113" t="str">
        <f t="shared" si="205"/>
        <v>IE-MH</v>
      </c>
      <c r="L469" s="113" t="str">
        <f t="shared" si="205"/>
        <v>IE-OY</v>
      </c>
      <c r="M469" s="113" t="str">
        <f t="shared" si="205"/>
        <v>IE-WH</v>
      </c>
      <c r="N469" s="113" t="str">
        <f t="shared" si="205"/>
        <v>IE-WX</v>
      </c>
      <c r="O469" s="113" t="str">
        <f t="shared" si="205"/>
        <v>IE-WW</v>
      </c>
      <c r="P469" s="113" t="str">
        <f t="shared" si="205"/>
        <v>IE-CE</v>
      </c>
      <c r="Q469" s="113" t="str">
        <f t="shared" si="205"/>
        <v>IE-CO</v>
      </c>
      <c r="R469" s="113" t="str">
        <f t="shared" si="205"/>
        <v>IE-KY</v>
      </c>
      <c r="S469" s="113" t="str">
        <f t="shared" si="205"/>
        <v>IE-LK</v>
      </c>
      <c r="T469" s="113" t="str">
        <f t="shared" si="205"/>
        <v>IE-TA</v>
      </c>
      <c r="U469" s="113" t="str">
        <f t="shared" si="205"/>
        <v>IE-WD</v>
      </c>
      <c r="V469" s="113" t="str">
        <f t="shared" si="205"/>
        <v>IE-G</v>
      </c>
      <c r="W469" s="113" t="str">
        <f t="shared" si="205"/>
        <v>IE-LM</v>
      </c>
      <c r="X469" s="113" t="str">
        <f t="shared" si="205"/>
        <v>IE-MO</v>
      </c>
      <c r="Y469" s="113" t="str">
        <f t="shared" si="205"/>
        <v>IE-RN</v>
      </c>
      <c r="Z469" s="113" t="str">
        <f t="shared" si="205"/>
        <v>IE-SO</v>
      </c>
      <c r="AA469" s="113" t="str">
        <f t="shared" si="205"/>
        <v>IE-CN</v>
      </c>
      <c r="AB469" s="113" t="str">
        <f t="shared" si="205"/>
        <v>IE-DL</v>
      </c>
      <c r="AC469" s="113" t="str">
        <f t="shared" si="205"/>
        <v>IE-MN</v>
      </c>
    </row>
    <row r="470" spans="1:29" s="429" customFormat="1">
      <c r="A470" s="511" t="s">
        <v>1049</v>
      </c>
      <c r="B470" s="429" t="s">
        <v>1058</v>
      </c>
      <c r="C470" s="429">
        <f>C458</f>
        <v>292</v>
      </c>
      <c r="D470" s="7">
        <f>$C470*D$526</f>
        <v>4.5036639360040285</v>
      </c>
      <c r="E470" s="7">
        <f t="shared" ref="D470:M472" si="206">$C470*E$526</f>
        <v>66.545424955208503</v>
      </c>
      <c r="F470" s="7">
        <f t="shared" si="206"/>
        <v>12.206547657003652</v>
      </c>
      <c r="G470" s="7">
        <f t="shared" si="206"/>
        <v>7.8498485859894576</v>
      </c>
      <c r="H470" s="7">
        <f t="shared" si="206"/>
        <v>5.5910693087846983</v>
      </c>
      <c r="I470" s="7">
        <f t="shared" si="206"/>
        <v>2.6981330608871263</v>
      </c>
      <c r="J470" s="7">
        <f t="shared" si="206"/>
        <v>7.0705636223405346</v>
      </c>
      <c r="K470" s="7">
        <f t="shared" si="206"/>
        <v>10.700094745319726</v>
      </c>
      <c r="L470" s="7">
        <f t="shared" si="206"/>
        <v>5.146408425117345</v>
      </c>
      <c r="M470" s="7">
        <f t="shared" si="206"/>
        <v>5.8599386346720381</v>
      </c>
      <c r="N470" s="7">
        <f t="shared" ref="N470:W472" si="207">$C470*N$526</f>
        <v>11.843911540546534</v>
      </c>
      <c r="O470" s="7">
        <f t="shared" si="207"/>
        <v>7.8134215566854737</v>
      </c>
      <c r="P470" s="7">
        <f t="shared" si="207"/>
        <v>7.688817017013525</v>
      </c>
      <c r="Q470" s="7">
        <f t="shared" si="207"/>
        <v>41.139368114561577</v>
      </c>
      <c r="R470" s="7">
        <f t="shared" si="207"/>
        <v>11.193462584085903</v>
      </c>
      <c r="S470" s="7">
        <f t="shared" si="207"/>
        <v>12.61219141872728</v>
      </c>
      <c r="T470" s="7">
        <f t="shared" si="207"/>
        <v>10.324901499916336</v>
      </c>
      <c r="U470" s="7">
        <f t="shared" si="207"/>
        <v>9.1902209904658907</v>
      </c>
      <c r="V470" s="7">
        <f t="shared" si="207"/>
        <v>15.314016005661671</v>
      </c>
      <c r="W470" s="7">
        <f t="shared" si="207"/>
        <v>2.0423414488510581</v>
      </c>
      <c r="X470" s="7">
        <f t="shared" ref="X470:AC472" si="208">$C470*X$526</f>
        <v>7.7447174156619347</v>
      </c>
      <c r="Y470" s="7">
        <f t="shared" si="208"/>
        <v>3.830254629073413</v>
      </c>
      <c r="Z470" s="7">
        <f t="shared" si="208"/>
        <v>4.1769082152806787</v>
      </c>
      <c r="AA470" s="7">
        <f t="shared" si="208"/>
        <v>4.8551180316963602</v>
      </c>
      <c r="AB470" s="7">
        <f t="shared" si="208"/>
        <v>10.146187115388139</v>
      </c>
      <c r="AC470" s="7">
        <f t="shared" si="208"/>
        <v>3.9124694850571404</v>
      </c>
    </row>
    <row r="471" spans="1:29" s="429" customFormat="1">
      <c r="A471" s="511" t="s">
        <v>1050</v>
      </c>
      <c r="B471" s="429" t="s">
        <v>1059</v>
      </c>
      <c r="C471" s="118">
        <f>C459+C460</f>
        <v>1140</v>
      </c>
      <c r="D471" s="7">
        <f t="shared" si="206"/>
        <v>17.58279755837189</v>
      </c>
      <c r="E471" s="7">
        <f t="shared" si="206"/>
        <v>259.80063167444416</v>
      </c>
      <c r="F471" s="7">
        <f t="shared" si="206"/>
        <v>47.65569975679508</v>
      </c>
      <c r="G471" s="7">
        <f t="shared" si="206"/>
        <v>30.646669137082128</v>
      </c>
      <c r="H471" s="7">
        <f t="shared" si="206"/>
        <v>21.828147301419712</v>
      </c>
      <c r="I471" s="7">
        <f t="shared" si="206"/>
        <v>10.533807155518234</v>
      </c>
      <c r="J471" s="7">
        <f t="shared" si="206"/>
        <v>27.604255237904827</v>
      </c>
      <c r="K471" s="7">
        <f t="shared" si="206"/>
        <v>41.774342498850984</v>
      </c>
      <c r="L471" s="7">
        <f t="shared" si="206"/>
        <v>20.09214248162251</v>
      </c>
      <c r="M471" s="7">
        <f t="shared" si="206"/>
        <v>22.877842614815492</v>
      </c>
      <c r="N471" s="7">
        <f t="shared" si="207"/>
        <v>46.239928617202224</v>
      </c>
      <c r="O471" s="7">
        <f t="shared" si="207"/>
        <v>30.504454022676164</v>
      </c>
      <c r="P471" s="7">
        <f t="shared" si="207"/>
        <v>30.017984244504856</v>
      </c>
      <c r="Q471" s="7">
        <f t="shared" si="207"/>
        <v>160.61260154315136</v>
      </c>
      <c r="R471" s="7">
        <f t="shared" si="207"/>
        <v>43.700504609102502</v>
      </c>
      <c r="S471" s="7">
        <f t="shared" si="207"/>
        <v>49.239377456675001</v>
      </c>
      <c r="T471" s="7">
        <f t="shared" si="207"/>
        <v>40.309546951728159</v>
      </c>
      <c r="U471" s="7">
        <f t="shared" si="207"/>
        <v>35.879629894284641</v>
      </c>
      <c r="V471" s="7">
        <f t="shared" si="207"/>
        <v>59.787596734432547</v>
      </c>
      <c r="W471" s="7">
        <f t="shared" si="207"/>
        <v>7.9735248345555005</v>
      </c>
      <c r="X471" s="7">
        <f t="shared" si="208"/>
        <v>30.236225526899336</v>
      </c>
      <c r="Y471" s="7">
        <f t="shared" si="208"/>
        <v>14.953733825834558</v>
      </c>
      <c r="Z471" s="7">
        <f t="shared" si="208"/>
        <v>16.307107415821825</v>
      </c>
      <c r="AA471" s="7">
        <f t="shared" si="208"/>
        <v>18.954912863472092</v>
      </c>
      <c r="AB471" s="7">
        <f t="shared" si="208"/>
        <v>39.611826409392052</v>
      </c>
      <c r="AC471" s="7">
        <f t="shared" si="208"/>
        <v>15.27470963344226</v>
      </c>
    </row>
    <row r="472" spans="1:29" s="429" customFormat="1">
      <c r="A472" s="511" t="s">
        <v>1051</v>
      </c>
      <c r="B472" s="429" t="s">
        <v>1060</v>
      </c>
      <c r="C472" s="429">
        <f>C461+C462</f>
        <v>10106</v>
      </c>
      <c r="D472" s="7">
        <f t="shared" si="206"/>
        <v>155.86995800430381</v>
      </c>
      <c r="E472" s="7">
        <f t="shared" si="206"/>
        <v>2303.1098102648534</v>
      </c>
      <c r="F472" s="7">
        <f t="shared" si="206"/>
        <v>422.46359801944828</v>
      </c>
      <c r="G472" s="7">
        <f t="shared" si="206"/>
        <v>271.68003359592279</v>
      </c>
      <c r="H472" s="7">
        <f t="shared" si="206"/>
        <v>193.50461107732247</v>
      </c>
      <c r="I472" s="7">
        <f t="shared" si="206"/>
        <v>93.381276415497609</v>
      </c>
      <c r="J472" s="7">
        <f t="shared" si="206"/>
        <v>244.70930125812822</v>
      </c>
      <c r="K472" s="7">
        <f t="shared" si="206"/>
        <v>370.32588183630531</v>
      </c>
      <c r="L472" s="7">
        <f t="shared" si="206"/>
        <v>178.11508063094482</v>
      </c>
      <c r="M472" s="7">
        <f t="shared" si="206"/>
        <v>202.81006795203979</v>
      </c>
      <c r="N472" s="7">
        <f t="shared" si="207"/>
        <v>409.91291105740851</v>
      </c>
      <c r="O472" s="7">
        <f t="shared" si="207"/>
        <v>270.41930908172395</v>
      </c>
      <c r="P472" s="7">
        <f t="shared" si="207"/>
        <v>266.10679717102289</v>
      </c>
      <c r="Q472" s="7">
        <f t="shared" si="207"/>
        <v>1423.8166238553399</v>
      </c>
      <c r="R472" s="7">
        <f t="shared" si="207"/>
        <v>387.40113998209637</v>
      </c>
      <c r="S472" s="7">
        <f t="shared" si="207"/>
        <v>436.5027619097873</v>
      </c>
      <c r="T472" s="7">
        <f t="shared" si="207"/>
        <v>357.34059780189892</v>
      </c>
      <c r="U472" s="7">
        <f t="shared" si="207"/>
        <v>318.06977167687774</v>
      </c>
      <c r="V472" s="7">
        <f t="shared" si="207"/>
        <v>530.01180052471523</v>
      </c>
      <c r="W472" s="7">
        <f t="shared" si="207"/>
        <v>70.684598226331474</v>
      </c>
      <c r="X472" s="7">
        <f t="shared" si="208"/>
        <v>268.04148699547778</v>
      </c>
      <c r="Y472" s="7">
        <f t="shared" si="208"/>
        <v>132.563538634986</v>
      </c>
      <c r="Z472" s="7">
        <f t="shared" si="208"/>
        <v>144.56107679324157</v>
      </c>
      <c r="AA472" s="7">
        <f t="shared" si="208"/>
        <v>168.03363982302542</v>
      </c>
      <c r="AB472" s="7">
        <f t="shared" si="208"/>
        <v>351.15536639764571</v>
      </c>
      <c r="AC472" s="7">
        <f t="shared" si="208"/>
        <v>135.4089610136557</v>
      </c>
    </row>
    <row r="473" spans="1:29" s="429" customFormat="1">
      <c r="A473" s="507"/>
      <c r="B473" s="507" t="s">
        <v>16</v>
      </c>
      <c r="C473" s="509">
        <f t="shared" ref="C473:AC473" si="209">SUM(C470:C472)</f>
        <v>11538</v>
      </c>
      <c r="D473" s="509">
        <f t="shared" si="209"/>
        <v>177.95641949867974</v>
      </c>
      <c r="E473" s="509">
        <f t="shared" si="209"/>
        <v>2629.455866894506</v>
      </c>
      <c r="F473" s="509">
        <f t="shared" si="209"/>
        <v>482.32584543324703</v>
      </c>
      <c r="G473" s="509">
        <f t="shared" si="209"/>
        <v>310.17655131899437</v>
      </c>
      <c r="H473" s="509">
        <f t="shared" si="209"/>
        <v>220.92382768752688</v>
      </c>
      <c r="I473" s="509">
        <f t="shared" si="209"/>
        <v>106.61321663190297</v>
      </c>
      <c r="J473" s="509">
        <f t="shared" si="209"/>
        <v>279.38412011837357</v>
      </c>
      <c r="K473" s="509">
        <f t="shared" si="209"/>
        <v>422.80031908047602</v>
      </c>
      <c r="L473" s="509">
        <f t="shared" si="209"/>
        <v>203.35363153768466</v>
      </c>
      <c r="M473" s="509">
        <f t="shared" si="209"/>
        <v>231.54784920152733</v>
      </c>
      <c r="N473" s="509">
        <f t="shared" si="209"/>
        <v>467.99675121515725</v>
      </c>
      <c r="O473" s="509">
        <f t="shared" si="209"/>
        <v>308.73718466108562</v>
      </c>
      <c r="P473" s="509">
        <f t="shared" si="209"/>
        <v>303.81359843254126</v>
      </c>
      <c r="Q473" s="509">
        <f t="shared" si="209"/>
        <v>1625.5685935130527</v>
      </c>
      <c r="R473" s="509">
        <f t="shared" si="209"/>
        <v>442.29510717528478</v>
      </c>
      <c r="S473" s="509">
        <f t="shared" si="209"/>
        <v>498.35433078518957</v>
      </c>
      <c r="T473" s="509">
        <f t="shared" si="209"/>
        <v>407.97504625354344</v>
      </c>
      <c r="U473" s="509">
        <f t="shared" si="209"/>
        <v>363.13962256162824</v>
      </c>
      <c r="V473" s="509">
        <f t="shared" si="209"/>
        <v>605.11341326480942</v>
      </c>
      <c r="W473" s="509">
        <f t="shared" si="209"/>
        <v>80.700464509738026</v>
      </c>
      <c r="X473" s="509">
        <f t="shared" si="209"/>
        <v>306.02242993803907</v>
      </c>
      <c r="Y473" s="509">
        <f t="shared" si="209"/>
        <v>151.34752708989396</v>
      </c>
      <c r="Z473" s="509">
        <f t="shared" si="209"/>
        <v>165.04509242434406</v>
      </c>
      <c r="AA473" s="509">
        <f t="shared" si="209"/>
        <v>191.84367071819389</v>
      </c>
      <c r="AB473" s="509">
        <f t="shared" si="209"/>
        <v>400.91337992242592</v>
      </c>
      <c r="AC473" s="509">
        <f t="shared" si="209"/>
        <v>154.59614013215509</v>
      </c>
    </row>
    <row r="474" spans="1:29" s="429" customFormat="1">
      <c r="A474" s="508"/>
      <c r="B474" s="508"/>
      <c r="C474" s="510"/>
      <c r="D474" s="510"/>
      <c r="E474" s="510"/>
      <c r="F474" s="510"/>
      <c r="G474" s="510"/>
      <c r="H474" s="510"/>
      <c r="I474" s="510"/>
      <c r="J474" s="510"/>
      <c r="K474" s="510"/>
      <c r="L474" s="510"/>
      <c r="M474" s="510"/>
      <c r="N474" s="510"/>
      <c r="O474" s="510"/>
      <c r="P474" s="510"/>
      <c r="Q474" s="510"/>
      <c r="R474" s="510"/>
      <c r="S474" s="510"/>
      <c r="T474" s="510"/>
      <c r="U474" s="510"/>
      <c r="V474" s="510"/>
      <c r="W474" s="510"/>
      <c r="X474" s="510"/>
      <c r="Y474" s="510"/>
      <c r="Z474" s="510"/>
      <c r="AA474" s="510"/>
      <c r="AB474" s="510"/>
      <c r="AC474" s="510"/>
    </row>
    <row r="475" spans="1:29" s="429" customFormat="1">
      <c r="A475" s="508"/>
      <c r="B475" s="508"/>
      <c r="C475" s="510"/>
      <c r="D475" s="527"/>
      <c r="E475" s="527"/>
      <c r="F475" s="527"/>
      <c r="G475" s="527"/>
      <c r="H475" s="527"/>
      <c r="I475" s="510"/>
      <c r="J475" s="510"/>
      <c r="K475" s="510"/>
      <c r="L475" s="510"/>
      <c r="M475" s="510"/>
      <c r="N475" s="510"/>
      <c r="O475" s="510"/>
      <c r="P475" s="510"/>
      <c r="Q475" s="510"/>
      <c r="R475" s="510"/>
      <c r="S475" s="510"/>
      <c r="T475" s="510"/>
      <c r="U475" s="510"/>
      <c r="V475" s="510"/>
      <c r="W475" s="510"/>
      <c r="X475" s="510"/>
      <c r="Y475" s="510"/>
      <c r="Z475" s="510"/>
      <c r="AA475" s="510"/>
      <c r="AB475" s="510"/>
      <c r="AC475" s="510"/>
    </row>
    <row r="476" spans="1:29" s="429" customFormat="1">
      <c r="A476" s="508"/>
      <c r="B476" s="508"/>
      <c r="C476" s="510"/>
      <c r="D476" s="510"/>
      <c r="E476" s="510"/>
      <c r="F476" s="510"/>
      <c r="G476" s="510"/>
      <c r="H476" s="510"/>
      <c r="I476" s="510"/>
      <c r="J476" s="510"/>
      <c r="K476" s="510"/>
      <c r="L476" s="510"/>
      <c r="M476" s="510"/>
      <c r="N476" s="510"/>
      <c r="O476" s="510"/>
      <c r="P476" s="510"/>
      <c r="Q476" s="510"/>
      <c r="R476" s="510"/>
      <c r="S476" s="510"/>
      <c r="T476" s="510"/>
      <c r="U476" s="510"/>
      <c r="V476" s="510"/>
      <c r="W476" s="510"/>
      <c r="X476" s="510"/>
      <c r="Y476" s="510"/>
      <c r="Z476" s="510"/>
      <c r="AA476" s="510"/>
      <c r="AB476" s="510"/>
      <c r="AC476" s="510"/>
    </row>
    <row r="477" spans="1:29" s="429" customFormat="1" ht="15.6">
      <c r="A477" s="143" t="s">
        <v>1069</v>
      </c>
    </row>
    <row r="478" spans="1:29" s="429" customFormat="1" ht="17.399999999999999">
      <c r="A478" s="431"/>
      <c r="B478" s="431" t="s">
        <v>657</v>
      </c>
      <c r="C478" s="113" t="str">
        <f>C469</f>
        <v>IE</v>
      </c>
      <c r="D478" s="113" t="str">
        <f t="shared" ref="D478:AC478" si="210">D469</f>
        <v>IE-CW</v>
      </c>
      <c r="E478" s="113" t="str">
        <f t="shared" si="210"/>
        <v>IE-D</v>
      </c>
      <c r="F478" s="113" t="str">
        <f t="shared" si="210"/>
        <v>IE-KE</v>
      </c>
      <c r="G478" s="113" t="str">
        <f t="shared" si="210"/>
        <v>IE-KK</v>
      </c>
      <c r="H478" s="113" t="str">
        <f t="shared" si="210"/>
        <v>IE-LS</v>
      </c>
      <c r="I478" s="113" t="str">
        <f t="shared" si="210"/>
        <v>IE-LD</v>
      </c>
      <c r="J478" s="113" t="str">
        <f t="shared" si="210"/>
        <v>IE-LH</v>
      </c>
      <c r="K478" s="113" t="str">
        <f t="shared" si="210"/>
        <v>IE-MH</v>
      </c>
      <c r="L478" s="113" t="str">
        <f t="shared" si="210"/>
        <v>IE-OY</v>
      </c>
      <c r="M478" s="113" t="str">
        <f t="shared" si="210"/>
        <v>IE-WH</v>
      </c>
      <c r="N478" s="113" t="str">
        <f t="shared" si="210"/>
        <v>IE-WX</v>
      </c>
      <c r="O478" s="113" t="str">
        <f t="shared" si="210"/>
        <v>IE-WW</v>
      </c>
      <c r="P478" s="113" t="str">
        <f t="shared" si="210"/>
        <v>IE-CE</v>
      </c>
      <c r="Q478" s="113" t="str">
        <f t="shared" si="210"/>
        <v>IE-CO</v>
      </c>
      <c r="R478" s="113" t="str">
        <f t="shared" si="210"/>
        <v>IE-KY</v>
      </c>
      <c r="S478" s="113" t="str">
        <f t="shared" si="210"/>
        <v>IE-LK</v>
      </c>
      <c r="T478" s="113" t="str">
        <f t="shared" si="210"/>
        <v>IE-TA</v>
      </c>
      <c r="U478" s="113" t="str">
        <f t="shared" si="210"/>
        <v>IE-WD</v>
      </c>
      <c r="V478" s="113" t="str">
        <f t="shared" si="210"/>
        <v>IE-G</v>
      </c>
      <c r="W478" s="113" t="str">
        <f t="shared" si="210"/>
        <v>IE-LM</v>
      </c>
      <c r="X478" s="113" t="str">
        <f t="shared" si="210"/>
        <v>IE-MO</v>
      </c>
      <c r="Y478" s="113" t="str">
        <f t="shared" si="210"/>
        <v>IE-RN</v>
      </c>
      <c r="Z478" s="113" t="str">
        <f t="shared" si="210"/>
        <v>IE-SO</v>
      </c>
      <c r="AA478" s="113" t="str">
        <f t="shared" si="210"/>
        <v>IE-CN</v>
      </c>
      <c r="AB478" s="113" t="str">
        <f t="shared" si="210"/>
        <v>IE-DL</v>
      </c>
      <c r="AC478" s="113" t="str">
        <f t="shared" si="210"/>
        <v>IE-MN</v>
      </c>
    </row>
    <row r="479" spans="1:29" s="429" customFormat="1">
      <c r="A479" s="511" t="s">
        <v>1049</v>
      </c>
      <c r="B479" s="429" t="s">
        <v>1058</v>
      </c>
      <c r="C479" s="6">
        <f t="shared" ref="C479:AC479" si="211">C470/SUM(C427:C428)</f>
        <v>4.5497039576191958E-2</v>
      </c>
      <c r="D479" s="6">
        <f t="shared" si="211"/>
        <v>4.3304460923115656E-2</v>
      </c>
      <c r="E479" s="6">
        <f t="shared" si="211"/>
        <v>4.5238222267306935E-2</v>
      </c>
      <c r="F479" s="6">
        <f t="shared" si="211"/>
        <v>4.0553314475095192E-2</v>
      </c>
      <c r="G479" s="6">
        <f t="shared" si="211"/>
        <v>5.6473730834456531E-2</v>
      </c>
      <c r="H479" s="6">
        <f t="shared" si="211"/>
        <v>5.1294213842061454E-2</v>
      </c>
      <c r="I479" s="6">
        <f t="shared" si="211"/>
        <v>3.9103377694016325E-2</v>
      </c>
      <c r="J479" s="6">
        <f t="shared" si="211"/>
        <v>4.876250774027955E-2</v>
      </c>
      <c r="K479" s="6">
        <f t="shared" si="211"/>
        <v>3.9338583622498993E-2</v>
      </c>
      <c r="L479" s="6">
        <f t="shared" si="211"/>
        <v>4.3613630721333431E-2</v>
      </c>
      <c r="M479" s="6">
        <f t="shared" si="211"/>
        <v>3.8552227859684464E-2</v>
      </c>
      <c r="N479" s="6">
        <f t="shared" si="211"/>
        <v>4.8740376710068041E-2</v>
      </c>
      <c r="O479" s="6">
        <f t="shared" si="211"/>
        <v>4.4904721590146399E-2</v>
      </c>
      <c r="P479" s="6">
        <f t="shared" si="211"/>
        <v>4.4702424517520496E-2</v>
      </c>
      <c r="Q479" s="6">
        <f t="shared" si="211"/>
        <v>5.810645213921127E-2</v>
      </c>
      <c r="R479" s="6">
        <f t="shared" si="211"/>
        <v>5.3302202781361448E-2</v>
      </c>
      <c r="S479" s="6">
        <f t="shared" si="211"/>
        <v>5.1478332321335835E-2</v>
      </c>
      <c r="T479" s="6">
        <f t="shared" si="211"/>
        <v>4.3200424685842412E-2</v>
      </c>
      <c r="U479" s="6">
        <f t="shared" si="211"/>
        <v>6.6116697773135905E-2</v>
      </c>
      <c r="V479" s="6">
        <f t="shared" si="211"/>
        <v>4.1727564048124444E-2</v>
      </c>
      <c r="W479" s="6">
        <f t="shared" si="211"/>
        <v>3.348100735821407E-2</v>
      </c>
      <c r="X479" s="6">
        <f t="shared" si="211"/>
        <v>3.2135756911460311E-2</v>
      </c>
      <c r="Y479" s="6">
        <f t="shared" si="211"/>
        <v>3.3019436457529423E-2</v>
      </c>
      <c r="Z479" s="6">
        <f t="shared" si="211"/>
        <v>3.9780078240768367E-2</v>
      </c>
      <c r="AA479" s="6">
        <f t="shared" si="211"/>
        <v>3.3951874347526993E-2</v>
      </c>
      <c r="AB479" s="6">
        <f t="shared" si="211"/>
        <v>4.1077680629101776E-2</v>
      </c>
      <c r="AC479" s="6">
        <f t="shared" si="211"/>
        <v>2.9866179275245347E-2</v>
      </c>
    </row>
    <row r="480" spans="1:29" s="429" customFormat="1">
      <c r="A480" s="511" t="s">
        <v>1050</v>
      </c>
      <c r="B480" s="429" t="s">
        <v>1059</v>
      </c>
      <c r="C480" s="6">
        <f t="shared" ref="C480:AC480" si="212">C471/SUM(C429:C430)</f>
        <v>3.4234234234234235</v>
      </c>
      <c r="D480" s="6">
        <f t="shared" si="212"/>
        <v>3.516559511674378</v>
      </c>
      <c r="E480" s="6">
        <f t="shared" si="212"/>
        <v>2.547065016416119</v>
      </c>
      <c r="F480" s="6">
        <f t="shared" si="212"/>
        <v>3.1770466504530055</v>
      </c>
      <c r="G480" s="6">
        <f t="shared" si="212"/>
        <v>5.107778189513688</v>
      </c>
      <c r="H480" s="6">
        <f t="shared" si="212"/>
        <v>3.6380245502366186</v>
      </c>
      <c r="I480" s="6">
        <f t="shared" si="212"/>
        <v>3.5112690518394114</v>
      </c>
      <c r="J480" s="6">
        <f t="shared" si="212"/>
        <v>2.3003546031587354</v>
      </c>
      <c r="K480" s="6">
        <f t="shared" si="212"/>
        <v>2.9838816070607845</v>
      </c>
      <c r="L480" s="6">
        <f t="shared" si="212"/>
        <v>5.0230356204056275</v>
      </c>
      <c r="M480" s="6">
        <f t="shared" si="212"/>
        <v>3.8129737691359153</v>
      </c>
      <c r="N480" s="6">
        <f t="shared" si="212"/>
        <v>3.5569175859386326</v>
      </c>
      <c r="O480" s="6">
        <f t="shared" si="212"/>
        <v>6.1008908045352328</v>
      </c>
      <c r="P480" s="6">
        <f t="shared" si="212"/>
        <v>6.0035968489009708</v>
      </c>
      <c r="Q480" s="6">
        <f t="shared" si="212"/>
        <v>4.723900045386805</v>
      </c>
      <c r="R480" s="6">
        <f t="shared" si="212"/>
        <v>6.2429292298717858</v>
      </c>
      <c r="S480" s="6">
        <f t="shared" si="212"/>
        <v>2.2381535207579546</v>
      </c>
      <c r="T480" s="6">
        <f t="shared" si="212"/>
        <v>3.6645042683389235</v>
      </c>
      <c r="U480" s="6">
        <f t="shared" si="212"/>
        <v>7.1759259788569283</v>
      </c>
      <c r="V480" s="6">
        <f t="shared" si="212"/>
        <v>3.985839782295503</v>
      </c>
      <c r="W480" s="6">
        <f t="shared" si="212"/>
        <v>3.9867624172777503</v>
      </c>
      <c r="X480" s="6">
        <f t="shared" si="212"/>
        <v>4.3194607895570476</v>
      </c>
      <c r="Y480" s="6">
        <f t="shared" si="212"/>
        <v>2.4922889709724263</v>
      </c>
      <c r="Z480" s="6">
        <f t="shared" si="212"/>
        <v>3.2614214831643649</v>
      </c>
      <c r="AA480" s="6">
        <f t="shared" si="212"/>
        <v>3.1591521439120154</v>
      </c>
      <c r="AB480" s="6">
        <f t="shared" si="212"/>
        <v>4.9514783011740064</v>
      </c>
      <c r="AC480" s="6">
        <f t="shared" si="212"/>
        <v>1.9093387041802825</v>
      </c>
    </row>
    <row r="481" spans="1:29" s="429" customFormat="1">
      <c r="A481" s="513" t="s">
        <v>1051</v>
      </c>
      <c r="B481" s="200" t="s">
        <v>1060</v>
      </c>
      <c r="C481" s="514">
        <f t="shared" ref="C481:AC481" si="213">C472/SUM(C431:C432)</f>
        <v>8.8649122807017537</v>
      </c>
      <c r="D481" s="514">
        <f t="shared" si="213"/>
        <v>7.4223789525858956</v>
      </c>
      <c r="E481" s="514">
        <f t="shared" si="213"/>
        <v>11.690912742461185</v>
      </c>
      <c r="F481" s="514">
        <f t="shared" si="213"/>
        <v>6.8139290003136823</v>
      </c>
      <c r="G481" s="514">
        <f t="shared" si="213"/>
        <v>6.3181403161842509</v>
      </c>
      <c r="H481" s="514">
        <f t="shared" si="213"/>
        <v>7.4424850414354795</v>
      </c>
      <c r="I481" s="514">
        <f t="shared" si="213"/>
        <v>6.2254184276998403</v>
      </c>
      <c r="J481" s="514">
        <f t="shared" si="213"/>
        <v>7.6471656643165069</v>
      </c>
      <c r="K481" s="514">
        <f t="shared" si="213"/>
        <v>5.1434150255042406</v>
      </c>
      <c r="L481" s="514">
        <f t="shared" si="213"/>
        <v>10.477357684173224</v>
      </c>
      <c r="M481" s="514">
        <f t="shared" si="213"/>
        <v>12.675629247002487</v>
      </c>
      <c r="N481" s="514">
        <f t="shared" si="213"/>
        <v>5.2552937315052377</v>
      </c>
      <c r="O481" s="514">
        <f t="shared" si="213"/>
        <v>12.877109956272569</v>
      </c>
      <c r="P481" s="514">
        <f t="shared" si="213"/>
        <v>12.671752246239185</v>
      </c>
      <c r="Q481" s="514">
        <f t="shared" si="213"/>
        <v>10.469239881289264</v>
      </c>
      <c r="R481" s="514">
        <f t="shared" si="213"/>
        <v>14.900043845465245</v>
      </c>
      <c r="S481" s="514">
        <f t="shared" si="213"/>
        <v>8.083384479810876</v>
      </c>
      <c r="T481" s="514">
        <f t="shared" si="213"/>
        <v>6.8719345731134407</v>
      </c>
      <c r="U481" s="514">
        <f t="shared" si="213"/>
        <v>16.74051429878304</v>
      </c>
      <c r="V481" s="514">
        <f t="shared" si="213"/>
        <v>11.521995663580766</v>
      </c>
      <c r="W481" s="514">
        <f t="shared" si="213"/>
        <v>10.097799746618781</v>
      </c>
      <c r="X481" s="514">
        <f t="shared" si="213"/>
        <v>12.183703954339899</v>
      </c>
      <c r="Y481" s="514">
        <f t="shared" si="213"/>
        <v>8.2852211646866252</v>
      </c>
      <c r="Z481" s="514">
        <f t="shared" si="213"/>
        <v>13.14191607211287</v>
      </c>
      <c r="AA481" s="514">
        <f t="shared" si="213"/>
        <v>5.6011213274341811</v>
      </c>
      <c r="AB481" s="514">
        <f t="shared" si="213"/>
        <v>10.033010468504163</v>
      </c>
      <c r="AC481" s="514">
        <f t="shared" si="213"/>
        <v>2.219819033010749</v>
      </c>
    </row>
    <row r="482" spans="1:29" s="429" customFormat="1">
      <c r="A482" s="508"/>
      <c r="B482" s="508"/>
      <c r="C482" s="510"/>
      <c r="D482" s="510"/>
      <c r="E482" s="510"/>
      <c r="F482" s="510"/>
      <c r="G482" s="510"/>
      <c r="H482" s="510"/>
      <c r="I482" s="510"/>
      <c r="J482" s="510"/>
      <c r="K482" s="510"/>
      <c r="L482" s="510"/>
      <c r="M482" s="510"/>
      <c r="N482" s="510"/>
      <c r="O482" s="510"/>
      <c r="P482" s="510"/>
      <c r="Q482" s="510"/>
      <c r="R482" s="510"/>
      <c r="S482" s="510"/>
      <c r="T482" s="510"/>
      <c r="U482" s="510"/>
      <c r="V482" s="510"/>
      <c r="W482" s="510"/>
      <c r="X482" s="510"/>
      <c r="Y482" s="510"/>
      <c r="Z482" s="510"/>
      <c r="AA482" s="510"/>
      <c r="AB482" s="510"/>
      <c r="AC482" s="510"/>
    </row>
    <row r="483" spans="1:29" s="429" customFormat="1">
      <c r="A483" s="508"/>
      <c r="B483" s="508"/>
      <c r="C483" s="510"/>
      <c r="D483" s="510"/>
      <c r="E483" s="510"/>
      <c r="F483" s="510"/>
      <c r="G483" s="510"/>
      <c r="H483" s="510"/>
      <c r="I483" s="510"/>
      <c r="J483" s="510"/>
      <c r="K483" s="510"/>
      <c r="L483" s="510"/>
      <c r="M483" s="510"/>
      <c r="N483" s="510"/>
      <c r="O483" s="510"/>
      <c r="P483" s="510"/>
      <c r="Q483" s="510"/>
      <c r="R483" s="510"/>
      <c r="S483" s="510"/>
      <c r="T483" s="510"/>
      <c r="U483" s="510"/>
      <c r="V483" s="510"/>
      <c r="W483" s="510"/>
      <c r="X483" s="510"/>
      <c r="Y483" s="510"/>
      <c r="Z483" s="510"/>
      <c r="AA483" s="510"/>
      <c r="AB483" s="510"/>
      <c r="AC483" s="510"/>
    </row>
    <row r="484" spans="1:29" s="429" customFormat="1">
      <c r="A484" s="508"/>
      <c r="B484" s="508"/>
      <c r="C484" s="510"/>
      <c r="D484" s="510"/>
      <c r="E484" s="510"/>
      <c r="F484" s="510"/>
      <c r="G484" s="510"/>
      <c r="H484" s="510"/>
      <c r="I484" s="510"/>
      <c r="J484" s="510"/>
      <c r="K484" s="510"/>
      <c r="L484" s="510"/>
      <c r="M484" s="510"/>
      <c r="N484" s="510"/>
      <c r="O484" s="510"/>
      <c r="P484" s="510"/>
      <c r="Q484" s="510"/>
      <c r="R484" s="510"/>
      <c r="S484" s="510"/>
      <c r="T484" s="510"/>
      <c r="U484" s="510"/>
      <c r="V484" s="510"/>
      <c r="W484" s="510"/>
      <c r="X484" s="510"/>
      <c r="Y484" s="510"/>
      <c r="Z484" s="510"/>
      <c r="AA484" s="510"/>
      <c r="AB484" s="510"/>
      <c r="AC484" s="510"/>
    </row>
    <row r="485" spans="1:29" s="429" customFormat="1">
      <c r="A485" s="508"/>
      <c r="B485" s="508"/>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row>
    <row r="486" spans="1:29" s="429" customFormat="1">
      <c r="A486" s="508"/>
      <c r="B486" s="508"/>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row>
    <row r="488" spans="1:29" ht="15.6">
      <c r="A488" s="143" t="s">
        <v>677</v>
      </c>
      <c r="B488" s="201"/>
      <c r="C488" s="201"/>
      <c r="D488" s="201"/>
      <c r="E488" s="201"/>
      <c r="F488" s="201"/>
      <c r="G488" s="201"/>
      <c r="H488" s="201"/>
      <c r="I488" s="201"/>
      <c r="J488" s="201"/>
      <c r="K488" s="201"/>
      <c r="L488" s="201"/>
    </row>
    <row r="489" spans="1:29" ht="15.6">
      <c r="A489" s="115" t="s">
        <v>331</v>
      </c>
      <c r="B489" s="868" t="s">
        <v>674</v>
      </c>
      <c r="C489" s="868"/>
      <c r="D489" s="868"/>
      <c r="E489" s="868"/>
      <c r="F489" s="868"/>
      <c r="G489" s="868"/>
      <c r="H489" s="868"/>
      <c r="I489" s="868"/>
      <c r="J489" s="868"/>
      <c r="K489" s="868"/>
      <c r="L489" s="868"/>
    </row>
    <row r="490" spans="1:29">
      <c r="A490" s="201"/>
      <c r="B490" s="267" t="s">
        <v>661</v>
      </c>
      <c r="C490" s="270" t="s">
        <v>662</v>
      </c>
      <c r="D490" s="273" t="s">
        <v>663</v>
      </c>
      <c r="E490" s="275" t="s">
        <v>664</v>
      </c>
      <c r="F490" s="43" t="s">
        <v>665</v>
      </c>
      <c r="G490" s="278" t="s">
        <v>666</v>
      </c>
      <c r="H490" s="201" t="s">
        <v>360</v>
      </c>
      <c r="I490" s="280" t="s">
        <v>667</v>
      </c>
      <c r="J490" s="281" t="s">
        <v>668</v>
      </c>
      <c r="K490" s="267" t="s">
        <v>669</v>
      </c>
      <c r="L490" s="267" t="s">
        <v>670</v>
      </c>
    </row>
    <row r="491" spans="1:29" ht="15.6">
      <c r="A491" s="269" t="s">
        <v>673</v>
      </c>
    </row>
    <row r="492" spans="1:29">
      <c r="A492" s="266" t="s">
        <v>671</v>
      </c>
      <c r="B492" s="201">
        <v>11537</v>
      </c>
      <c r="C492" s="201">
        <v>863</v>
      </c>
      <c r="D492" s="201">
        <v>913</v>
      </c>
      <c r="E492" s="201">
        <v>1054</v>
      </c>
      <c r="F492" s="201">
        <v>1180</v>
      </c>
      <c r="G492" s="201">
        <v>1840</v>
      </c>
      <c r="H492" s="201">
        <v>2185</v>
      </c>
      <c r="I492" s="201">
        <v>1266</v>
      </c>
      <c r="J492" s="201">
        <v>666</v>
      </c>
      <c r="K492" s="201">
        <v>401</v>
      </c>
      <c r="L492" s="201">
        <v>1169</v>
      </c>
    </row>
    <row r="493" spans="1:29">
      <c r="A493" s="266" t="s">
        <v>662</v>
      </c>
      <c r="B493" s="201">
        <v>1006</v>
      </c>
      <c r="C493" s="201">
        <v>302</v>
      </c>
      <c r="D493" s="201">
        <v>62</v>
      </c>
      <c r="E493" s="201">
        <v>34</v>
      </c>
      <c r="F493" s="201">
        <v>50</v>
      </c>
      <c r="G493" s="201">
        <v>65</v>
      </c>
      <c r="H493" s="201">
        <v>165</v>
      </c>
      <c r="I493" s="201">
        <v>110</v>
      </c>
      <c r="J493" s="201">
        <v>47</v>
      </c>
      <c r="K493" s="201">
        <v>77</v>
      </c>
      <c r="L493" s="201">
        <v>95</v>
      </c>
    </row>
    <row r="494" spans="1:29">
      <c r="A494" s="266" t="s">
        <v>663</v>
      </c>
      <c r="B494" s="201">
        <v>812</v>
      </c>
      <c r="C494" s="201">
        <v>44</v>
      </c>
      <c r="D494" s="201">
        <v>296</v>
      </c>
      <c r="E494" s="201">
        <v>62</v>
      </c>
      <c r="F494" s="201">
        <v>44</v>
      </c>
      <c r="G494" s="201">
        <v>53</v>
      </c>
      <c r="H494" s="201">
        <v>171</v>
      </c>
      <c r="I494" s="201">
        <v>41</v>
      </c>
      <c r="J494" s="201">
        <v>42</v>
      </c>
      <c r="K494" s="201">
        <v>14</v>
      </c>
      <c r="L494" s="201">
        <v>44</v>
      </c>
    </row>
    <row r="495" spans="1:29">
      <c r="A495" s="266" t="s">
        <v>664</v>
      </c>
      <c r="B495" s="201">
        <v>1086</v>
      </c>
      <c r="C495" s="201">
        <v>33</v>
      </c>
      <c r="D495" s="201">
        <v>83</v>
      </c>
      <c r="E495" s="201">
        <v>376</v>
      </c>
      <c r="F495" s="201">
        <v>106</v>
      </c>
      <c r="G495" s="201">
        <v>192</v>
      </c>
      <c r="H495" s="201">
        <v>147</v>
      </c>
      <c r="I495" s="201">
        <v>48</v>
      </c>
      <c r="J495" s="201">
        <v>47</v>
      </c>
      <c r="K495" s="201">
        <v>11</v>
      </c>
      <c r="L495" s="201">
        <v>42</v>
      </c>
    </row>
    <row r="496" spans="1:29">
      <c r="A496" s="266" t="s">
        <v>665</v>
      </c>
      <c r="B496" s="201">
        <v>1010</v>
      </c>
      <c r="C496" s="201">
        <v>25</v>
      </c>
      <c r="D496" s="201">
        <v>47</v>
      </c>
      <c r="E496" s="201">
        <v>66</v>
      </c>
      <c r="F496" s="201">
        <v>360</v>
      </c>
      <c r="G496" s="201">
        <v>113</v>
      </c>
      <c r="H496" s="201">
        <v>136</v>
      </c>
      <c r="I496" s="201">
        <v>90</v>
      </c>
      <c r="J496" s="201">
        <v>56</v>
      </c>
      <c r="K496" s="201">
        <v>37</v>
      </c>
      <c r="L496" s="201">
        <v>80</v>
      </c>
    </row>
    <row r="497" spans="1:30">
      <c r="A497" s="266" t="s">
        <v>666</v>
      </c>
      <c r="B497" s="201">
        <v>1518</v>
      </c>
      <c r="C497" s="201">
        <v>16</v>
      </c>
      <c r="D497" s="201">
        <v>30</v>
      </c>
      <c r="E497" s="201">
        <v>174</v>
      </c>
      <c r="F497" s="201">
        <v>156</v>
      </c>
      <c r="G497" s="201">
        <v>712</v>
      </c>
      <c r="H497" s="201">
        <v>249</v>
      </c>
      <c r="I497" s="201">
        <v>60</v>
      </c>
      <c r="J497" s="201">
        <v>53</v>
      </c>
      <c r="K497" s="201">
        <v>26</v>
      </c>
      <c r="L497" s="201">
        <v>43</v>
      </c>
    </row>
    <row r="498" spans="1:30">
      <c r="A498" s="266" t="s">
        <v>360</v>
      </c>
      <c r="B498" s="201">
        <v>2741</v>
      </c>
      <c r="C498" s="201">
        <v>190</v>
      </c>
      <c r="D498" s="201">
        <v>238</v>
      </c>
      <c r="E498" s="201">
        <v>228</v>
      </c>
      <c r="F498" s="201">
        <v>235</v>
      </c>
      <c r="G498" s="201">
        <v>490</v>
      </c>
      <c r="H498" s="201">
        <v>614</v>
      </c>
      <c r="I498" s="201">
        <v>374</v>
      </c>
      <c r="J498" s="201">
        <v>178</v>
      </c>
      <c r="K498" s="201">
        <v>108</v>
      </c>
      <c r="L498" s="201">
        <v>86</v>
      </c>
    </row>
    <row r="499" spans="1:30">
      <c r="A499" s="266" t="s">
        <v>667</v>
      </c>
      <c r="B499" s="201">
        <v>1308</v>
      </c>
      <c r="C499" s="201">
        <v>107</v>
      </c>
      <c r="D499" s="201">
        <v>48</v>
      </c>
      <c r="E499" s="201">
        <v>49</v>
      </c>
      <c r="F499" s="201">
        <v>120</v>
      </c>
      <c r="G499" s="201">
        <v>91</v>
      </c>
      <c r="H499" s="201">
        <v>300</v>
      </c>
      <c r="I499" s="201">
        <v>421</v>
      </c>
      <c r="J499" s="201">
        <v>73</v>
      </c>
      <c r="K499" s="201">
        <v>48</v>
      </c>
      <c r="L499" s="201">
        <v>51</v>
      </c>
    </row>
    <row r="500" spans="1:30">
      <c r="A500" s="266" t="s">
        <v>668</v>
      </c>
      <c r="B500" s="201">
        <v>697</v>
      </c>
      <c r="C500" s="201">
        <v>58</v>
      </c>
      <c r="D500" s="201">
        <v>73</v>
      </c>
      <c r="E500" s="201">
        <v>45</v>
      </c>
      <c r="F500" s="201">
        <v>64</v>
      </c>
      <c r="G500" s="201">
        <v>48</v>
      </c>
      <c r="H500" s="201">
        <v>122</v>
      </c>
      <c r="I500" s="201">
        <v>62</v>
      </c>
      <c r="J500" s="201">
        <v>156</v>
      </c>
      <c r="K500" s="201">
        <v>37</v>
      </c>
      <c r="L500" s="201">
        <v>31</v>
      </c>
    </row>
    <row r="501" spans="1:30">
      <c r="A501" s="266" t="s">
        <v>669</v>
      </c>
      <c r="B501" s="201">
        <v>231</v>
      </c>
      <c r="C501" s="201">
        <v>55</v>
      </c>
      <c r="D501" s="201">
        <v>12</v>
      </c>
      <c r="E501" s="201">
        <v>3</v>
      </c>
      <c r="F501" s="201">
        <v>12</v>
      </c>
      <c r="G501" s="201">
        <v>26</v>
      </c>
      <c r="H501" s="201">
        <v>51</v>
      </c>
      <c r="I501" s="201">
        <v>25</v>
      </c>
      <c r="J501" s="201">
        <v>5</v>
      </c>
      <c r="K501" s="201">
        <v>27</v>
      </c>
      <c r="L501" s="201">
        <v>15</v>
      </c>
    </row>
    <row r="502" spans="1:30">
      <c r="A502" s="268" t="s">
        <v>670</v>
      </c>
      <c r="B502" s="200">
        <v>1128</v>
      </c>
      <c r="C502" s="200">
        <v>32</v>
      </c>
      <c r="D502" s="200">
        <v>23</v>
      </c>
      <c r="E502" s="200">
        <v>18</v>
      </c>
      <c r="F502" s="200">
        <v>32</v>
      </c>
      <c r="G502" s="200">
        <v>50</v>
      </c>
      <c r="H502" s="200">
        <v>231</v>
      </c>
      <c r="I502" s="200">
        <v>35</v>
      </c>
      <c r="J502" s="200">
        <v>10</v>
      </c>
      <c r="K502" s="200">
        <v>15</v>
      </c>
      <c r="L502" s="200">
        <v>682</v>
      </c>
    </row>
    <row r="503" spans="1:30">
      <c r="A503" s="201" t="s">
        <v>672</v>
      </c>
      <c r="B503" s="190"/>
      <c r="C503" s="190"/>
      <c r="D503" s="190"/>
      <c r="E503" s="190"/>
      <c r="F503" s="190"/>
      <c r="G503" s="190"/>
      <c r="H503" s="190"/>
    </row>
    <row r="504" spans="1:30" s="201" customFormat="1"/>
    <row r="505" spans="1:30" s="201" customFormat="1"/>
    <row r="506" spans="1:30" s="201" customFormat="1"/>
    <row r="507" spans="1:30" s="201" customFormat="1">
      <c r="A507" s="115" t="s">
        <v>678</v>
      </c>
      <c r="B507" s="875" t="s">
        <v>679</v>
      </c>
      <c r="C507" s="875"/>
      <c r="D507" s="875"/>
      <c r="E507" s="875"/>
      <c r="F507" s="875"/>
      <c r="G507"/>
      <c r="H507"/>
      <c r="I507"/>
      <c r="J507"/>
      <c r="K507"/>
      <c r="L507"/>
      <c r="M507"/>
      <c r="N507"/>
      <c r="O507"/>
      <c r="P507"/>
      <c r="Q507"/>
      <c r="R507"/>
      <c r="S507"/>
      <c r="T507"/>
      <c r="U507"/>
      <c r="V507"/>
      <c r="W507"/>
      <c r="X507"/>
      <c r="Y507"/>
      <c r="Z507"/>
      <c r="AA507"/>
      <c r="AB507" s="42"/>
      <c r="AC507"/>
      <c r="AD507"/>
    </row>
    <row r="508" spans="1:30" s="201" customFormat="1">
      <c r="A508" s="270" t="s">
        <v>662</v>
      </c>
      <c r="B508" s="201" t="s">
        <v>383</v>
      </c>
      <c r="C508" t="s">
        <v>382</v>
      </c>
      <c r="D508" s="201" t="s">
        <v>384</v>
      </c>
      <c r="E508" s="201" t="s">
        <v>381</v>
      </c>
      <c r="F508" s="201" t="s">
        <v>378</v>
      </c>
      <c r="G508"/>
      <c r="H508"/>
      <c r="I508"/>
      <c r="J508"/>
      <c r="K508"/>
      <c r="L508"/>
      <c r="M508"/>
      <c r="N508"/>
      <c r="O508"/>
      <c r="P508"/>
      <c r="Q508"/>
      <c r="R508"/>
      <c r="S508"/>
      <c r="T508"/>
      <c r="U508"/>
      <c r="V508"/>
      <c r="W508"/>
      <c r="X508"/>
      <c r="Y508"/>
      <c r="Z508"/>
      <c r="AA508"/>
      <c r="AB508" s="42"/>
      <c r="AC508"/>
      <c r="AD508"/>
    </row>
    <row r="509" spans="1:30" s="201" customFormat="1">
      <c r="A509" s="273" t="s">
        <v>663</v>
      </c>
      <c r="B509" s="201" t="s">
        <v>379</v>
      </c>
      <c r="C509" t="s">
        <v>380</v>
      </c>
      <c r="D509" s="201" t="s">
        <v>377</v>
      </c>
      <c r="E509" s="25"/>
      <c r="F509"/>
      <c r="G509"/>
      <c r="H509"/>
      <c r="I509"/>
      <c r="J509"/>
      <c r="K509"/>
      <c r="L509"/>
      <c r="M509"/>
      <c r="N509"/>
      <c r="O509"/>
      <c r="P509"/>
      <c r="Q509"/>
      <c r="R509"/>
      <c r="S509"/>
      <c r="T509"/>
      <c r="U509"/>
      <c r="V509"/>
      <c r="W509"/>
      <c r="X509"/>
      <c r="Y509"/>
      <c r="Z509"/>
      <c r="AA509"/>
      <c r="AB509" s="42"/>
      <c r="AC509"/>
      <c r="AD509"/>
    </row>
    <row r="510" spans="1:30" s="201" customFormat="1">
      <c r="A510" s="275" t="s">
        <v>664</v>
      </c>
      <c r="B510" t="s">
        <v>371</v>
      </c>
      <c r="C510" s="201" t="s">
        <v>375</v>
      </c>
      <c r="D510" s="201" t="s">
        <v>374</v>
      </c>
      <c r="E510" s="25"/>
      <c r="F510"/>
      <c r="G510"/>
      <c r="H510"/>
      <c r="I510"/>
      <c r="J510"/>
      <c r="K510"/>
      <c r="L510"/>
      <c r="M510"/>
      <c r="N510"/>
      <c r="O510"/>
      <c r="P510"/>
      <c r="Q510"/>
      <c r="R510"/>
      <c r="S510"/>
      <c r="T510"/>
      <c r="U510"/>
      <c r="V510"/>
      <c r="W510"/>
      <c r="X510"/>
      <c r="Y510"/>
      <c r="Z510"/>
      <c r="AA510"/>
      <c r="AB510" s="42"/>
      <c r="AC510"/>
      <c r="AD510"/>
    </row>
    <row r="511" spans="1:30" s="201" customFormat="1">
      <c r="A511" s="43" t="s">
        <v>665</v>
      </c>
      <c r="B511" s="201" t="s">
        <v>359</v>
      </c>
      <c r="C511" t="s">
        <v>362</v>
      </c>
      <c r="D511" s="201" t="s">
        <v>369</v>
      </c>
      <c r="E511" s="201" t="s">
        <v>376</v>
      </c>
      <c r="F511"/>
      <c r="G511"/>
      <c r="H511"/>
      <c r="I511"/>
      <c r="J511"/>
      <c r="K511"/>
      <c r="L511"/>
      <c r="M511"/>
      <c r="N511"/>
      <c r="O511"/>
      <c r="P511"/>
      <c r="Q511"/>
      <c r="R511"/>
      <c r="S511"/>
      <c r="T511"/>
      <c r="U511"/>
      <c r="V511"/>
      <c r="W511"/>
      <c r="X511"/>
      <c r="Y511"/>
      <c r="Z511"/>
      <c r="AA511"/>
      <c r="AB511" s="42"/>
      <c r="AC511"/>
      <c r="AD511"/>
    </row>
    <row r="512" spans="1:30" s="201" customFormat="1">
      <c r="A512" s="278" t="s">
        <v>666</v>
      </c>
      <c r="B512" s="201" t="s">
        <v>373</v>
      </c>
      <c r="C512" t="s">
        <v>372</v>
      </c>
      <c r="D512" s="25"/>
      <c r="E512" s="25"/>
      <c r="F512"/>
      <c r="G512"/>
      <c r="H512"/>
      <c r="I512"/>
      <c r="J512"/>
      <c r="K512"/>
      <c r="L512"/>
      <c r="M512"/>
      <c r="N512"/>
      <c r="O512"/>
      <c r="P512"/>
      <c r="Q512"/>
      <c r="R512"/>
      <c r="S512"/>
      <c r="T512"/>
      <c r="U512"/>
      <c r="V512"/>
      <c r="W512"/>
      <c r="X512"/>
      <c r="Y512"/>
      <c r="Z512"/>
      <c r="AA512"/>
      <c r="AB512" s="42"/>
      <c r="AC512"/>
      <c r="AD512"/>
    </row>
    <row r="513" spans="1:30" s="201" customFormat="1">
      <c r="A513" s="201" t="s">
        <v>360</v>
      </c>
      <c r="B513" t="s">
        <v>360</v>
      </c>
      <c r="C513"/>
      <c r="D513" s="25"/>
      <c r="E513" s="25"/>
      <c r="F513"/>
      <c r="G513"/>
      <c r="H513"/>
      <c r="I513"/>
      <c r="J513"/>
      <c r="K513"/>
      <c r="L513"/>
      <c r="M513"/>
      <c r="N513"/>
      <c r="O513"/>
      <c r="P513"/>
      <c r="Q513"/>
      <c r="R513"/>
      <c r="S513"/>
      <c r="T513"/>
      <c r="U513"/>
      <c r="V513"/>
      <c r="W513"/>
      <c r="X513"/>
      <c r="Y513"/>
      <c r="Z513"/>
      <c r="AA513"/>
      <c r="AB513" s="42"/>
      <c r="AC513"/>
      <c r="AD513"/>
    </row>
    <row r="514" spans="1:30" s="201" customFormat="1">
      <c r="A514" s="280" t="s">
        <v>667</v>
      </c>
      <c r="B514" s="201" t="s">
        <v>361</v>
      </c>
      <c r="C514" s="201" t="s">
        <v>366</v>
      </c>
      <c r="D514" s="201" t="s">
        <v>680</v>
      </c>
      <c r="E514" s="25" t="s">
        <v>365</v>
      </c>
      <c r="F514"/>
      <c r="G514"/>
      <c r="H514"/>
      <c r="I514"/>
      <c r="J514"/>
      <c r="K514"/>
      <c r="L514"/>
      <c r="M514"/>
      <c r="N514"/>
      <c r="O514"/>
      <c r="P514"/>
      <c r="Q514"/>
      <c r="R514"/>
      <c r="S514"/>
      <c r="T514"/>
      <c r="U514"/>
      <c r="V514"/>
      <c r="W514"/>
      <c r="X514"/>
      <c r="Y514"/>
      <c r="Z514"/>
      <c r="AA514"/>
      <c r="AB514" s="42"/>
      <c r="AC514"/>
      <c r="AD514"/>
    </row>
    <row r="515" spans="1:30" s="201" customFormat="1">
      <c r="A515" s="281" t="s">
        <v>668</v>
      </c>
      <c r="B515" s="200" t="s">
        <v>363</v>
      </c>
      <c r="C515" s="200" t="s">
        <v>367</v>
      </c>
      <c r="D515" s="200" t="s">
        <v>681</v>
      </c>
      <c r="E515" s="200" t="s">
        <v>368</v>
      </c>
      <c r="F515" s="200"/>
      <c r="G515"/>
      <c r="H515"/>
      <c r="I515"/>
      <c r="J515"/>
      <c r="K515"/>
      <c r="L515"/>
      <c r="M515"/>
      <c r="N515"/>
      <c r="O515"/>
      <c r="P515"/>
      <c r="Q515"/>
      <c r="R515"/>
      <c r="S515"/>
      <c r="T515"/>
      <c r="U515"/>
      <c r="V515"/>
      <c r="W515"/>
      <c r="X515"/>
      <c r="Y515"/>
      <c r="Z515"/>
      <c r="AA515"/>
      <c r="AB515" s="42"/>
      <c r="AC515"/>
      <c r="AD515"/>
    </row>
    <row r="516" spans="1:30" s="201" customFormat="1">
      <c r="B516"/>
      <c r="C516"/>
      <c r="D516" s="25"/>
      <c r="E516" s="25"/>
      <c r="F516"/>
      <c r="G516"/>
      <c r="H516"/>
      <c r="I516"/>
      <c r="J516"/>
      <c r="K516"/>
      <c r="L516"/>
      <c r="M516"/>
      <c r="N516"/>
      <c r="O516"/>
      <c r="P516"/>
      <c r="Q516"/>
      <c r="R516"/>
      <c r="S516"/>
      <c r="T516"/>
      <c r="U516"/>
      <c r="V516"/>
      <c r="W516"/>
      <c r="X516"/>
      <c r="Y516"/>
      <c r="Z516"/>
      <c r="AA516"/>
      <c r="AB516" s="42"/>
      <c r="AC516"/>
      <c r="AD516"/>
    </row>
    <row r="517" spans="1:30" s="201" customFormat="1">
      <c r="B517"/>
      <c r="C517"/>
      <c r="D517" s="25"/>
      <c r="E517" s="25"/>
      <c r="F517"/>
      <c r="G517"/>
      <c r="H517"/>
      <c r="I517"/>
      <c r="J517"/>
      <c r="K517"/>
      <c r="L517"/>
      <c r="M517"/>
      <c r="N517"/>
      <c r="O517"/>
      <c r="P517"/>
      <c r="Q517"/>
      <c r="R517"/>
      <c r="S517"/>
      <c r="T517"/>
      <c r="U517"/>
      <c r="V517"/>
      <c r="W517"/>
      <c r="X517"/>
      <c r="Y517"/>
      <c r="Z517"/>
      <c r="AA517"/>
      <c r="AB517" s="42"/>
      <c r="AC517"/>
      <c r="AD517"/>
    </row>
    <row r="518" spans="1:30" s="201" customFormat="1">
      <c r="A518"/>
      <c r="B518"/>
      <c r="C518"/>
      <c r="D518" s="25"/>
      <c r="E518" s="25"/>
      <c r="F518"/>
      <c r="G518"/>
      <c r="H518"/>
      <c r="I518"/>
      <c r="J518"/>
      <c r="K518"/>
      <c r="L518"/>
      <c r="M518"/>
      <c r="N518"/>
      <c r="O518"/>
      <c r="P518"/>
      <c r="Q518"/>
      <c r="R518"/>
      <c r="S518"/>
      <c r="T518"/>
      <c r="U518"/>
      <c r="V518"/>
      <c r="W518"/>
      <c r="X518"/>
      <c r="Y518"/>
      <c r="Z518"/>
      <c r="AA518"/>
      <c r="AB518" s="42"/>
      <c r="AC518"/>
      <c r="AD518"/>
    </row>
    <row r="519" spans="1:30" s="201" customFormat="1">
      <c r="A519"/>
      <c r="B519"/>
      <c r="C519"/>
      <c r="D519" s="25"/>
      <c r="E519" s="25"/>
      <c r="F519"/>
      <c r="G519"/>
      <c r="H519"/>
      <c r="I519"/>
      <c r="J519"/>
      <c r="K519"/>
      <c r="L519"/>
      <c r="M519"/>
      <c r="N519"/>
      <c r="O519"/>
      <c r="P519"/>
      <c r="Q519"/>
      <c r="R519"/>
      <c r="S519"/>
      <c r="T519"/>
      <c r="U519"/>
      <c r="V519"/>
      <c r="W519"/>
      <c r="X519"/>
      <c r="Y519"/>
      <c r="Z519"/>
      <c r="AA519"/>
      <c r="AB519" s="42"/>
      <c r="AC519"/>
      <c r="AD519"/>
    </row>
    <row r="520" spans="1:30" s="201" customFormat="1" ht="15.6">
      <c r="A520" s="143" t="s">
        <v>682</v>
      </c>
      <c r="AD520"/>
    </row>
    <row r="521" spans="1:30" s="201" customFormat="1">
      <c r="A521" s="115"/>
      <c r="B521" s="115" t="s">
        <v>63</v>
      </c>
      <c r="C521" s="115" t="str">
        <f t="shared" ref="C521:AC521" si="214">C426</f>
        <v>IE</v>
      </c>
      <c r="D521" s="276" t="str">
        <f t="shared" si="214"/>
        <v>IE-CW</v>
      </c>
      <c r="E521" s="282" t="str">
        <f t="shared" si="214"/>
        <v>IE-D</v>
      </c>
      <c r="F521" s="279" t="str">
        <f t="shared" si="214"/>
        <v>IE-KE</v>
      </c>
      <c r="G521" s="276" t="str">
        <f t="shared" si="214"/>
        <v>IE-KK</v>
      </c>
      <c r="H521" s="115" t="str">
        <f t="shared" si="214"/>
        <v>IE-LS</v>
      </c>
      <c r="I521" s="115" t="str">
        <f t="shared" si="214"/>
        <v>IE-LD</v>
      </c>
      <c r="J521" s="279" t="str">
        <f t="shared" si="214"/>
        <v>IE-LH</v>
      </c>
      <c r="K521" s="279" t="str">
        <f t="shared" si="214"/>
        <v>IE-MH</v>
      </c>
      <c r="L521" s="115" t="str">
        <f t="shared" si="214"/>
        <v>IE-OY</v>
      </c>
      <c r="M521" s="115" t="str">
        <f t="shared" si="214"/>
        <v>IE-WH</v>
      </c>
      <c r="N521" s="276" t="str">
        <f t="shared" si="214"/>
        <v>IE-WX</v>
      </c>
      <c r="O521" s="279" t="str">
        <f t="shared" si="214"/>
        <v>IE-WW</v>
      </c>
      <c r="P521" s="274" t="str">
        <f t="shared" si="214"/>
        <v>IE-CE</v>
      </c>
      <c r="Q521" s="277" t="str">
        <f t="shared" si="214"/>
        <v>IE-CO</v>
      </c>
      <c r="R521" s="277" t="str">
        <f t="shared" si="214"/>
        <v>IE-KY</v>
      </c>
      <c r="S521" s="274" t="str">
        <f t="shared" si="214"/>
        <v>IE-LK</v>
      </c>
      <c r="T521" s="274" t="str">
        <f t="shared" si="214"/>
        <v>IE-TA</v>
      </c>
      <c r="U521" s="276" t="str">
        <f t="shared" si="214"/>
        <v>IE-WD</v>
      </c>
      <c r="V521" s="272" t="str">
        <f t="shared" si="214"/>
        <v>IE-G</v>
      </c>
      <c r="W521" s="271" t="str">
        <f t="shared" si="214"/>
        <v>IE-LM</v>
      </c>
      <c r="X521" s="272" t="str">
        <f t="shared" si="214"/>
        <v>IE-MO</v>
      </c>
      <c r="Y521" s="272" t="str">
        <f t="shared" si="214"/>
        <v>IE-RN</v>
      </c>
      <c r="Z521" s="271" t="str">
        <f t="shared" si="214"/>
        <v>IE-SO</v>
      </c>
      <c r="AA521" s="271" t="str">
        <f t="shared" si="214"/>
        <v>IE-CN</v>
      </c>
      <c r="AB521" s="271" t="str">
        <f t="shared" si="214"/>
        <v>IE-DL</v>
      </c>
      <c r="AC521" s="271" t="str">
        <f t="shared" si="214"/>
        <v>IE-MN</v>
      </c>
      <c r="AD521"/>
    </row>
    <row r="522" spans="1:30" s="201" customFormat="1">
      <c r="A522" s="201" t="s">
        <v>385</v>
      </c>
      <c r="B522" s="201" t="s">
        <v>684</v>
      </c>
      <c r="C522" s="283">
        <f t="shared" ref="C522:AC522" si="215">B184</f>
        <v>4857000.0000000037</v>
      </c>
      <c r="D522" s="283">
        <f t="shared" si="215"/>
        <v>58069.41691963128</v>
      </c>
      <c r="E522" s="283">
        <f t="shared" si="215"/>
        <v>1374277.23444491</v>
      </c>
      <c r="F522" s="283">
        <f t="shared" si="215"/>
        <v>226949.29990665423</v>
      </c>
      <c r="G522" s="283">
        <f t="shared" si="215"/>
        <v>101214.50818114332</v>
      </c>
      <c r="H522" s="283">
        <f t="shared" si="215"/>
        <v>86389.120439155668</v>
      </c>
      <c r="I522" s="283">
        <f t="shared" si="215"/>
        <v>41689.581918009018</v>
      </c>
      <c r="J522" s="283">
        <f t="shared" si="215"/>
        <v>131458.91116190821</v>
      </c>
      <c r="K522" s="283">
        <f t="shared" si="215"/>
        <v>198940.68983476012</v>
      </c>
      <c r="L522" s="283">
        <f t="shared" si="215"/>
        <v>79518.545149851998</v>
      </c>
      <c r="M522" s="283">
        <f t="shared" si="215"/>
        <v>90543.492938166033</v>
      </c>
      <c r="N522" s="283">
        <f t="shared" si="215"/>
        <v>152713.2234954162</v>
      </c>
      <c r="O522" s="283">
        <f t="shared" si="215"/>
        <v>145270.44025817615</v>
      </c>
      <c r="P522" s="283">
        <f t="shared" si="215"/>
        <v>121190.78743307506</v>
      </c>
      <c r="Q522" s="283">
        <f t="shared" si="215"/>
        <v>553713.69746937393</v>
      </c>
      <c r="R522" s="283">
        <f t="shared" si="215"/>
        <v>150657.96678402266</v>
      </c>
      <c r="S522" s="283">
        <f t="shared" si="215"/>
        <v>198792.79294982113</v>
      </c>
      <c r="T522" s="283">
        <f t="shared" si="215"/>
        <v>162740.63229427967</v>
      </c>
      <c r="U522" s="283">
        <f t="shared" si="215"/>
        <v>118497.02417015182</v>
      </c>
      <c r="V522" s="283">
        <f t="shared" si="215"/>
        <v>263213.61609369441</v>
      </c>
      <c r="W522" s="283">
        <f t="shared" si="215"/>
        <v>32684.191592999803</v>
      </c>
      <c r="X522" s="283">
        <f t="shared" si="215"/>
        <v>133114.33629470808</v>
      </c>
      <c r="Y522" s="283">
        <f t="shared" si="215"/>
        <v>65833.493389669806</v>
      </c>
      <c r="Z522" s="283">
        <f t="shared" si="215"/>
        <v>66844.292099839033</v>
      </c>
      <c r="AA522" s="283">
        <f t="shared" si="215"/>
        <v>77697.883497327202</v>
      </c>
      <c r="AB522" s="283">
        <f t="shared" si="215"/>
        <v>162372.42004970741</v>
      </c>
      <c r="AC522" s="283">
        <f t="shared" si="215"/>
        <v>62612.401233550299</v>
      </c>
      <c r="AD522"/>
    </row>
    <row r="523" spans="1:30" s="201" customFormat="1">
      <c r="A523" t="s">
        <v>685</v>
      </c>
      <c r="B523" t="s">
        <v>683</v>
      </c>
      <c r="C523" s="118">
        <f>SUM(D523:AC523)</f>
        <v>9966.9999999999982</v>
      </c>
      <c r="D523" s="118">
        <f>F492*D522/(D522+G522+N522+U522)</f>
        <v>159.1703588572295</v>
      </c>
      <c r="E523" s="118">
        <f>H492</f>
        <v>2185</v>
      </c>
      <c r="F523" s="118">
        <f>I492*F522/(F522+J522+K522+O522)</f>
        <v>408.92386083033193</v>
      </c>
      <c r="G523" s="118">
        <f>F492*G522/(D522+G522+N522+U522)</f>
        <v>277.43260468841072</v>
      </c>
      <c r="H523" s="118">
        <f>J492*H522/(H522+I522+L522+M522)</f>
        <v>192.97984611752955</v>
      </c>
      <c r="I523" s="118">
        <f>J492*I522/(H522+I522+L522+M522)</f>
        <v>93.128035826083391</v>
      </c>
      <c r="J523" s="118">
        <f>I492*J522/(F522+J522+K522+O522)</f>
        <v>236.86649623942267</v>
      </c>
      <c r="K523" s="118">
        <f>I492*K522/(F522+J522+K522+O522)</f>
        <v>358.45713116074887</v>
      </c>
      <c r="L523" s="118">
        <f>J492*L522/(H522+I522+L522+M522)</f>
        <v>177.63205052326197</v>
      </c>
      <c r="M523" s="118">
        <f>J492*M522/(H522+I522+L522+M522)</f>
        <v>202.2600675331251</v>
      </c>
      <c r="N523" s="118">
        <f>F492*N522/(D522+G522+N522+U522)</f>
        <v>418.5924342869057</v>
      </c>
      <c r="O523" s="118">
        <f>I492*O522/(F522+J522+K522+O522)</f>
        <v>261.75251176949638</v>
      </c>
      <c r="P523" s="118">
        <f>E492*P522/(P522+S522+T522)</f>
        <v>264.61297486207627</v>
      </c>
      <c r="Q523" s="118">
        <f>G492*Q522/(Q522+R522)</f>
        <v>1446.4426311407162</v>
      </c>
      <c r="R523" s="118">
        <f>G492*R522/(Q522+R522)</f>
        <v>393.55736885928394</v>
      </c>
      <c r="S523" s="118">
        <f>E492*S522/(P522+S522+T522)</f>
        <v>434.05240148837129</v>
      </c>
      <c r="T523" s="118">
        <f>E492*T522/(P522+S522+T522)</f>
        <v>355.33462364955238</v>
      </c>
      <c r="U523" s="118">
        <f>F492*U522/(D522+G522+N522+U522)</f>
        <v>324.80460216745405</v>
      </c>
      <c r="V523" s="118">
        <f>D492*V522/(V522+X522+Y522)</f>
        <v>519.97853496620019</v>
      </c>
      <c r="W523" s="118">
        <f>C492*W522/(W522+Z522+AA522+AB522+AC522)</f>
        <v>70.128475171999312</v>
      </c>
      <c r="X523" s="118">
        <f>D492*X522/(V522+X522+Y522)</f>
        <v>262.96738974507235</v>
      </c>
      <c r="Y523" s="118">
        <f>D492*Y522/(V522+X522+Y522)</f>
        <v>130.05407528872743</v>
      </c>
      <c r="Z523" s="118">
        <f>C492*Z522/(W522+Z522+AA522+AB522+AC522)</f>
        <v>143.42371802512091</v>
      </c>
      <c r="AA523" s="118">
        <f>C492*AA522/(W522+Z522+AA522+AB522+AC522)</f>
        <v>166.71160668774871</v>
      </c>
      <c r="AB523" s="118">
        <f>C492*AB522/(W522+Z522+AA522+AB522+AC522)</f>
        <v>348.39259204783781</v>
      </c>
      <c r="AC523" s="118">
        <f>C492*AC522/(W522+Z522+AA522+AB522+AC522)</f>
        <v>134.34360806729339</v>
      </c>
      <c r="AD523"/>
    </row>
    <row r="524" spans="1:30" s="201" customFormat="1">
      <c r="A524" t="s">
        <v>686</v>
      </c>
      <c r="B524" s="201" t="s">
        <v>683</v>
      </c>
      <c r="C524" s="118">
        <f>SUM(D524:AC524)</f>
        <v>1569.9999999999995</v>
      </c>
      <c r="D524" s="118">
        <f>(K492+L492)*D522/C522</f>
        <v>18.77063713482006</v>
      </c>
      <c r="E524" s="118">
        <f>(K492+L492)*E522/C522</f>
        <v>444.22797160356333</v>
      </c>
      <c r="F524" s="118">
        <f>(K492+L492)*F522/C522</f>
        <v>73.360181357514278</v>
      </c>
      <c r="G524" s="118">
        <f>(K492+L492)*G522/C522</f>
        <v>32.717063587480929</v>
      </c>
      <c r="H524" s="118">
        <f>(K492+L492)*H522/C522</f>
        <v>27.924834072364487</v>
      </c>
      <c r="I524" s="118">
        <f>(K492+L492)*I522/C522</f>
        <v>13.475940624104203</v>
      </c>
      <c r="J524" s="118">
        <f>(K492+L492)*J522/C522</f>
        <v>42.493409619970294</v>
      </c>
      <c r="K524" s="118">
        <f>(K492+L492)*K522/C522</f>
        <v>64.306543759640348</v>
      </c>
      <c r="L524" s="118">
        <f>(K492+L492)*L522/C522</f>
        <v>25.703956328035318</v>
      </c>
      <c r="M524" s="118">
        <f>(K492+L492)*M522/C522</f>
        <v>29.267713385406747</v>
      </c>
      <c r="N524" s="118">
        <f>(K492+L492)*N522/C522</f>
        <v>49.363755587359123</v>
      </c>
      <c r="O524" s="118">
        <f>(K492+L492)*O522/C522</f>
        <v>46.957914598586861</v>
      </c>
      <c r="P524" s="118">
        <f>(K492+L492)*P522/C522</f>
        <v>39.174292005338216</v>
      </c>
      <c r="Q524" s="118">
        <f>(K492+L492)*Q522/C522</f>
        <v>178.98507412536884</v>
      </c>
      <c r="R524" s="118">
        <f>(K492+L492)*R522/C522</f>
        <v>48.699404540027878</v>
      </c>
      <c r="S524" s="118">
        <f>(K492+L492)*S522/C522</f>
        <v>64.258736860452728</v>
      </c>
      <c r="T524" s="118">
        <f>(K492+L492)*T522/C522</f>
        <v>52.605063352278954</v>
      </c>
      <c r="U524" s="118">
        <f>(K492+L492)*U522/C522</f>
        <v>38.303547034617715</v>
      </c>
      <c r="V524" s="118">
        <f>(K492+L492)*V522/C522</f>
        <v>85.082433038315813</v>
      </c>
      <c r="W524" s="118">
        <f>(K492+L492)*W522/C522</f>
        <v>10.564995017708391</v>
      </c>
      <c r="X524" s="118">
        <f>(K492+L492)*X522/C522</f>
        <v>43.028517188118492</v>
      </c>
      <c r="Y524" s="118">
        <f>(K492+L492)*Y522/C522</f>
        <v>21.280334490792981</v>
      </c>
      <c r="Z524" s="118">
        <f>(K492+L492)*Z522/C522</f>
        <v>21.607069919033808</v>
      </c>
      <c r="AA524" s="118">
        <f>(K492+L492)*AA522/C522</f>
        <v>25.115436913898211</v>
      </c>
      <c r="AB524" s="118">
        <f>(K492+L492)*AB522/C522</f>
        <v>52.486040658439457</v>
      </c>
      <c r="AC524" s="118">
        <f>(K492+L492)*AC522/C522</f>
        <v>20.239133196762175</v>
      </c>
      <c r="AD524"/>
    </row>
    <row r="525" spans="1:30" s="2" customFormat="1">
      <c r="A525" s="2" t="s">
        <v>687</v>
      </c>
      <c r="B525" s="2" t="s">
        <v>683</v>
      </c>
      <c r="C525" s="118">
        <f>SUM(D525:AC525)</f>
        <v>11536.999999999998</v>
      </c>
      <c r="D525" s="3">
        <f>D523+D524</f>
        <v>177.94099599204955</v>
      </c>
      <c r="E525" s="3">
        <f>E523+E524</f>
        <v>2629.2279716035632</v>
      </c>
      <c r="F525" s="3">
        <f t="shared" ref="F525:AC525" si="216">F523+F524</f>
        <v>482.28404218784624</v>
      </c>
      <c r="G525" s="3">
        <f t="shared" si="216"/>
        <v>310.14966827589166</v>
      </c>
      <c r="H525" s="3">
        <f t="shared" si="216"/>
        <v>220.90468018989404</v>
      </c>
      <c r="I525" s="3">
        <f t="shared" si="216"/>
        <v>106.60397645018759</v>
      </c>
      <c r="J525" s="3">
        <f t="shared" si="216"/>
        <v>279.35990585939294</v>
      </c>
      <c r="K525" s="3">
        <f t="shared" si="216"/>
        <v>422.76367492038924</v>
      </c>
      <c r="L525" s="3">
        <f t="shared" si="216"/>
        <v>203.33600685129727</v>
      </c>
      <c r="M525" s="3">
        <f t="shared" si="216"/>
        <v>231.52778091853185</v>
      </c>
      <c r="N525" s="3">
        <f t="shared" si="216"/>
        <v>467.95618987426485</v>
      </c>
      <c r="O525" s="3">
        <f t="shared" si="216"/>
        <v>308.71042636808323</v>
      </c>
      <c r="P525" s="3">
        <f t="shared" si="216"/>
        <v>303.78726686741447</v>
      </c>
      <c r="Q525" s="3">
        <f t="shared" si="216"/>
        <v>1625.427705266085</v>
      </c>
      <c r="R525" s="3">
        <f t="shared" si="216"/>
        <v>442.25677339931184</v>
      </c>
      <c r="S525" s="3">
        <f t="shared" si="216"/>
        <v>498.31113834882399</v>
      </c>
      <c r="T525" s="3">
        <f t="shared" si="216"/>
        <v>407.93968700183132</v>
      </c>
      <c r="U525" s="3">
        <f t="shared" si="216"/>
        <v>363.10814920207179</v>
      </c>
      <c r="V525" s="3">
        <f t="shared" si="216"/>
        <v>605.06096800451598</v>
      </c>
      <c r="W525" s="3">
        <f t="shared" si="216"/>
        <v>80.69347018970771</v>
      </c>
      <c r="X525" s="3">
        <f t="shared" si="216"/>
        <v>305.99590693319084</v>
      </c>
      <c r="Y525" s="3">
        <f t="shared" si="216"/>
        <v>151.3344097795204</v>
      </c>
      <c r="Z525" s="3">
        <f t="shared" si="216"/>
        <v>165.03078794415472</v>
      </c>
      <c r="AA525" s="3">
        <f t="shared" si="216"/>
        <v>191.82704360164692</v>
      </c>
      <c r="AB525" s="3">
        <f t="shared" si="216"/>
        <v>400.87863270627724</v>
      </c>
      <c r="AC525" s="3">
        <f t="shared" si="216"/>
        <v>154.58274126405556</v>
      </c>
    </row>
    <row r="526" spans="1:30" s="2" customFormat="1">
      <c r="A526" s="22" t="s">
        <v>689</v>
      </c>
      <c r="B526" s="22" t="s">
        <v>592</v>
      </c>
      <c r="C526" s="34">
        <f>SUM(D526:AC526)</f>
        <v>1.0000000000000002</v>
      </c>
      <c r="D526" s="34">
        <f t="shared" ref="D526:AC526" si="217">D525/$C$525</f>
        <v>1.5423506630150782E-2</v>
      </c>
      <c r="E526" s="34">
        <f t="shared" si="217"/>
        <v>0.22789529094249489</v>
      </c>
      <c r="F526" s="34">
        <f t="shared" si="217"/>
        <v>4.1803245400697436E-2</v>
      </c>
      <c r="G526" s="34">
        <f t="shared" si="217"/>
        <v>2.6883043102703622E-2</v>
      </c>
      <c r="H526" s="34">
        <f t="shared" si="217"/>
        <v>1.914749763282431E-2</v>
      </c>
      <c r="I526" s="34">
        <f t="shared" si="217"/>
        <v>9.2401817153668717E-3</v>
      </c>
      <c r="J526" s="34">
        <f t="shared" si="217"/>
        <v>2.421425898061827E-2</v>
      </c>
      <c r="K526" s="34">
        <f t="shared" si="217"/>
        <v>3.664416008671139E-2</v>
      </c>
      <c r="L526" s="34">
        <f t="shared" si="217"/>
        <v>1.7624686387388167E-2</v>
      </c>
      <c r="M526" s="34">
        <f t="shared" si="217"/>
        <v>2.0068282995452186E-2</v>
      </c>
      <c r="N526" s="34">
        <f t="shared" si="217"/>
        <v>4.0561340892282652E-2</v>
      </c>
      <c r="O526" s="34">
        <f t="shared" si="217"/>
        <v>2.6758293002347514E-2</v>
      </c>
      <c r="P526" s="34">
        <f t="shared" si="217"/>
        <v>2.6331565126758646E-2</v>
      </c>
      <c r="Q526" s="34">
        <f t="shared" si="217"/>
        <v>0.14088824696767663</v>
      </c>
      <c r="R526" s="34">
        <f t="shared" si="217"/>
        <v>3.833377597289693E-2</v>
      </c>
      <c r="S526" s="34">
        <f t="shared" si="217"/>
        <v>4.3192436365504384E-2</v>
      </c>
      <c r="T526" s="34">
        <f t="shared" si="217"/>
        <v>3.5359251712042246E-2</v>
      </c>
      <c r="U526" s="34">
        <f t="shared" si="217"/>
        <v>3.1473359556390038E-2</v>
      </c>
      <c r="V526" s="34">
        <f t="shared" si="217"/>
        <v>5.2445260293361884E-2</v>
      </c>
      <c r="W526" s="34">
        <f t="shared" si="217"/>
        <v>6.9943200303118425E-3</v>
      </c>
      <c r="X526" s="34">
        <f t="shared" si="217"/>
        <v>2.6523004848157311E-2</v>
      </c>
      <c r="Y526" s="34">
        <f t="shared" si="217"/>
        <v>1.3117310373539085E-2</v>
      </c>
      <c r="Z526" s="34">
        <f t="shared" si="217"/>
        <v>1.4304480189317391E-2</v>
      </c>
      <c r="AA526" s="34">
        <f t="shared" si="217"/>
        <v>1.6627116546905345E-2</v>
      </c>
      <c r="AB526" s="34">
        <f t="shared" si="217"/>
        <v>3.474721614858952E-2</v>
      </c>
      <c r="AC526" s="34">
        <f t="shared" si="217"/>
        <v>1.3398868099510755E-2</v>
      </c>
    </row>
    <row r="527" spans="1:30" s="201" customFormat="1">
      <c r="A527" s="200" t="s">
        <v>690</v>
      </c>
      <c r="B527" s="200" t="s">
        <v>592</v>
      </c>
      <c r="C527" s="139">
        <f>SUM(D527:AC527)</f>
        <v>0.99999153639772187</v>
      </c>
      <c r="D527" s="139">
        <f t="shared" ref="D527:AC527" si="218">D420/$C$420</f>
        <v>1.6388355211745222E-2</v>
      </c>
      <c r="E527" s="139">
        <f t="shared" si="218"/>
        <v>0.21024434419777746</v>
      </c>
      <c r="F527" s="139">
        <f t="shared" si="218"/>
        <v>4.5395941420587428E-2</v>
      </c>
      <c r="G527" s="139">
        <f t="shared" si="218"/>
        <v>2.3193091443580217E-2</v>
      </c>
      <c r="H527" s="139">
        <f t="shared" si="218"/>
        <v>1.7023125382625352E-2</v>
      </c>
      <c r="I527" s="139">
        <f t="shared" si="218"/>
        <v>1.1112709791541477E-2</v>
      </c>
      <c r="J527" s="139">
        <f t="shared" si="218"/>
        <v>2.297303778434177E-2</v>
      </c>
      <c r="K527" s="139">
        <f t="shared" si="218"/>
        <v>4.1708632027963745E-2</v>
      </c>
      <c r="L527" s="139">
        <f t="shared" si="218"/>
        <v>1.8411156156283238E-2</v>
      </c>
      <c r="M527" s="139">
        <f t="shared" si="218"/>
        <v>2.2877116958519884E-2</v>
      </c>
      <c r="N527" s="139">
        <f t="shared" si="218"/>
        <v>3.9462956223427818E-2</v>
      </c>
      <c r="O527" s="139">
        <f t="shared" si="218"/>
        <v>2.662085036633292E-2</v>
      </c>
      <c r="P527" s="139">
        <f t="shared" si="218"/>
        <v>2.6618029165573452E-2</v>
      </c>
      <c r="Q527" s="139">
        <f t="shared" si="218"/>
        <v>0.11714471913535839</v>
      </c>
      <c r="R527" s="139">
        <f t="shared" si="218"/>
        <v>3.3625891852090084E-2</v>
      </c>
      <c r="S527" s="139">
        <f t="shared" si="218"/>
        <v>3.8503747965208952E-2</v>
      </c>
      <c r="T527" s="139">
        <f t="shared" si="218"/>
        <v>3.9389605003681667E-2</v>
      </c>
      <c r="U527" s="139">
        <f t="shared" si="218"/>
        <v>2.3026640598771648E-2</v>
      </c>
      <c r="V527" s="139">
        <f t="shared" si="218"/>
        <v>5.7431183860474695E-2</v>
      </c>
      <c r="W527" s="139">
        <f t="shared" si="218"/>
        <v>9.6033673852264998E-3</v>
      </c>
      <c r="X527" s="139">
        <f t="shared" si="218"/>
        <v>3.7694063347241853E-2</v>
      </c>
      <c r="Y527" s="139">
        <f t="shared" si="218"/>
        <v>1.8010545648438889E-2</v>
      </c>
      <c r="Z527" s="139">
        <f t="shared" si="218"/>
        <v>1.7056979791738959E-2</v>
      </c>
      <c r="AA527" s="139">
        <f t="shared" si="218"/>
        <v>2.2707844912951851E-2</v>
      </c>
      <c r="AB527" s="139">
        <f t="shared" si="218"/>
        <v>4.1288273114803126E-2</v>
      </c>
      <c r="AC527" s="139">
        <f t="shared" si="218"/>
        <v>2.2479327651435003E-2</v>
      </c>
    </row>
    <row r="528" spans="1:30" s="201" customFormat="1">
      <c r="A528" s="22" t="s">
        <v>688</v>
      </c>
    </row>
    <row r="529" spans="1:29" s="201" customFormat="1">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c r="AA529" s="130"/>
      <c r="AB529" s="130"/>
      <c r="AC529" s="130"/>
    </row>
    <row r="530" spans="1:29" s="201" customFormat="1">
      <c r="D530" s="130"/>
    </row>
    <row r="531" spans="1:29" s="201" customFormat="1"/>
    <row r="532" spans="1:29" s="201" customFormat="1" ht="15.6">
      <c r="A532" s="143" t="s">
        <v>675</v>
      </c>
    </row>
    <row r="533" spans="1:29" s="201" customFormat="1" ht="15.6">
      <c r="A533" s="115" t="s">
        <v>331</v>
      </c>
      <c r="B533" s="868" t="s">
        <v>674</v>
      </c>
      <c r="C533" s="868"/>
      <c r="D533" s="868"/>
      <c r="E533" s="868"/>
      <c r="F533" s="868"/>
      <c r="G533" s="868"/>
      <c r="H533" s="868"/>
      <c r="I533" s="868"/>
      <c r="J533" s="868"/>
      <c r="K533" s="868"/>
      <c r="L533" s="868"/>
    </row>
    <row r="534" spans="1:29" s="201" customFormat="1">
      <c r="B534" s="267" t="s">
        <v>661</v>
      </c>
      <c r="C534" s="267" t="s">
        <v>662</v>
      </c>
      <c r="D534" s="267" t="s">
        <v>663</v>
      </c>
      <c r="E534" s="267" t="s">
        <v>664</v>
      </c>
      <c r="F534" s="267" t="s">
        <v>665</v>
      </c>
      <c r="G534" s="267" t="s">
        <v>666</v>
      </c>
      <c r="H534" s="267" t="s">
        <v>360</v>
      </c>
      <c r="I534" s="267" t="s">
        <v>667</v>
      </c>
      <c r="J534" s="267" t="s">
        <v>668</v>
      </c>
      <c r="K534" s="267" t="s">
        <v>669</v>
      </c>
      <c r="L534" s="267" t="s">
        <v>670</v>
      </c>
    </row>
    <row r="535" spans="1:29" s="201" customFormat="1" ht="15.6">
      <c r="A535" s="269" t="s">
        <v>673</v>
      </c>
    </row>
    <row r="536" spans="1:29" s="201" customFormat="1">
      <c r="A536" s="266" t="s">
        <v>671</v>
      </c>
      <c r="B536" s="201">
        <v>150036</v>
      </c>
      <c r="C536" s="201">
        <v>12832</v>
      </c>
      <c r="D536" s="201">
        <v>11088</v>
      </c>
      <c r="E536" s="201">
        <v>15360</v>
      </c>
      <c r="F536" s="201">
        <v>16432</v>
      </c>
      <c r="G536" s="201">
        <v>22808</v>
      </c>
      <c r="H536" s="201">
        <v>33096</v>
      </c>
      <c r="I536" s="201">
        <v>24798</v>
      </c>
      <c r="J536" s="201">
        <v>8768</v>
      </c>
      <c r="K536" s="201">
        <v>2833</v>
      </c>
      <c r="L536" s="201">
        <v>2021</v>
      </c>
    </row>
    <row r="537" spans="1:29" s="201" customFormat="1">
      <c r="A537" s="266" t="s">
        <v>662</v>
      </c>
      <c r="B537" s="201">
        <v>12777</v>
      </c>
      <c r="C537" s="201">
        <v>7932</v>
      </c>
      <c r="D537" s="201">
        <v>509</v>
      </c>
      <c r="E537" s="201">
        <v>128</v>
      </c>
      <c r="F537" s="201">
        <v>221</v>
      </c>
      <c r="G537" s="201">
        <v>201</v>
      </c>
      <c r="H537" s="201">
        <v>1260</v>
      </c>
      <c r="I537" s="201">
        <v>1037</v>
      </c>
      <c r="J537" s="201">
        <v>472</v>
      </c>
      <c r="K537" s="201">
        <v>874</v>
      </c>
      <c r="L537" s="201">
        <v>144</v>
      </c>
    </row>
    <row r="538" spans="1:29" s="201" customFormat="1">
      <c r="A538" s="266" t="s">
        <v>663</v>
      </c>
      <c r="B538" s="201">
        <v>10377</v>
      </c>
      <c r="C538" s="201">
        <v>423</v>
      </c>
      <c r="D538" s="201">
        <v>7419</v>
      </c>
      <c r="E538" s="201">
        <v>507</v>
      </c>
      <c r="F538" s="201">
        <v>204</v>
      </c>
      <c r="G538" s="201">
        <v>266</v>
      </c>
      <c r="H538" s="201">
        <v>808</v>
      </c>
      <c r="I538" s="201">
        <v>209</v>
      </c>
      <c r="J538" s="201">
        <v>423</v>
      </c>
      <c r="K538" s="201">
        <v>76</v>
      </c>
      <c r="L538" s="201">
        <v>42</v>
      </c>
    </row>
    <row r="539" spans="1:29" s="201" customFormat="1">
      <c r="A539" s="266" t="s">
        <v>664</v>
      </c>
      <c r="B539" s="201">
        <v>16123</v>
      </c>
      <c r="C539" s="201">
        <v>157</v>
      </c>
      <c r="D539" s="201">
        <v>666</v>
      </c>
      <c r="E539" s="201">
        <v>10260</v>
      </c>
      <c r="F539" s="201">
        <v>1056</v>
      </c>
      <c r="G539" s="201">
        <v>2312</v>
      </c>
      <c r="H539" s="201">
        <v>802</v>
      </c>
      <c r="I539" s="201">
        <v>311</v>
      </c>
      <c r="J539" s="201">
        <v>460</v>
      </c>
      <c r="K539" s="201">
        <v>44</v>
      </c>
      <c r="L539" s="201">
        <v>53</v>
      </c>
    </row>
    <row r="540" spans="1:29" s="201" customFormat="1">
      <c r="A540" s="266" t="s">
        <v>665</v>
      </c>
      <c r="B540" s="201">
        <v>14354</v>
      </c>
      <c r="C540" s="201">
        <v>116</v>
      </c>
      <c r="D540" s="201">
        <v>214</v>
      </c>
      <c r="E540" s="201">
        <v>612</v>
      </c>
      <c r="F540" s="201">
        <v>9917</v>
      </c>
      <c r="G540" s="201">
        <v>875</v>
      </c>
      <c r="H540" s="201">
        <v>1006</v>
      </c>
      <c r="I540" s="201">
        <v>874</v>
      </c>
      <c r="J540" s="201">
        <v>534</v>
      </c>
      <c r="K540" s="201">
        <v>124</v>
      </c>
      <c r="L540" s="201">
        <v>83</v>
      </c>
    </row>
    <row r="541" spans="1:29" s="201" customFormat="1">
      <c r="A541" s="266" t="s">
        <v>666</v>
      </c>
      <c r="B541" s="201">
        <v>21387</v>
      </c>
      <c r="C541" s="201">
        <v>53</v>
      </c>
      <c r="D541" s="201">
        <v>135</v>
      </c>
      <c r="E541" s="201">
        <v>1943</v>
      </c>
      <c r="F541" s="201">
        <v>1173</v>
      </c>
      <c r="G541" s="201">
        <v>16468</v>
      </c>
      <c r="H541" s="201">
        <v>1001</v>
      </c>
      <c r="I541" s="201">
        <v>240</v>
      </c>
      <c r="J541" s="201">
        <v>266</v>
      </c>
      <c r="K541" s="201">
        <v>70</v>
      </c>
      <c r="L541" s="201">
        <v>37</v>
      </c>
    </row>
    <row r="542" spans="1:29" s="201" customFormat="1">
      <c r="A542" s="266" t="s">
        <v>360</v>
      </c>
      <c r="B542" s="201">
        <v>37815</v>
      </c>
      <c r="C542" s="201">
        <v>1334</v>
      </c>
      <c r="D542" s="201">
        <v>1109</v>
      </c>
      <c r="E542" s="201">
        <v>1141</v>
      </c>
      <c r="F542" s="201">
        <v>1754</v>
      </c>
      <c r="G542" s="201">
        <v>1952</v>
      </c>
      <c r="H542" s="201">
        <v>20253</v>
      </c>
      <c r="I542" s="201">
        <v>7895</v>
      </c>
      <c r="J542" s="201">
        <v>1556</v>
      </c>
      <c r="K542" s="201">
        <v>638</v>
      </c>
      <c r="L542" s="201">
        <v>182</v>
      </c>
    </row>
    <row r="543" spans="1:29" s="201" customFormat="1">
      <c r="A543" s="266" t="s">
        <v>667</v>
      </c>
      <c r="B543" s="201">
        <v>24113</v>
      </c>
      <c r="C543" s="201">
        <v>1251</v>
      </c>
      <c r="D543" s="201">
        <v>265</v>
      </c>
      <c r="E543" s="201">
        <v>288</v>
      </c>
      <c r="F543" s="201">
        <v>1378</v>
      </c>
      <c r="G543" s="201">
        <v>354</v>
      </c>
      <c r="H543" s="201">
        <v>6088</v>
      </c>
      <c r="I543" s="201">
        <v>13114</v>
      </c>
      <c r="J543" s="201">
        <v>906</v>
      </c>
      <c r="K543" s="201">
        <v>397</v>
      </c>
      <c r="L543" s="201">
        <v>71</v>
      </c>
    </row>
    <row r="544" spans="1:29" s="201" customFormat="1">
      <c r="A544" s="266" t="s">
        <v>668</v>
      </c>
      <c r="B544" s="201">
        <v>9093</v>
      </c>
      <c r="C544" s="201">
        <v>763</v>
      </c>
      <c r="D544" s="201">
        <v>679</v>
      </c>
      <c r="E544" s="201">
        <v>435</v>
      </c>
      <c r="F544" s="201">
        <v>636</v>
      </c>
      <c r="G544" s="201">
        <v>242</v>
      </c>
      <c r="H544" s="201">
        <v>1182</v>
      </c>
      <c r="I544" s="201">
        <v>796</v>
      </c>
      <c r="J544" s="201">
        <v>4097</v>
      </c>
      <c r="K544" s="201">
        <v>210</v>
      </c>
      <c r="L544" s="201">
        <v>54</v>
      </c>
    </row>
    <row r="545" spans="1:12" s="201" customFormat="1">
      <c r="A545" s="266" t="s">
        <v>669</v>
      </c>
      <c r="B545" s="201">
        <v>1932</v>
      </c>
      <c r="C545" s="201">
        <v>745</v>
      </c>
      <c r="D545" s="201">
        <v>53</v>
      </c>
      <c r="E545" s="201">
        <v>12</v>
      </c>
      <c r="F545" s="201">
        <v>46</v>
      </c>
      <c r="G545" s="201">
        <v>76</v>
      </c>
      <c r="H545" s="201">
        <v>316</v>
      </c>
      <c r="I545" s="201">
        <v>259</v>
      </c>
      <c r="J545" s="201">
        <v>30</v>
      </c>
      <c r="K545" s="201">
        <v>374</v>
      </c>
      <c r="L545" s="201">
        <v>21</v>
      </c>
    </row>
    <row r="546" spans="1:12" s="201" customFormat="1">
      <c r="A546" s="268" t="s">
        <v>670</v>
      </c>
      <c r="B546" s="200">
        <v>2066</v>
      </c>
      <c r="C546" s="200">
        <v>58</v>
      </c>
      <c r="D546" s="200">
        <v>38</v>
      </c>
      <c r="E546" s="200">
        <v>35</v>
      </c>
      <c r="F546" s="200">
        <v>46</v>
      </c>
      <c r="G546" s="200">
        <v>63</v>
      </c>
      <c r="H546" s="200">
        <v>380</v>
      </c>
      <c r="I546" s="200">
        <v>63</v>
      </c>
      <c r="J546" s="200">
        <v>24</v>
      </c>
      <c r="K546" s="200">
        <v>26</v>
      </c>
      <c r="L546" s="200">
        <v>1333</v>
      </c>
    </row>
    <row r="547" spans="1:12" s="201" customFormat="1">
      <c r="A547" s="201" t="s">
        <v>672</v>
      </c>
    </row>
    <row r="548" spans="1:12" s="201" customFormat="1"/>
    <row r="549" spans="1:12" s="201" customFormat="1"/>
    <row r="550" spans="1:12" s="201" customFormat="1"/>
    <row r="551" spans="1:12" s="201" customFormat="1" ht="15.6">
      <c r="A551" s="143" t="s">
        <v>676</v>
      </c>
    </row>
    <row r="552" spans="1:12" s="201" customFormat="1" ht="15.6">
      <c r="A552" s="115" t="s">
        <v>331</v>
      </c>
      <c r="B552" s="868" t="s">
        <v>674</v>
      </c>
      <c r="C552" s="868"/>
      <c r="D552" s="868"/>
      <c r="E552" s="868"/>
      <c r="F552" s="868"/>
      <c r="G552" s="868"/>
      <c r="H552" s="868"/>
      <c r="I552" s="868"/>
      <c r="J552" s="868"/>
      <c r="K552" s="868"/>
      <c r="L552" s="868"/>
    </row>
    <row r="553" spans="1:12" s="201" customFormat="1">
      <c r="B553" s="267" t="s">
        <v>661</v>
      </c>
      <c r="C553" s="267" t="s">
        <v>662</v>
      </c>
      <c r="D553" s="267" t="s">
        <v>663</v>
      </c>
      <c r="E553" s="267" t="s">
        <v>664</v>
      </c>
      <c r="F553" s="267" t="s">
        <v>665</v>
      </c>
      <c r="G553" s="267" t="s">
        <v>666</v>
      </c>
      <c r="H553" s="267" t="s">
        <v>360</v>
      </c>
      <c r="I553" s="267" t="s">
        <v>667</v>
      </c>
      <c r="J553" s="267" t="s">
        <v>668</v>
      </c>
      <c r="K553" s="267" t="s">
        <v>669</v>
      </c>
      <c r="L553" s="267" t="s">
        <v>670</v>
      </c>
    </row>
    <row r="554" spans="1:12" s="201" customFormat="1" ht="15.6">
      <c r="A554" s="269" t="s">
        <v>673</v>
      </c>
    </row>
    <row r="555" spans="1:12" s="201" customFormat="1">
      <c r="A555" s="266" t="s">
        <v>671</v>
      </c>
      <c r="B555" s="201">
        <v>1599</v>
      </c>
      <c r="C555" s="201">
        <v>130</v>
      </c>
      <c r="D555" s="201">
        <v>144</v>
      </c>
      <c r="E555" s="201">
        <v>160</v>
      </c>
      <c r="F555" s="201">
        <v>158</v>
      </c>
      <c r="G555" s="201">
        <v>228</v>
      </c>
      <c r="H555" s="201">
        <v>358</v>
      </c>
      <c r="I555" s="201">
        <v>192</v>
      </c>
      <c r="J555" s="201">
        <v>109</v>
      </c>
      <c r="K555" s="201">
        <v>35</v>
      </c>
      <c r="L555" s="201">
        <v>85</v>
      </c>
    </row>
    <row r="556" spans="1:12" s="201" customFormat="1">
      <c r="A556" s="266" t="s">
        <v>662</v>
      </c>
      <c r="B556" s="201">
        <v>136</v>
      </c>
      <c r="C556" s="201">
        <v>51</v>
      </c>
      <c r="D556" s="201">
        <v>11</v>
      </c>
      <c r="E556" s="201">
        <v>4</v>
      </c>
      <c r="F556" s="201">
        <v>4</v>
      </c>
      <c r="G556" s="201">
        <v>5</v>
      </c>
      <c r="H556" s="201">
        <v>25</v>
      </c>
      <c r="I556" s="201">
        <v>14</v>
      </c>
      <c r="J556" s="201">
        <v>9</v>
      </c>
      <c r="K556" s="201">
        <v>7</v>
      </c>
      <c r="L556" s="201">
        <v>6</v>
      </c>
    </row>
    <row r="557" spans="1:12" s="201" customFormat="1">
      <c r="A557" s="266" t="s">
        <v>663</v>
      </c>
      <c r="B557" s="201">
        <v>140</v>
      </c>
      <c r="C557" s="201">
        <v>10</v>
      </c>
      <c r="D557" s="201">
        <v>65</v>
      </c>
      <c r="E557" s="201">
        <v>10</v>
      </c>
      <c r="F557" s="201">
        <v>4</v>
      </c>
      <c r="G557" s="201">
        <v>5</v>
      </c>
      <c r="H557" s="201">
        <v>24</v>
      </c>
      <c r="I557" s="201">
        <v>6</v>
      </c>
      <c r="J557" s="201">
        <v>12</v>
      </c>
      <c r="K557" s="201">
        <v>1</v>
      </c>
      <c r="L557" s="201">
        <v>3</v>
      </c>
    </row>
    <row r="558" spans="1:12" s="201" customFormat="1">
      <c r="A558" s="266" t="s">
        <v>664</v>
      </c>
      <c r="B558" s="201">
        <v>159</v>
      </c>
      <c r="C558" s="201">
        <v>5</v>
      </c>
      <c r="D558" s="201">
        <v>10</v>
      </c>
      <c r="E558" s="201">
        <v>66</v>
      </c>
      <c r="F558" s="201">
        <v>10</v>
      </c>
      <c r="G558" s="201">
        <v>30</v>
      </c>
      <c r="H558" s="201">
        <v>21</v>
      </c>
      <c r="I558" s="201">
        <v>6</v>
      </c>
      <c r="J558" s="201">
        <v>6</v>
      </c>
      <c r="K558" s="201">
        <v>1</v>
      </c>
      <c r="L558" s="201">
        <v>4</v>
      </c>
    </row>
    <row r="559" spans="1:12" s="201" customFormat="1">
      <c r="A559" s="266" t="s">
        <v>665</v>
      </c>
      <c r="B559" s="201">
        <v>156</v>
      </c>
      <c r="C559" s="201">
        <v>3</v>
      </c>
      <c r="D559" s="201">
        <v>5</v>
      </c>
      <c r="E559" s="201">
        <v>10</v>
      </c>
      <c r="F559" s="201">
        <v>68</v>
      </c>
      <c r="G559" s="201">
        <v>15</v>
      </c>
      <c r="H559" s="201">
        <v>25</v>
      </c>
      <c r="I559" s="201">
        <v>14</v>
      </c>
      <c r="J559" s="201">
        <v>7</v>
      </c>
      <c r="K559" s="201">
        <v>2</v>
      </c>
      <c r="L559" s="201">
        <v>6</v>
      </c>
    </row>
    <row r="560" spans="1:12" s="201" customFormat="1">
      <c r="A560" s="266" t="s">
        <v>666</v>
      </c>
      <c r="B560" s="201">
        <v>227</v>
      </c>
      <c r="C560" s="201">
        <v>4</v>
      </c>
      <c r="D560" s="201">
        <v>6</v>
      </c>
      <c r="E560" s="201">
        <v>29</v>
      </c>
      <c r="F560" s="201">
        <v>17</v>
      </c>
      <c r="G560" s="201">
        <v>112</v>
      </c>
      <c r="H560" s="201">
        <v>37</v>
      </c>
      <c r="I560" s="201">
        <v>9</v>
      </c>
      <c r="J560" s="201">
        <v>7</v>
      </c>
      <c r="K560" s="201">
        <v>3</v>
      </c>
      <c r="L560" s="201">
        <v>3</v>
      </c>
    </row>
    <row r="561" spans="1:12" s="201" customFormat="1">
      <c r="A561" s="266" t="s">
        <v>360</v>
      </c>
      <c r="B561" s="201">
        <v>366</v>
      </c>
      <c r="C561" s="201">
        <v>25</v>
      </c>
      <c r="D561" s="201">
        <v>25</v>
      </c>
      <c r="E561" s="201">
        <v>23</v>
      </c>
      <c r="F561" s="201">
        <v>28</v>
      </c>
      <c r="G561" s="201">
        <v>39</v>
      </c>
      <c r="H561" s="201">
        <v>126</v>
      </c>
      <c r="I561" s="201">
        <v>58</v>
      </c>
      <c r="J561" s="201">
        <v>24</v>
      </c>
      <c r="K561" s="201">
        <v>9</v>
      </c>
      <c r="L561" s="201">
        <v>8</v>
      </c>
    </row>
    <row r="562" spans="1:12" s="201" customFormat="1">
      <c r="A562" s="266" t="s">
        <v>667</v>
      </c>
      <c r="B562" s="201">
        <v>193</v>
      </c>
      <c r="C562" s="201">
        <v>14</v>
      </c>
      <c r="D562" s="201">
        <v>6</v>
      </c>
      <c r="E562" s="201">
        <v>7</v>
      </c>
      <c r="F562" s="201">
        <v>15</v>
      </c>
      <c r="G562" s="201">
        <v>9</v>
      </c>
      <c r="H562" s="201">
        <v>55</v>
      </c>
      <c r="I562" s="201">
        <v>68</v>
      </c>
      <c r="J562" s="201">
        <v>12</v>
      </c>
      <c r="K562" s="201">
        <v>5</v>
      </c>
      <c r="L562" s="201">
        <v>3</v>
      </c>
    </row>
    <row r="563" spans="1:12" s="201" customFormat="1">
      <c r="A563" s="266" t="s">
        <v>668</v>
      </c>
      <c r="B563" s="201">
        <v>111</v>
      </c>
      <c r="C563" s="201">
        <v>9</v>
      </c>
      <c r="D563" s="201">
        <v>14</v>
      </c>
      <c r="E563" s="201">
        <v>7</v>
      </c>
      <c r="F563" s="201">
        <v>7</v>
      </c>
      <c r="G563" s="201">
        <v>7</v>
      </c>
      <c r="H563" s="201">
        <v>22</v>
      </c>
      <c r="I563" s="201">
        <v>12</v>
      </c>
      <c r="J563" s="201">
        <v>29</v>
      </c>
      <c r="K563" s="201">
        <v>3</v>
      </c>
      <c r="L563" s="201">
        <v>2</v>
      </c>
    </row>
    <row r="564" spans="1:12">
      <c r="A564" s="266" t="s">
        <v>669</v>
      </c>
      <c r="B564" s="201">
        <v>29</v>
      </c>
      <c r="C564" s="201">
        <v>6</v>
      </c>
      <c r="D564" s="201">
        <v>1</v>
      </c>
      <c r="E564" s="201">
        <v>1</v>
      </c>
      <c r="F564" s="201">
        <v>2</v>
      </c>
      <c r="G564" s="201">
        <v>3</v>
      </c>
      <c r="H564" s="201">
        <v>8</v>
      </c>
      <c r="I564" s="201">
        <v>4</v>
      </c>
      <c r="J564" s="201">
        <v>2</v>
      </c>
      <c r="K564" s="201">
        <v>2</v>
      </c>
      <c r="L564" s="201">
        <v>1</v>
      </c>
    </row>
    <row r="565" spans="1:12">
      <c r="A565" s="268" t="s">
        <v>670</v>
      </c>
      <c r="B565" s="200">
        <v>82</v>
      </c>
      <c r="C565" s="200">
        <v>2</v>
      </c>
      <c r="D565" s="200">
        <v>2</v>
      </c>
      <c r="E565" s="200">
        <v>2</v>
      </c>
      <c r="F565" s="200">
        <v>2</v>
      </c>
      <c r="G565" s="200">
        <v>3</v>
      </c>
      <c r="H565" s="200">
        <v>15</v>
      </c>
      <c r="I565" s="200">
        <v>3</v>
      </c>
      <c r="J565" s="200">
        <v>1</v>
      </c>
      <c r="K565" s="200">
        <v>1</v>
      </c>
      <c r="L565" s="200">
        <v>50</v>
      </c>
    </row>
    <row r="566" spans="1:12">
      <c r="A566" s="201" t="s">
        <v>672</v>
      </c>
      <c r="B566" s="201"/>
      <c r="C566" s="201"/>
      <c r="D566" s="201"/>
      <c r="E566" s="201"/>
      <c r="F566" s="201"/>
      <c r="G566" s="201"/>
      <c r="H566" s="201"/>
      <c r="I566" s="201"/>
      <c r="J566" s="201"/>
      <c r="K566" s="201"/>
      <c r="L566" s="201"/>
    </row>
    <row r="568" spans="1:12" s="201" customFormat="1"/>
    <row r="569" spans="1:12">
      <c r="A569" s="201"/>
    </row>
    <row r="570" spans="1:12">
      <c r="A570" s="855" t="s">
        <v>697</v>
      </c>
      <c r="B570" s="855"/>
      <c r="C570" s="855"/>
      <c r="D570" s="855"/>
      <c r="E570" s="855"/>
      <c r="F570" s="855"/>
      <c r="G570" s="855"/>
    </row>
    <row r="571" spans="1:12">
      <c r="A571" s="260"/>
      <c r="B571" s="260"/>
      <c r="C571" s="260"/>
      <c r="D571" s="260"/>
      <c r="E571" s="260"/>
      <c r="F571" s="260"/>
      <c r="G571" s="284" t="s">
        <v>694</v>
      </c>
    </row>
    <row r="572" spans="1:12">
      <c r="A572" s="285"/>
      <c r="B572" s="286">
        <v>2013</v>
      </c>
      <c r="C572" s="287">
        <v>2014</v>
      </c>
      <c r="D572" s="287">
        <v>2015</v>
      </c>
      <c r="E572" s="287">
        <v>2016</v>
      </c>
      <c r="F572" s="287">
        <v>2017</v>
      </c>
      <c r="G572" s="287">
        <v>2018</v>
      </c>
    </row>
    <row r="573" spans="1:12">
      <c r="A573" s="15" t="s">
        <v>21</v>
      </c>
      <c r="B573" s="14"/>
      <c r="C573" s="14"/>
      <c r="D573" s="14"/>
      <c r="E573" s="14"/>
      <c r="F573" s="14"/>
      <c r="G573" s="14"/>
    </row>
    <row r="574" spans="1:12">
      <c r="A574" s="288" t="s">
        <v>37</v>
      </c>
      <c r="B574" s="13">
        <v>8144</v>
      </c>
      <c r="C574" s="13">
        <v>10230</v>
      </c>
      <c r="D574" s="13">
        <v>10490</v>
      </c>
      <c r="E574" s="13">
        <v>10771.652254326058</v>
      </c>
      <c r="F574" s="13">
        <v>11557.033844917567</v>
      </c>
      <c r="G574" s="13">
        <v>12438</v>
      </c>
    </row>
    <row r="575" spans="1:12">
      <c r="A575" s="288" t="s">
        <v>38</v>
      </c>
      <c r="B575" s="13">
        <v>11730</v>
      </c>
      <c r="C575" s="13">
        <v>10584</v>
      </c>
      <c r="D575" s="13">
        <v>10962</v>
      </c>
      <c r="E575" s="13">
        <v>11953.521212477279</v>
      </c>
      <c r="F575" s="13">
        <v>12695.598551411398</v>
      </c>
      <c r="G575" s="13">
        <v>13299</v>
      </c>
    </row>
    <row r="576" spans="1:12">
      <c r="A576" s="288" t="s">
        <v>39</v>
      </c>
      <c r="B576" s="13">
        <v>15985</v>
      </c>
      <c r="C576" s="13">
        <v>15949</v>
      </c>
      <c r="D576" s="13">
        <v>17150</v>
      </c>
      <c r="E576" s="13">
        <v>18986.617545944344</v>
      </c>
      <c r="F576" s="13">
        <v>20077.245353236714</v>
      </c>
      <c r="G576" s="13">
        <v>20934</v>
      </c>
    </row>
    <row r="577" spans="1:32">
      <c r="A577" s="288" t="s">
        <v>40</v>
      </c>
      <c r="B577" s="13">
        <v>880</v>
      </c>
      <c r="C577" s="13">
        <v>1041</v>
      </c>
      <c r="D577" s="13">
        <v>1058</v>
      </c>
      <c r="E577" s="13">
        <v>1102.8053175033033</v>
      </c>
      <c r="F577" s="13">
        <v>1175.0163992303337</v>
      </c>
      <c r="G577" s="13">
        <v>1290</v>
      </c>
    </row>
    <row r="578" spans="1:32">
      <c r="A578" s="289" t="s">
        <v>1</v>
      </c>
      <c r="B578" s="290">
        <v>36739</v>
      </c>
      <c r="C578" s="290">
        <v>37804</v>
      </c>
      <c r="D578" s="290">
        <v>39660</v>
      </c>
      <c r="E578" s="290">
        <v>42815</v>
      </c>
      <c r="F578" s="290">
        <v>45505</v>
      </c>
      <c r="G578" s="290">
        <v>47960</v>
      </c>
    </row>
    <row r="579" spans="1:32">
      <c r="A579" s="15" t="s">
        <v>34</v>
      </c>
      <c r="B579" s="13">
        <v>1591851</v>
      </c>
      <c r="C579" s="13">
        <v>1862793</v>
      </c>
      <c r="D579" s="13">
        <v>1916722</v>
      </c>
      <c r="E579" s="13">
        <v>1989798</v>
      </c>
      <c r="F579" s="13">
        <v>2120987</v>
      </c>
      <c r="G579" s="13">
        <v>2281083</v>
      </c>
    </row>
    <row r="580" spans="1:32">
      <c r="A580" s="15" t="s">
        <v>41</v>
      </c>
      <c r="B580" s="13">
        <v>589</v>
      </c>
      <c r="C580" s="13">
        <v>578</v>
      </c>
      <c r="D580" s="13">
        <v>540</v>
      </c>
      <c r="E580" s="13">
        <v>581</v>
      </c>
      <c r="F580" s="13">
        <v>546</v>
      </c>
      <c r="G580" s="13">
        <v>516</v>
      </c>
    </row>
    <row r="581" spans="1:32">
      <c r="A581" s="291" t="s">
        <v>695</v>
      </c>
      <c r="B581" s="292">
        <v>98845</v>
      </c>
      <c r="C581" s="292">
        <v>99827</v>
      </c>
      <c r="D581" s="292">
        <v>96406</v>
      </c>
      <c r="E581" s="292">
        <v>101480</v>
      </c>
      <c r="F581" s="292">
        <v>100399</v>
      </c>
      <c r="G581" s="292">
        <v>88551</v>
      </c>
    </row>
    <row r="582" spans="1:32">
      <c r="A582" s="876" t="s">
        <v>696</v>
      </c>
      <c r="B582" s="876"/>
      <c r="C582" s="876"/>
      <c r="D582" s="876"/>
      <c r="E582" s="876"/>
      <c r="F582" s="876"/>
      <c r="G582" s="876"/>
    </row>
    <row r="583" spans="1:32">
      <c r="A583" s="877" t="s">
        <v>698</v>
      </c>
      <c r="B583" s="877"/>
      <c r="C583" s="877"/>
      <c r="D583" s="877"/>
      <c r="E583" s="877"/>
      <c r="F583" s="877"/>
      <c r="G583" s="877"/>
    </row>
    <row r="588" spans="1:32">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c r="AC588" s="201"/>
      <c r="AD588" s="201"/>
    </row>
    <row r="589" spans="1:32">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1:32" ht="15.6">
      <c r="A590" s="143" t="s">
        <v>716</v>
      </c>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1:32" ht="15.6">
      <c r="A591" s="115" t="s">
        <v>331</v>
      </c>
      <c r="B591" s="868" t="s">
        <v>674</v>
      </c>
      <c r="C591" s="868"/>
      <c r="D591" s="868"/>
      <c r="E591" s="868"/>
      <c r="F591" s="868"/>
      <c r="G591" s="868"/>
      <c r="H591" s="868"/>
      <c r="I591" s="868"/>
      <c r="J591" s="868"/>
      <c r="K591" s="868"/>
      <c r="L591" s="868"/>
      <c r="M591" s="201"/>
      <c r="N591" s="201"/>
      <c r="O591" s="201"/>
      <c r="P591" s="201"/>
      <c r="Q591" s="201"/>
      <c r="R591" s="201"/>
      <c r="S591" s="201"/>
      <c r="T591" s="201"/>
      <c r="U591" s="201"/>
      <c r="V591" s="201"/>
      <c r="W591" s="201"/>
      <c r="X591" s="201"/>
      <c r="Y591" s="201"/>
      <c r="Z591" s="201"/>
      <c r="AA591" s="201"/>
      <c r="AB591" s="201"/>
      <c r="AC591" s="201"/>
      <c r="AD591" s="201"/>
      <c r="AE591" s="201"/>
      <c r="AF591" s="201"/>
    </row>
    <row r="592" spans="1:32">
      <c r="A592" s="201"/>
      <c r="B592" s="267" t="s">
        <v>661</v>
      </c>
      <c r="C592" s="270" t="s">
        <v>662</v>
      </c>
      <c r="D592" s="273" t="s">
        <v>663</v>
      </c>
      <c r="E592" s="275" t="s">
        <v>664</v>
      </c>
      <c r="F592" s="43" t="s">
        <v>665</v>
      </c>
      <c r="G592" s="278" t="s">
        <v>666</v>
      </c>
      <c r="H592" s="201" t="s">
        <v>360</v>
      </c>
      <c r="I592" s="280" t="s">
        <v>667</v>
      </c>
      <c r="J592" s="281" t="s">
        <v>668</v>
      </c>
      <c r="K592" s="267" t="s">
        <v>669</v>
      </c>
      <c r="L592" s="267" t="s">
        <v>670</v>
      </c>
      <c r="M592" s="201"/>
      <c r="N592" s="201"/>
      <c r="O592" s="201"/>
      <c r="P592" s="201"/>
      <c r="Q592" s="201"/>
      <c r="R592" s="201"/>
      <c r="S592" s="201"/>
      <c r="T592" s="201"/>
      <c r="U592" s="201"/>
      <c r="V592" s="201"/>
      <c r="W592" s="201"/>
      <c r="X592" s="201"/>
      <c r="Y592" s="201"/>
      <c r="Z592" s="201"/>
      <c r="AA592" s="201"/>
      <c r="AB592" s="201"/>
      <c r="AC592" s="201"/>
      <c r="AD592" s="201"/>
      <c r="AE592" s="201"/>
      <c r="AF592" s="201"/>
    </row>
    <row r="593" spans="1:32" ht="15.6">
      <c r="A593" s="269" t="s">
        <v>673</v>
      </c>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c r="AE593" s="201"/>
      <c r="AF593" s="201"/>
    </row>
    <row r="594" spans="1:32">
      <c r="A594" s="266" t="s">
        <v>671</v>
      </c>
      <c r="B594" s="7">
        <f>B492/B555</f>
        <v>7.2151344590368982</v>
      </c>
      <c r="C594" s="7">
        <f t="shared" ref="C594:L594" si="219">C492/C555</f>
        <v>6.6384615384615389</v>
      </c>
      <c r="D594" s="7">
        <f t="shared" si="219"/>
        <v>6.3402777777777777</v>
      </c>
      <c r="E594" s="7">
        <f t="shared" si="219"/>
        <v>6.5875000000000004</v>
      </c>
      <c r="F594" s="7">
        <f t="shared" si="219"/>
        <v>7.4683544303797467</v>
      </c>
      <c r="G594" s="7">
        <f t="shared" si="219"/>
        <v>8.0701754385964914</v>
      </c>
      <c r="H594" s="7">
        <f>H492/H555</f>
        <v>6.1033519553072626</v>
      </c>
      <c r="I594" s="7">
        <f t="shared" si="219"/>
        <v>6.59375</v>
      </c>
      <c r="J594" s="7">
        <f t="shared" si="219"/>
        <v>6.1100917431192663</v>
      </c>
      <c r="K594" s="7">
        <f t="shared" si="219"/>
        <v>11.457142857142857</v>
      </c>
      <c r="L594" s="7">
        <f t="shared" si="219"/>
        <v>13.752941176470589</v>
      </c>
      <c r="M594" s="201"/>
      <c r="N594" s="201"/>
      <c r="O594" s="201"/>
      <c r="P594" s="201"/>
      <c r="Q594" s="201"/>
      <c r="R594" s="201"/>
      <c r="S594" s="201"/>
      <c r="T594" s="201"/>
      <c r="U594" s="201"/>
      <c r="V594" s="201"/>
      <c r="W594" s="201"/>
      <c r="X594" s="201"/>
      <c r="Y594" s="201"/>
      <c r="Z594" s="201"/>
      <c r="AA594" s="201"/>
      <c r="AB594" s="201"/>
      <c r="AC594" s="201"/>
      <c r="AD594" s="201"/>
      <c r="AE594" s="201"/>
      <c r="AF594" s="201"/>
    </row>
    <row r="595" spans="1:32">
      <c r="A595" s="266" t="s">
        <v>662</v>
      </c>
      <c r="B595" s="7">
        <f t="shared" ref="B595:L604" si="220">B493/B556</f>
        <v>7.3970588235294121</v>
      </c>
      <c r="C595" s="7">
        <f t="shared" si="220"/>
        <v>5.9215686274509807</v>
      </c>
      <c r="D595" s="7">
        <f t="shared" si="220"/>
        <v>5.6363636363636367</v>
      </c>
      <c r="E595" s="7">
        <f t="shared" si="220"/>
        <v>8.5</v>
      </c>
      <c r="F595" s="7">
        <f t="shared" si="220"/>
        <v>12.5</v>
      </c>
      <c r="G595" s="7">
        <f t="shared" si="220"/>
        <v>13</v>
      </c>
      <c r="H595" s="7">
        <f t="shared" si="220"/>
        <v>6.6</v>
      </c>
      <c r="I595" s="7">
        <f t="shared" si="220"/>
        <v>7.8571428571428568</v>
      </c>
      <c r="J595" s="7">
        <f t="shared" si="220"/>
        <v>5.2222222222222223</v>
      </c>
      <c r="K595" s="7">
        <f t="shared" si="220"/>
        <v>11</v>
      </c>
      <c r="L595" s="7">
        <f t="shared" si="220"/>
        <v>15.833333333333334</v>
      </c>
      <c r="M595" s="201"/>
      <c r="N595" s="201"/>
      <c r="O595" s="201"/>
      <c r="P595" s="201"/>
      <c r="Q595" s="201"/>
      <c r="R595" s="201"/>
      <c r="S595" s="201"/>
      <c r="T595" s="201"/>
      <c r="U595" s="201"/>
      <c r="V595" s="201"/>
      <c r="W595" s="201"/>
      <c r="X595" s="201"/>
      <c r="Y595" s="201"/>
      <c r="Z595" s="201"/>
      <c r="AA595" s="201"/>
      <c r="AB595" s="201"/>
      <c r="AC595" s="201"/>
      <c r="AD595" s="201"/>
      <c r="AE595" s="201"/>
      <c r="AF595" s="201"/>
    </row>
    <row r="596" spans="1:32">
      <c r="A596" s="266" t="s">
        <v>663</v>
      </c>
      <c r="B596" s="7">
        <f t="shared" si="220"/>
        <v>5.8</v>
      </c>
      <c r="C596" s="7">
        <f t="shared" si="220"/>
        <v>4.4000000000000004</v>
      </c>
      <c r="D596" s="7">
        <f t="shared" si="220"/>
        <v>4.5538461538461537</v>
      </c>
      <c r="E596" s="7">
        <f t="shared" si="220"/>
        <v>6.2</v>
      </c>
      <c r="F596" s="7">
        <f t="shared" si="220"/>
        <v>11</v>
      </c>
      <c r="G596" s="7">
        <f t="shared" si="220"/>
        <v>10.6</v>
      </c>
      <c r="H596" s="7">
        <f t="shared" si="220"/>
        <v>7.125</v>
      </c>
      <c r="I596" s="7">
        <f t="shared" si="220"/>
        <v>6.833333333333333</v>
      </c>
      <c r="J596" s="7">
        <f t="shared" si="220"/>
        <v>3.5</v>
      </c>
      <c r="K596" s="7">
        <f t="shared" si="220"/>
        <v>14</v>
      </c>
      <c r="L596" s="7">
        <f t="shared" si="220"/>
        <v>14.666666666666666</v>
      </c>
      <c r="M596" s="201"/>
      <c r="N596" s="201"/>
      <c r="O596" s="201"/>
      <c r="P596" s="201"/>
      <c r="Q596" s="201"/>
      <c r="R596" s="201"/>
      <c r="S596" s="201"/>
      <c r="T596" s="201"/>
      <c r="U596" s="201"/>
      <c r="V596" s="201"/>
      <c r="W596" s="201"/>
      <c r="X596" s="201"/>
      <c r="Y596" s="201"/>
      <c r="Z596" s="201"/>
      <c r="AA596" s="201"/>
      <c r="AB596" s="201"/>
      <c r="AC596" s="201"/>
      <c r="AD596" s="201"/>
      <c r="AE596" s="201"/>
      <c r="AF596" s="201"/>
    </row>
    <row r="597" spans="1:32">
      <c r="A597" s="266" t="s">
        <v>664</v>
      </c>
      <c r="B597" s="7">
        <f t="shared" si="220"/>
        <v>6.8301886792452828</v>
      </c>
      <c r="C597" s="7">
        <f t="shared" si="220"/>
        <v>6.6</v>
      </c>
      <c r="D597" s="7">
        <f t="shared" si="220"/>
        <v>8.3000000000000007</v>
      </c>
      <c r="E597" s="7">
        <f t="shared" si="220"/>
        <v>5.6969696969696972</v>
      </c>
      <c r="F597" s="7">
        <f t="shared" si="220"/>
        <v>10.6</v>
      </c>
      <c r="G597" s="7">
        <f t="shared" si="220"/>
        <v>6.4</v>
      </c>
      <c r="H597" s="7">
        <f t="shared" si="220"/>
        <v>7</v>
      </c>
      <c r="I597" s="7">
        <f t="shared" si="220"/>
        <v>8</v>
      </c>
      <c r="J597" s="7">
        <f t="shared" si="220"/>
        <v>7.833333333333333</v>
      </c>
      <c r="K597" s="7">
        <f t="shared" si="220"/>
        <v>11</v>
      </c>
      <c r="L597" s="7">
        <f t="shared" si="220"/>
        <v>10.5</v>
      </c>
      <c r="M597" s="201"/>
      <c r="N597" s="201"/>
      <c r="O597" s="201"/>
      <c r="P597" s="201"/>
      <c r="Q597" s="201"/>
      <c r="R597" s="201"/>
      <c r="S597" s="201"/>
      <c r="T597" s="201"/>
      <c r="U597" s="201"/>
      <c r="V597" s="201"/>
      <c r="W597" s="201"/>
      <c r="X597" s="201"/>
      <c r="Y597" s="201"/>
      <c r="Z597" s="201"/>
      <c r="AA597" s="201"/>
      <c r="AB597" s="201"/>
      <c r="AC597" s="201"/>
      <c r="AD597" s="201"/>
      <c r="AE597" s="201"/>
      <c r="AF597" s="201"/>
    </row>
    <row r="598" spans="1:32">
      <c r="A598" s="266" t="s">
        <v>665</v>
      </c>
      <c r="B598" s="7">
        <f t="shared" si="220"/>
        <v>6.4743589743589745</v>
      </c>
      <c r="C598" s="7">
        <f t="shared" si="220"/>
        <v>8.3333333333333339</v>
      </c>
      <c r="D598" s="7">
        <f t="shared" si="220"/>
        <v>9.4</v>
      </c>
      <c r="E598" s="7">
        <f t="shared" si="220"/>
        <v>6.6</v>
      </c>
      <c r="F598" s="7">
        <f t="shared" si="220"/>
        <v>5.2941176470588234</v>
      </c>
      <c r="G598" s="7">
        <f t="shared" si="220"/>
        <v>7.5333333333333332</v>
      </c>
      <c r="H598" s="7">
        <f t="shared" si="220"/>
        <v>5.44</v>
      </c>
      <c r="I598" s="7">
        <f t="shared" si="220"/>
        <v>6.4285714285714288</v>
      </c>
      <c r="J598" s="7">
        <f t="shared" si="220"/>
        <v>8</v>
      </c>
      <c r="K598" s="7">
        <f t="shared" si="220"/>
        <v>18.5</v>
      </c>
      <c r="L598" s="7">
        <f t="shared" si="220"/>
        <v>13.333333333333334</v>
      </c>
      <c r="M598" s="201"/>
      <c r="N598" s="201"/>
      <c r="O598" s="201"/>
      <c r="P598" s="201"/>
      <c r="Q598" s="201"/>
      <c r="R598" s="201"/>
      <c r="S598" s="201"/>
      <c r="T598" s="201"/>
      <c r="U598" s="201"/>
      <c r="V598" s="201"/>
      <c r="W598" s="201"/>
      <c r="X598" s="201"/>
      <c r="Y598" s="201"/>
      <c r="Z598" s="201"/>
      <c r="AA598" s="201"/>
      <c r="AB598" s="201"/>
      <c r="AC598" s="201"/>
      <c r="AD598" s="201"/>
      <c r="AE598" s="201"/>
      <c r="AF598" s="201"/>
    </row>
    <row r="599" spans="1:32">
      <c r="A599" s="266" t="s">
        <v>666</v>
      </c>
      <c r="B599" s="7">
        <f t="shared" si="220"/>
        <v>6.6872246696035242</v>
      </c>
      <c r="C599" s="7">
        <f t="shared" si="220"/>
        <v>4</v>
      </c>
      <c r="D599" s="7">
        <f t="shared" si="220"/>
        <v>5</v>
      </c>
      <c r="E599" s="7">
        <f t="shared" si="220"/>
        <v>6</v>
      </c>
      <c r="F599" s="7">
        <f t="shared" si="220"/>
        <v>9.1764705882352935</v>
      </c>
      <c r="G599" s="7">
        <f t="shared" si="220"/>
        <v>6.3571428571428568</v>
      </c>
      <c r="H599" s="7">
        <f t="shared" si="220"/>
        <v>6.7297297297297298</v>
      </c>
      <c r="I599" s="7">
        <f t="shared" si="220"/>
        <v>6.666666666666667</v>
      </c>
      <c r="J599" s="7">
        <f t="shared" si="220"/>
        <v>7.5714285714285712</v>
      </c>
      <c r="K599" s="7">
        <f t="shared" si="220"/>
        <v>8.6666666666666661</v>
      </c>
      <c r="L599" s="7">
        <f t="shared" si="220"/>
        <v>14.333333333333334</v>
      </c>
      <c r="M599" s="201"/>
      <c r="N599" s="201"/>
      <c r="O599" s="201"/>
      <c r="P599" s="201"/>
      <c r="Q599" s="201"/>
      <c r="R599" s="201"/>
      <c r="S599" s="201"/>
      <c r="T599" s="201"/>
      <c r="U599" s="201"/>
      <c r="V599" s="201"/>
      <c r="W599" s="201"/>
      <c r="X599" s="201"/>
      <c r="Y599" s="201"/>
      <c r="Z599" s="201"/>
      <c r="AA599" s="201"/>
      <c r="AB599" s="201"/>
      <c r="AC599" s="201"/>
      <c r="AD599" s="201"/>
      <c r="AE599" s="201"/>
      <c r="AF599" s="201"/>
    </row>
    <row r="600" spans="1:32">
      <c r="A600" s="266" t="s">
        <v>360</v>
      </c>
      <c r="B600" s="7">
        <f t="shared" si="220"/>
        <v>7.4890710382513666</v>
      </c>
      <c r="C600" s="7">
        <f t="shared" si="220"/>
        <v>7.6</v>
      </c>
      <c r="D600" s="7">
        <f t="shared" si="220"/>
        <v>9.52</v>
      </c>
      <c r="E600" s="7">
        <f t="shared" si="220"/>
        <v>9.9130434782608692</v>
      </c>
      <c r="F600" s="7">
        <f t="shared" si="220"/>
        <v>8.3928571428571423</v>
      </c>
      <c r="G600" s="7">
        <f t="shared" si="220"/>
        <v>12.564102564102564</v>
      </c>
      <c r="H600" s="7">
        <f t="shared" si="220"/>
        <v>4.8730158730158726</v>
      </c>
      <c r="I600" s="7">
        <f t="shared" si="220"/>
        <v>6.4482758620689653</v>
      </c>
      <c r="J600" s="7">
        <f t="shared" si="220"/>
        <v>7.416666666666667</v>
      </c>
      <c r="K600" s="7">
        <f t="shared" si="220"/>
        <v>12</v>
      </c>
      <c r="L600" s="7">
        <f t="shared" si="220"/>
        <v>10.75</v>
      </c>
      <c r="M600" s="201"/>
      <c r="N600" s="201"/>
      <c r="O600" s="201"/>
      <c r="P600" s="201"/>
      <c r="Q600" s="201"/>
      <c r="R600" s="201"/>
      <c r="S600" s="201"/>
      <c r="T600" s="201"/>
      <c r="U600" s="201"/>
      <c r="V600" s="201"/>
      <c r="W600" s="201"/>
      <c r="X600" s="201"/>
      <c r="Y600" s="201"/>
      <c r="Z600" s="201"/>
      <c r="AA600" s="201"/>
      <c r="AB600" s="201"/>
      <c r="AC600" s="201"/>
      <c r="AD600" s="201"/>
      <c r="AE600" s="201"/>
      <c r="AF600" s="201"/>
    </row>
    <row r="601" spans="1:32">
      <c r="A601" s="266" t="s">
        <v>667</v>
      </c>
      <c r="B601" s="7">
        <f t="shared" si="220"/>
        <v>6.7772020725388602</v>
      </c>
      <c r="C601" s="7">
        <f t="shared" si="220"/>
        <v>7.6428571428571432</v>
      </c>
      <c r="D601" s="7">
        <f t="shared" si="220"/>
        <v>8</v>
      </c>
      <c r="E601" s="7">
        <f t="shared" si="220"/>
        <v>7</v>
      </c>
      <c r="F601" s="7">
        <f t="shared" si="220"/>
        <v>8</v>
      </c>
      <c r="G601" s="7">
        <f t="shared" si="220"/>
        <v>10.111111111111111</v>
      </c>
      <c r="H601" s="7">
        <f t="shared" si="220"/>
        <v>5.4545454545454541</v>
      </c>
      <c r="I601" s="7">
        <f t="shared" si="220"/>
        <v>6.1911764705882355</v>
      </c>
      <c r="J601" s="7">
        <f t="shared" si="220"/>
        <v>6.083333333333333</v>
      </c>
      <c r="K601" s="7">
        <f t="shared" si="220"/>
        <v>9.6</v>
      </c>
      <c r="L601" s="7">
        <f t="shared" si="220"/>
        <v>17</v>
      </c>
      <c r="M601" s="201"/>
      <c r="N601" s="201"/>
      <c r="O601" s="201"/>
      <c r="P601" s="201"/>
      <c r="Q601" s="201"/>
      <c r="R601" s="201"/>
      <c r="S601" s="201"/>
      <c r="T601" s="201"/>
      <c r="U601" s="201"/>
      <c r="V601" s="201"/>
      <c r="W601" s="201"/>
      <c r="X601" s="201"/>
      <c r="Y601" s="201"/>
      <c r="Z601" s="201"/>
      <c r="AA601" s="201"/>
      <c r="AB601" s="201"/>
      <c r="AC601" s="201"/>
      <c r="AD601" s="201"/>
      <c r="AE601" s="201"/>
      <c r="AF601" s="201"/>
    </row>
    <row r="602" spans="1:32">
      <c r="A602" s="266" t="s">
        <v>668</v>
      </c>
      <c r="B602" s="7">
        <f t="shared" si="220"/>
        <v>6.2792792792792795</v>
      </c>
      <c r="C602" s="7">
        <f t="shared" si="220"/>
        <v>6.4444444444444446</v>
      </c>
      <c r="D602" s="7">
        <f t="shared" si="220"/>
        <v>5.2142857142857144</v>
      </c>
      <c r="E602" s="7">
        <f t="shared" si="220"/>
        <v>6.4285714285714288</v>
      </c>
      <c r="F602" s="7">
        <f t="shared" si="220"/>
        <v>9.1428571428571423</v>
      </c>
      <c r="G602" s="7">
        <f t="shared" si="220"/>
        <v>6.8571428571428568</v>
      </c>
      <c r="H602" s="7">
        <f t="shared" si="220"/>
        <v>5.5454545454545459</v>
      </c>
      <c r="I602" s="7">
        <f t="shared" si="220"/>
        <v>5.166666666666667</v>
      </c>
      <c r="J602" s="7">
        <f t="shared" si="220"/>
        <v>5.3793103448275863</v>
      </c>
      <c r="K602" s="7">
        <f t="shared" si="220"/>
        <v>12.333333333333334</v>
      </c>
      <c r="L602" s="7">
        <f t="shared" si="220"/>
        <v>15.5</v>
      </c>
      <c r="M602" s="201"/>
      <c r="N602" s="201"/>
      <c r="O602" s="201"/>
      <c r="P602" s="201"/>
      <c r="Q602" s="201"/>
      <c r="R602" s="201"/>
      <c r="S602" s="201"/>
      <c r="T602" s="201"/>
      <c r="U602" s="201"/>
      <c r="V602" s="201"/>
      <c r="W602" s="201"/>
      <c r="X602" s="201"/>
      <c r="Y602" s="201"/>
      <c r="Z602" s="201"/>
      <c r="AA602" s="201"/>
      <c r="AB602" s="201"/>
      <c r="AC602" s="201"/>
      <c r="AD602" s="201"/>
      <c r="AE602" s="201"/>
      <c r="AF602" s="201"/>
    </row>
    <row r="603" spans="1:32">
      <c r="A603" s="266" t="s">
        <v>669</v>
      </c>
      <c r="B603" s="7">
        <f t="shared" si="220"/>
        <v>7.9655172413793105</v>
      </c>
      <c r="C603" s="7">
        <f t="shared" si="220"/>
        <v>9.1666666666666661</v>
      </c>
      <c r="D603" s="7">
        <f t="shared" si="220"/>
        <v>12</v>
      </c>
      <c r="E603" s="7">
        <f t="shared" si="220"/>
        <v>3</v>
      </c>
      <c r="F603" s="7">
        <f t="shared" si="220"/>
        <v>6</v>
      </c>
      <c r="G603" s="7">
        <f t="shared" si="220"/>
        <v>8.6666666666666661</v>
      </c>
      <c r="H603" s="7">
        <f t="shared" si="220"/>
        <v>6.375</v>
      </c>
      <c r="I603" s="7">
        <f t="shared" si="220"/>
        <v>6.25</v>
      </c>
      <c r="J603" s="7">
        <f t="shared" si="220"/>
        <v>2.5</v>
      </c>
      <c r="K603" s="7">
        <f t="shared" si="220"/>
        <v>13.5</v>
      </c>
      <c r="L603" s="7">
        <f t="shared" si="220"/>
        <v>15</v>
      </c>
      <c r="M603" s="201"/>
      <c r="N603" s="201"/>
      <c r="O603" s="201"/>
      <c r="P603" s="201"/>
      <c r="Q603" s="201"/>
      <c r="R603" s="201"/>
      <c r="S603" s="201"/>
      <c r="T603" s="201"/>
      <c r="U603" s="201"/>
      <c r="V603" s="201"/>
      <c r="W603" s="201"/>
      <c r="X603" s="201"/>
      <c r="Y603" s="201"/>
      <c r="Z603" s="201"/>
      <c r="AA603" s="201"/>
      <c r="AB603" s="201"/>
      <c r="AC603" s="201"/>
      <c r="AD603" s="201"/>
      <c r="AE603" s="201"/>
      <c r="AF603" s="201"/>
    </row>
    <row r="604" spans="1:32">
      <c r="A604" s="268" t="s">
        <v>670</v>
      </c>
      <c r="B604" s="258">
        <f t="shared" si="220"/>
        <v>13.75609756097561</v>
      </c>
      <c r="C604" s="258">
        <f t="shared" si="220"/>
        <v>16</v>
      </c>
      <c r="D604" s="258">
        <f t="shared" si="220"/>
        <v>11.5</v>
      </c>
      <c r="E604" s="258">
        <f t="shared" si="220"/>
        <v>9</v>
      </c>
      <c r="F604" s="258">
        <f t="shared" si="220"/>
        <v>16</v>
      </c>
      <c r="G604" s="258">
        <f t="shared" si="220"/>
        <v>16.666666666666668</v>
      </c>
      <c r="H604" s="258">
        <f t="shared" si="220"/>
        <v>15.4</v>
      </c>
      <c r="I604" s="258">
        <f t="shared" si="220"/>
        <v>11.666666666666666</v>
      </c>
      <c r="J604" s="258">
        <f t="shared" si="220"/>
        <v>10</v>
      </c>
      <c r="K604" s="258">
        <f t="shared" si="220"/>
        <v>15</v>
      </c>
      <c r="L604" s="258">
        <f t="shared" si="220"/>
        <v>13.64</v>
      </c>
      <c r="M604" s="201"/>
      <c r="N604" s="201"/>
      <c r="O604" s="201"/>
      <c r="P604" s="201"/>
      <c r="Q604" s="201"/>
      <c r="R604" s="201"/>
      <c r="S604" s="201"/>
      <c r="T604" s="201"/>
      <c r="U604" s="201"/>
      <c r="V604" s="201"/>
      <c r="W604" s="201"/>
      <c r="X604" s="201"/>
      <c r="Y604" s="201"/>
      <c r="Z604" s="201"/>
      <c r="AA604" s="201"/>
      <c r="AB604" s="201"/>
      <c r="AC604" s="201"/>
      <c r="AD604" s="201"/>
      <c r="AE604" s="201"/>
      <c r="AF604" s="201"/>
    </row>
    <row r="605" spans="1:32">
      <c r="A605" s="201" t="s">
        <v>718</v>
      </c>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c r="AC605" s="201"/>
      <c r="AD605" s="201"/>
      <c r="AE605" s="201"/>
      <c r="AF605" s="201"/>
    </row>
    <row r="606" spans="1:32">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c r="AC606" s="201"/>
      <c r="AD606" s="201"/>
      <c r="AE606" s="201"/>
      <c r="AF606" s="201"/>
    </row>
    <row r="607" spans="1:32">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c r="AC607" s="201"/>
      <c r="AD607" s="201"/>
      <c r="AE607" s="201"/>
      <c r="AF607" s="201"/>
    </row>
    <row r="608" spans="1:32">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c r="AC608" s="201"/>
      <c r="AD608" s="201"/>
      <c r="AE608" s="201"/>
      <c r="AF608" s="201"/>
    </row>
    <row r="609" spans="1:32">
      <c r="A609" s="115" t="s">
        <v>678</v>
      </c>
      <c r="B609" s="875" t="s">
        <v>679</v>
      </c>
      <c r="C609" s="875"/>
      <c r="D609" s="875"/>
      <c r="E609" s="875"/>
      <c r="F609" s="875"/>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c r="AE609" s="201"/>
      <c r="AF609" s="201"/>
    </row>
    <row r="610" spans="1:32">
      <c r="A610" s="270" t="s">
        <v>662</v>
      </c>
      <c r="B610" s="201" t="s">
        <v>383</v>
      </c>
      <c r="C610" s="201" t="s">
        <v>382</v>
      </c>
      <c r="D610" s="201" t="s">
        <v>384</v>
      </c>
      <c r="E610" s="201" t="s">
        <v>381</v>
      </c>
      <c r="F610" s="201" t="s">
        <v>378</v>
      </c>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c r="AE610" s="201"/>
      <c r="AF610" s="201"/>
    </row>
    <row r="611" spans="1:32">
      <c r="A611" s="273" t="s">
        <v>663</v>
      </c>
      <c r="B611" s="201" t="s">
        <v>379</v>
      </c>
      <c r="C611" s="201" t="s">
        <v>380</v>
      </c>
      <c r="D611" s="201" t="s">
        <v>377</v>
      </c>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c r="AE611" s="201"/>
      <c r="AF611" s="201"/>
    </row>
    <row r="612" spans="1:32">
      <c r="A612" s="275" t="s">
        <v>664</v>
      </c>
      <c r="B612" s="201" t="s">
        <v>371</v>
      </c>
      <c r="C612" s="201" t="s">
        <v>375</v>
      </c>
      <c r="D612" s="201" t="s">
        <v>374</v>
      </c>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c r="AE612" s="201"/>
      <c r="AF612" s="201"/>
    </row>
    <row r="613" spans="1:32">
      <c r="A613" s="43" t="s">
        <v>665</v>
      </c>
      <c r="B613" s="201" t="s">
        <v>359</v>
      </c>
      <c r="C613" s="201" t="s">
        <v>362</v>
      </c>
      <c r="D613" s="201" t="s">
        <v>369</v>
      </c>
      <c r="E613" s="201" t="s">
        <v>376</v>
      </c>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c r="A614" s="278" t="s">
        <v>666</v>
      </c>
      <c r="B614" s="201" t="s">
        <v>373</v>
      </c>
      <c r="C614" s="201" t="s">
        <v>372</v>
      </c>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c r="AE614" s="201"/>
      <c r="AF614" s="201"/>
    </row>
    <row r="615" spans="1:32">
      <c r="A615" s="201" t="s">
        <v>360</v>
      </c>
      <c r="B615" s="201" t="s">
        <v>360</v>
      </c>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80" t="s">
        <v>667</v>
      </c>
      <c r="B616" s="201" t="s">
        <v>361</v>
      </c>
      <c r="C616" s="201" t="s">
        <v>366</v>
      </c>
      <c r="D616" s="201" t="s">
        <v>680</v>
      </c>
      <c r="E616" s="201" t="s">
        <v>365</v>
      </c>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c r="A617" s="281" t="s">
        <v>668</v>
      </c>
      <c r="B617" s="200" t="s">
        <v>363</v>
      </c>
      <c r="C617" s="200" t="s">
        <v>367</v>
      </c>
      <c r="D617" s="200" t="s">
        <v>681</v>
      </c>
      <c r="E617" s="200" t="s">
        <v>368</v>
      </c>
      <c r="F617" s="200"/>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c r="AC618" s="201"/>
      <c r="AD618" s="201"/>
      <c r="AE618" s="201"/>
      <c r="AF618" s="201"/>
    </row>
    <row r="619" spans="1:32">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c r="AC619" s="201"/>
      <c r="AD619" s="201"/>
      <c r="AE619" s="201"/>
      <c r="AF619" s="201"/>
    </row>
    <row r="620" spans="1:32">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c r="AC620" s="201"/>
      <c r="AD620" s="201"/>
      <c r="AE620" s="201"/>
      <c r="AF620" s="201"/>
    </row>
    <row r="621" spans="1:32">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c r="AE621" s="201"/>
      <c r="AF621" s="201"/>
    </row>
    <row r="622" spans="1:32" ht="15.6">
      <c r="A622" s="143" t="s">
        <v>716</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115"/>
      <c r="B623" s="115" t="s">
        <v>63</v>
      </c>
      <c r="C623" s="115" t="str">
        <f>C521</f>
        <v>IE</v>
      </c>
      <c r="D623" s="115" t="str">
        <f t="shared" ref="D623:AC623" si="221">D521</f>
        <v>IE-CW</v>
      </c>
      <c r="E623" s="115" t="str">
        <f t="shared" si="221"/>
        <v>IE-D</v>
      </c>
      <c r="F623" s="115" t="str">
        <f t="shared" si="221"/>
        <v>IE-KE</v>
      </c>
      <c r="G623" s="115" t="str">
        <f t="shared" si="221"/>
        <v>IE-KK</v>
      </c>
      <c r="H623" s="115" t="str">
        <f t="shared" si="221"/>
        <v>IE-LS</v>
      </c>
      <c r="I623" s="115" t="str">
        <f t="shared" si="221"/>
        <v>IE-LD</v>
      </c>
      <c r="J623" s="115" t="str">
        <f t="shared" si="221"/>
        <v>IE-LH</v>
      </c>
      <c r="K623" s="115" t="str">
        <f t="shared" si="221"/>
        <v>IE-MH</v>
      </c>
      <c r="L623" s="115" t="str">
        <f t="shared" si="221"/>
        <v>IE-OY</v>
      </c>
      <c r="M623" s="115" t="str">
        <f t="shared" si="221"/>
        <v>IE-WH</v>
      </c>
      <c r="N623" s="115" t="str">
        <f t="shared" si="221"/>
        <v>IE-WX</v>
      </c>
      <c r="O623" s="115" t="str">
        <f t="shared" si="221"/>
        <v>IE-WW</v>
      </c>
      <c r="P623" s="115" t="str">
        <f t="shared" si="221"/>
        <v>IE-CE</v>
      </c>
      <c r="Q623" s="115" t="str">
        <f t="shared" si="221"/>
        <v>IE-CO</v>
      </c>
      <c r="R623" s="115" t="str">
        <f t="shared" si="221"/>
        <v>IE-KY</v>
      </c>
      <c r="S623" s="115" t="str">
        <f t="shared" si="221"/>
        <v>IE-LK</v>
      </c>
      <c r="T623" s="115" t="str">
        <f t="shared" si="221"/>
        <v>IE-TA</v>
      </c>
      <c r="U623" s="115" t="str">
        <f t="shared" si="221"/>
        <v>IE-WD</v>
      </c>
      <c r="V623" s="115" t="str">
        <f t="shared" si="221"/>
        <v>IE-G</v>
      </c>
      <c r="W623" s="115" t="str">
        <f t="shared" si="221"/>
        <v>IE-LM</v>
      </c>
      <c r="X623" s="115" t="str">
        <f t="shared" si="221"/>
        <v>IE-MO</v>
      </c>
      <c r="Y623" s="115" t="str">
        <f t="shared" si="221"/>
        <v>IE-RN</v>
      </c>
      <c r="Z623" s="115" t="str">
        <f t="shared" si="221"/>
        <v>IE-SO</v>
      </c>
      <c r="AA623" s="115" t="str">
        <f t="shared" si="221"/>
        <v>IE-CN</v>
      </c>
      <c r="AB623" s="115" t="str">
        <f t="shared" si="221"/>
        <v>IE-DL</v>
      </c>
      <c r="AC623" s="115" t="str">
        <f t="shared" si="221"/>
        <v>IE-MN</v>
      </c>
      <c r="AD623" s="201"/>
      <c r="AE623" s="201"/>
      <c r="AF623" s="201"/>
    </row>
    <row r="624" spans="1:32">
      <c r="A624" s="201" t="s">
        <v>385</v>
      </c>
      <c r="B624" s="201" t="s">
        <v>684</v>
      </c>
      <c r="C624" s="283">
        <f t="shared" ref="C624:AC624" si="222">B184</f>
        <v>4857000.0000000037</v>
      </c>
      <c r="D624" s="283">
        <f t="shared" si="222"/>
        <v>58069.41691963128</v>
      </c>
      <c r="E624" s="283">
        <f t="shared" si="222"/>
        <v>1374277.23444491</v>
      </c>
      <c r="F624" s="283">
        <f t="shared" si="222"/>
        <v>226949.29990665423</v>
      </c>
      <c r="G624" s="283">
        <f t="shared" si="222"/>
        <v>101214.50818114332</v>
      </c>
      <c r="H624" s="283">
        <f t="shared" si="222"/>
        <v>86389.120439155668</v>
      </c>
      <c r="I624" s="283">
        <f t="shared" si="222"/>
        <v>41689.581918009018</v>
      </c>
      <c r="J624" s="283">
        <f t="shared" si="222"/>
        <v>131458.91116190821</v>
      </c>
      <c r="K624" s="283">
        <f t="shared" si="222"/>
        <v>198940.68983476012</v>
      </c>
      <c r="L624" s="283">
        <f t="shared" si="222"/>
        <v>79518.545149851998</v>
      </c>
      <c r="M624" s="283">
        <f t="shared" si="222"/>
        <v>90543.492938166033</v>
      </c>
      <c r="N624" s="283">
        <f t="shared" si="222"/>
        <v>152713.2234954162</v>
      </c>
      <c r="O624" s="283">
        <f t="shared" si="222"/>
        <v>145270.44025817615</v>
      </c>
      <c r="P624" s="283">
        <f t="shared" si="222"/>
        <v>121190.78743307506</v>
      </c>
      <c r="Q624" s="283">
        <f t="shared" si="222"/>
        <v>553713.69746937393</v>
      </c>
      <c r="R624" s="283">
        <f t="shared" si="222"/>
        <v>150657.96678402266</v>
      </c>
      <c r="S624" s="283">
        <f t="shared" si="222"/>
        <v>198792.79294982113</v>
      </c>
      <c r="T624" s="283">
        <f t="shared" si="222"/>
        <v>162740.63229427967</v>
      </c>
      <c r="U624" s="283">
        <f t="shared" si="222"/>
        <v>118497.02417015182</v>
      </c>
      <c r="V624" s="283">
        <f t="shared" si="222"/>
        <v>263213.61609369441</v>
      </c>
      <c r="W624" s="283">
        <f t="shared" si="222"/>
        <v>32684.191592999803</v>
      </c>
      <c r="X624" s="283">
        <f t="shared" si="222"/>
        <v>133114.33629470808</v>
      </c>
      <c r="Y624" s="283">
        <f t="shared" si="222"/>
        <v>65833.493389669806</v>
      </c>
      <c r="Z624" s="283">
        <f t="shared" si="222"/>
        <v>66844.292099839033</v>
      </c>
      <c r="AA624" s="283">
        <f t="shared" si="222"/>
        <v>77697.883497327202</v>
      </c>
      <c r="AB624" s="283">
        <f t="shared" si="222"/>
        <v>162372.42004970741</v>
      </c>
      <c r="AC624" s="283">
        <f t="shared" si="222"/>
        <v>62612.401233550299</v>
      </c>
      <c r="AD624" s="201"/>
      <c r="AE624" s="201"/>
      <c r="AF624" s="201"/>
    </row>
    <row r="625" spans="1:32">
      <c r="A625" s="201" t="s">
        <v>685</v>
      </c>
      <c r="B625" s="2" t="s">
        <v>717</v>
      </c>
      <c r="C625" s="7">
        <f>AVERAGE(D625:AC625)</f>
        <v>2.0735370339862342</v>
      </c>
      <c r="D625" s="7">
        <f>F594*D624/(D624+G624+N624+U624)</f>
        <v>1.0074073345394272</v>
      </c>
      <c r="E625" s="7">
        <f>H594</f>
        <v>6.1033519553072626</v>
      </c>
      <c r="F625" s="7">
        <f>I594*F624/(F624+J624+K624+O624)</f>
        <v>2.1298117751579788</v>
      </c>
      <c r="G625" s="7">
        <f>F594*G624/(D624+G624+N624+U624)</f>
        <v>1.7559025613190551</v>
      </c>
      <c r="H625" s="7">
        <f>J594*H624/(H624+I624+L624+M624)</f>
        <v>1.7704573038305462</v>
      </c>
      <c r="I625" s="7">
        <f>J594*I624/(H624+I624+L624+M624)</f>
        <v>0.85438564978058162</v>
      </c>
      <c r="J625" s="7">
        <f>I594*J624/(F624+J624+K624+O624)</f>
        <v>1.2336796679136599</v>
      </c>
      <c r="K625" s="7">
        <f>I594*K624/(F624+J624+K624+O624)</f>
        <v>1.8669642247955669</v>
      </c>
      <c r="L625" s="7">
        <f>J594*L624/(H624+I624+L624+M624)</f>
        <v>1.6296518396629538</v>
      </c>
      <c r="M625" s="7">
        <f>J594*M624/(H624+I624+L624+M624)</f>
        <v>1.8555969498451843</v>
      </c>
      <c r="N625" s="7">
        <f>F594*N624/(D624+G624+N624+U624)</f>
        <v>2.6493192043475045</v>
      </c>
      <c r="O625" s="7">
        <f>I594*O624/(F624+J624+K624+O624)</f>
        <v>1.3632943321327937</v>
      </c>
      <c r="P625" s="7">
        <f>E594*P624/(P624+S624+T624)</f>
        <v>1.6538310928879769</v>
      </c>
      <c r="Q625" s="7">
        <f>G594*Q624/(Q624+R624)</f>
        <v>6.344046627810159</v>
      </c>
      <c r="R625" s="7">
        <f>G594*R624/(Q624+R624)</f>
        <v>1.7261288107863333</v>
      </c>
      <c r="S625" s="7">
        <f>E594*S624/(P624+S624+T624)</f>
        <v>2.7128275093023206</v>
      </c>
      <c r="T625" s="7">
        <f>E594*T624/(P624+S624+T624)</f>
        <v>2.2208413978097026</v>
      </c>
      <c r="U625" s="7">
        <f>F594*U624/(D624+G624+N624+U624)</f>
        <v>2.0557253301737597</v>
      </c>
      <c r="V625" s="7">
        <f>D594*V624/(V624+X624+Y624)</f>
        <v>3.6109620483763902</v>
      </c>
      <c r="W625" s="7">
        <f>C594*W624/(W624+Z624+AA624+AB624+AC624)</f>
        <v>0.53944980901537942</v>
      </c>
      <c r="X625" s="7">
        <f>D594*X624/(V624+X624+Y624)</f>
        <v>1.8261624287852249</v>
      </c>
      <c r="Y625" s="7">
        <f>D594*Y624/(V624+X624+Y624)</f>
        <v>0.90315330061616272</v>
      </c>
      <c r="Z625" s="7">
        <f>C594*Z624/(W624+Z624+AA624+AB624+AC624)</f>
        <v>1.1032593694240072</v>
      </c>
      <c r="AA625" s="7">
        <f>C594*AA624/(W624+Z624+AA624+AB624+AC624)</f>
        <v>1.2823969745211439</v>
      </c>
      <c r="AB625" s="7">
        <f>C594*AB624/(W624+Z624+AA624+AB624+AC624)</f>
        <v>2.6799430157525985</v>
      </c>
      <c r="AC625" s="7">
        <f>C594*AC624/(W624+Z624+AA624+AB624+AC624)</f>
        <v>1.0334123697484108</v>
      </c>
      <c r="AD625" s="201"/>
      <c r="AE625" s="201"/>
      <c r="AF625" s="201"/>
    </row>
    <row r="626" spans="1:32">
      <c r="A626" s="201" t="s">
        <v>686</v>
      </c>
      <c r="B626" s="2" t="s">
        <v>717</v>
      </c>
      <c r="C626" s="7">
        <f>AVERAGE(D626:AC626)</f>
        <v>0.96961861667744009</v>
      </c>
      <c r="D626" s="7">
        <f>(K594+L594)*D624/C624</f>
        <v>0.30140722263266173</v>
      </c>
      <c r="E626" s="7">
        <f>(K594+L594)*E624/C624</f>
        <v>7.1331366205143176</v>
      </c>
      <c r="F626" s="7">
        <f>(K594+L594)*F624/C624</f>
        <v>1.1779721890089541</v>
      </c>
      <c r="G626" s="7">
        <f>(K594+L594)*G624/C624</f>
        <v>0.52535026902768722</v>
      </c>
      <c r="H626" s="7">
        <f>(K594+L594)*H624/C624</f>
        <v>0.44839962648982212</v>
      </c>
      <c r="I626" s="7">
        <f>(K594+L594)*I624/C624</f>
        <v>0.21638827743035172</v>
      </c>
      <c r="J626" s="7">
        <f>(K594+L594)*J624/C624</f>
        <v>0.68233275630204415</v>
      </c>
      <c r="K626" s="7">
        <f>(K594+L594)*K624/C624</f>
        <v>1.0325945045170533</v>
      </c>
      <c r="L626" s="7">
        <f>(K594+L594)*L624/C624</f>
        <v>0.41273815224592386</v>
      </c>
      <c r="M626" s="7">
        <f>(K594+L594)*M624/C624</f>
        <v>0.46996274771835495</v>
      </c>
      <c r="N626" s="7">
        <f>(K594+L594)*N624/C624</f>
        <v>0.79265250100132401</v>
      </c>
      <c r="O626" s="7">
        <f>(K594+L594)*O624/C624</f>
        <v>0.75402100195771871</v>
      </c>
      <c r="P626" s="7">
        <f>(K594+L594)*P624/C624</f>
        <v>0.6290364289247693</v>
      </c>
      <c r="Q626" s="7">
        <f>(K594+L594)*Q624/C624</f>
        <v>2.8740310569828535</v>
      </c>
      <c r="R626" s="7">
        <f>(K594+L594)*R624/C624</f>
        <v>0.78198476486690383</v>
      </c>
      <c r="S626" s="7">
        <f>(K594+L594)*S624/C624</f>
        <v>1.0318268510483233</v>
      </c>
      <c r="T626" s="7">
        <f>(K594+L594)*T624/C624</f>
        <v>0.84469940618121753</v>
      </c>
      <c r="U626" s="7">
        <f>(K594+L594)*U624/C624</f>
        <v>0.61505454747017685</v>
      </c>
      <c r="V626" s="7">
        <f>(K594+L594)*V624/C624</f>
        <v>1.3662008195415483</v>
      </c>
      <c r="W626" s="7">
        <f>(K594+L594)*W624/C624</f>
        <v>0.16964612242747509</v>
      </c>
      <c r="X626" s="7">
        <f>(K594+L594)*X624/C624</f>
        <v>0.6909251809899668</v>
      </c>
      <c r="Y626" s="7">
        <f>(K594+L594)*Y624/C624</f>
        <v>0.3417063826600597</v>
      </c>
      <c r="Z626" s="7">
        <f>(K594+L594)*Z624/C624</f>
        <v>0.34695289705669019</v>
      </c>
      <c r="AA626" s="7">
        <f>(K594+L594)*AA624/C624</f>
        <v>0.40328807333776506</v>
      </c>
      <c r="AB626" s="7">
        <f>(K594+L594)*AB624/C624</f>
        <v>0.8427882137521725</v>
      </c>
      <c r="AC626" s="7">
        <f>(K594+L594)*AC624/C624</f>
        <v>0.32498741952730581</v>
      </c>
      <c r="AD626" s="201"/>
      <c r="AE626" s="201"/>
      <c r="AF626" s="201"/>
    </row>
    <row r="627" spans="1:32">
      <c r="A627" s="200" t="s">
        <v>687</v>
      </c>
      <c r="B627" s="200" t="s">
        <v>717</v>
      </c>
      <c r="C627" s="258">
        <f>AVERAGE(C625:C626)</f>
        <v>1.5215778253318373</v>
      </c>
      <c r="D627" s="258">
        <f>D625+D626</f>
        <v>1.3088145571720888</v>
      </c>
      <c r="E627" s="258">
        <f>E625+E626</f>
        <v>13.23648857582158</v>
      </c>
      <c r="F627" s="258">
        <f t="shared" ref="F627:AC627" si="223">F625+F626</f>
        <v>3.3077839641669327</v>
      </c>
      <c r="G627" s="258">
        <f t="shared" si="223"/>
        <v>2.2812528303467423</v>
      </c>
      <c r="H627" s="258">
        <f t="shared" si="223"/>
        <v>2.2188569303203685</v>
      </c>
      <c r="I627" s="258">
        <f t="shared" si="223"/>
        <v>1.0707739272109333</v>
      </c>
      <c r="J627" s="258">
        <f t="shared" si="223"/>
        <v>1.9160124242157042</v>
      </c>
      <c r="K627" s="258">
        <f t="shared" si="223"/>
        <v>2.8995587293126199</v>
      </c>
      <c r="L627" s="258">
        <f t="shared" si="223"/>
        <v>2.0423899919088777</v>
      </c>
      <c r="M627" s="258">
        <f t="shared" si="223"/>
        <v>2.3255596975635391</v>
      </c>
      <c r="N627" s="258">
        <f t="shared" si="223"/>
        <v>3.4419717053488283</v>
      </c>
      <c r="O627" s="258">
        <f t="shared" si="223"/>
        <v>2.1173153340905122</v>
      </c>
      <c r="P627" s="258">
        <f t="shared" si="223"/>
        <v>2.2828675218127463</v>
      </c>
      <c r="Q627" s="258">
        <f t="shared" si="223"/>
        <v>9.2180776847930126</v>
      </c>
      <c r="R627" s="258">
        <f t="shared" si="223"/>
        <v>2.5081135756532369</v>
      </c>
      <c r="S627" s="258">
        <f t="shared" si="223"/>
        <v>3.7446543603506441</v>
      </c>
      <c r="T627" s="258">
        <f t="shared" si="223"/>
        <v>3.06554080399092</v>
      </c>
      <c r="U627" s="258">
        <f t="shared" si="223"/>
        <v>2.6707798776439367</v>
      </c>
      <c r="V627" s="258">
        <f t="shared" si="223"/>
        <v>4.9771628679179383</v>
      </c>
      <c r="W627" s="258">
        <f t="shared" si="223"/>
        <v>0.70909593144285454</v>
      </c>
      <c r="X627" s="258">
        <f t="shared" si="223"/>
        <v>2.5170876097751917</v>
      </c>
      <c r="Y627" s="258">
        <f t="shared" si="223"/>
        <v>1.2448596832762224</v>
      </c>
      <c r="Z627" s="258">
        <f t="shared" si="223"/>
        <v>1.4502122664806973</v>
      </c>
      <c r="AA627" s="258">
        <f t="shared" si="223"/>
        <v>1.6856850478589089</v>
      </c>
      <c r="AB627" s="258">
        <f t="shared" si="223"/>
        <v>3.522731229504771</v>
      </c>
      <c r="AC627" s="258">
        <f t="shared" si="223"/>
        <v>1.3583997892757167</v>
      </c>
      <c r="AD627" s="2"/>
      <c r="AE627" s="201"/>
      <c r="AF627" s="201"/>
    </row>
    <row r="628" spans="1:32">
      <c r="A628" s="22" t="s">
        <v>688</v>
      </c>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c r="AA629" s="130"/>
      <c r="AB629" s="130"/>
      <c r="AC629" s="130"/>
      <c r="AD629" s="201"/>
      <c r="AE629" s="201"/>
      <c r="AF629" s="201"/>
    </row>
    <row r="630" spans="1:32" s="201" customFormat="1">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c r="AA630" s="130"/>
      <c r="AB630" s="130"/>
      <c r="AC630" s="130"/>
    </row>
    <row r="631" spans="1:32" s="201" customFormat="1">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c r="AA631" s="130"/>
      <c r="AB631" s="130"/>
      <c r="AC631" s="130"/>
    </row>
    <row r="632" spans="1:32" s="201" customFormat="1" ht="15.6">
      <c r="A632" s="143" t="s">
        <v>769</v>
      </c>
    </row>
    <row r="633" spans="1:32" s="201" customFormat="1">
      <c r="A633" s="115"/>
      <c r="B633" s="115" t="s">
        <v>63</v>
      </c>
      <c r="C633" s="115" t="str">
        <f>C623</f>
        <v>IE</v>
      </c>
      <c r="D633" s="115" t="str">
        <f t="shared" ref="D633:AC633" si="224">D623</f>
        <v>IE-CW</v>
      </c>
      <c r="E633" s="115" t="str">
        <f t="shared" si="224"/>
        <v>IE-D</v>
      </c>
      <c r="F633" s="115" t="str">
        <f t="shared" si="224"/>
        <v>IE-KE</v>
      </c>
      <c r="G633" s="115" t="str">
        <f t="shared" si="224"/>
        <v>IE-KK</v>
      </c>
      <c r="H633" s="115" t="str">
        <f t="shared" si="224"/>
        <v>IE-LS</v>
      </c>
      <c r="I633" s="115" t="str">
        <f t="shared" si="224"/>
        <v>IE-LD</v>
      </c>
      <c r="J633" s="115" t="str">
        <f t="shared" si="224"/>
        <v>IE-LH</v>
      </c>
      <c r="K633" s="115" t="str">
        <f t="shared" si="224"/>
        <v>IE-MH</v>
      </c>
      <c r="L633" s="115" t="str">
        <f t="shared" si="224"/>
        <v>IE-OY</v>
      </c>
      <c r="M633" s="115" t="str">
        <f t="shared" si="224"/>
        <v>IE-WH</v>
      </c>
      <c r="N633" s="115" t="str">
        <f t="shared" si="224"/>
        <v>IE-WX</v>
      </c>
      <c r="O633" s="115" t="str">
        <f t="shared" si="224"/>
        <v>IE-WW</v>
      </c>
      <c r="P633" s="115" t="str">
        <f t="shared" si="224"/>
        <v>IE-CE</v>
      </c>
      <c r="Q633" s="115" t="str">
        <f t="shared" si="224"/>
        <v>IE-CO</v>
      </c>
      <c r="R633" s="115" t="str">
        <f t="shared" si="224"/>
        <v>IE-KY</v>
      </c>
      <c r="S633" s="115" t="str">
        <f t="shared" si="224"/>
        <v>IE-LK</v>
      </c>
      <c r="T633" s="115" t="str">
        <f t="shared" si="224"/>
        <v>IE-TA</v>
      </c>
      <c r="U633" s="115" t="str">
        <f t="shared" si="224"/>
        <v>IE-WD</v>
      </c>
      <c r="V633" s="115" t="str">
        <f t="shared" si="224"/>
        <v>IE-G</v>
      </c>
      <c r="W633" s="115" t="str">
        <f t="shared" si="224"/>
        <v>IE-LM</v>
      </c>
      <c r="X633" s="115" t="str">
        <f t="shared" si="224"/>
        <v>IE-MO</v>
      </c>
      <c r="Y633" s="115" t="str">
        <f t="shared" si="224"/>
        <v>IE-RN</v>
      </c>
      <c r="Z633" s="115" t="str">
        <f t="shared" si="224"/>
        <v>IE-SO</v>
      </c>
      <c r="AA633" s="115" t="str">
        <f t="shared" si="224"/>
        <v>IE-CN</v>
      </c>
      <c r="AB633" s="115" t="str">
        <f t="shared" si="224"/>
        <v>IE-DL</v>
      </c>
      <c r="AC633" s="115" t="str">
        <f t="shared" si="224"/>
        <v>IE-MN</v>
      </c>
    </row>
    <row r="634" spans="1:32" s="201" customFormat="1">
      <c r="A634" s="201" t="s">
        <v>770</v>
      </c>
      <c r="B634" s="201" t="s">
        <v>213</v>
      </c>
      <c r="C634" s="201">
        <v>7891</v>
      </c>
      <c r="D634" s="201">
        <v>129</v>
      </c>
      <c r="E634" s="201">
        <v>1769</v>
      </c>
      <c r="F634" s="201">
        <v>378</v>
      </c>
      <c r="G634" s="201">
        <v>189</v>
      </c>
      <c r="H634" s="201">
        <v>140</v>
      </c>
      <c r="I634" s="201">
        <v>88</v>
      </c>
      <c r="J634" s="201">
        <v>188</v>
      </c>
      <c r="K634" s="201">
        <v>357</v>
      </c>
      <c r="L634" s="201">
        <v>139</v>
      </c>
      <c r="M634" s="201">
        <v>174</v>
      </c>
      <c r="N634" s="201">
        <v>334</v>
      </c>
      <c r="O634" s="201">
        <v>200</v>
      </c>
      <c r="P634" s="201">
        <v>198</v>
      </c>
      <c r="Q634" s="201">
        <v>879</v>
      </c>
      <c r="R634" s="201">
        <v>245</v>
      </c>
      <c r="S634" s="201">
        <v>322</v>
      </c>
      <c r="T634" s="201">
        <v>302</v>
      </c>
      <c r="U634" s="201">
        <v>163</v>
      </c>
      <c r="V634" s="201">
        <v>429</v>
      </c>
      <c r="W634" s="201">
        <v>70</v>
      </c>
      <c r="X634" s="201">
        <v>271</v>
      </c>
      <c r="Y634" s="201">
        <v>138</v>
      </c>
      <c r="Z634" s="201">
        <v>121</v>
      </c>
      <c r="AA634" s="201">
        <v>178</v>
      </c>
      <c r="AB634" s="201">
        <v>289</v>
      </c>
      <c r="AC634" s="201">
        <v>199</v>
      </c>
    </row>
    <row r="635" spans="1:32" s="201" customFormat="1">
      <c r="A635" s="201" t="s">
        <v>771</v>
      </c>
      <c r="B635" s="2" t="s">
        <v>90</v>
      </c>
      <c r="C635" s="118">
        <f>C525</f>
        <v>11536.999999999998</v>
      </c>
      <c r="D635" s="118">
        <f t="shared" ref="D635:AC635" si="225">D525</f>
        <v>177.94099599204955</v>
      </c>
      <c r="E635" s="118">
        <f t="shared" si="225"/>
        <v>2629.2279716035632</v>
      </c>
      <c r="F635" s="118">
        <f t="shared" si="225"/>
        <v>482.28404218784624</v>
      </c>
      <c r="G635" s="118">
        <f t="shared" si="225"/>
        <v>310.14966827589166</v>
      </c>
      <c r="H635" s="118">
        <f t="shared" si="225"/>
        <v>220.90468018989404</v>
      </c>
      <c r="I635" s="118">
        <f t="shared" si="225"/>
        <v>106.60397645018759</v>
      </c>
      <c r="J635" s="118">
        <f t="shared" si="225"/>
        <v>279.35990585939294</v>
      </c>
      <c r="K635" s="118">
        <f t="shared" si="225"/>
        <v>422.76367492038924</v>
      </c>
      <c r="L635" s="118">
        <f t="shared" si="225"/>
        <v>203.33600685129727</v>
      </c>
      <c r="M635" s="118">
        <f t="shared" si="225"/>
        <v>231.52778091853185</v>
      </c>
      <c r="N635" s="118">
        <f t="shared" si="225"/>
        <v>467.95618987426485</v>
      </c>
      <c r="O635" s="118">
        <f t="shared" si="225"/>
        <v>308.71042636808323</v>
      </c>
      <c r="P635" s="118">
        <f t="shared" si="225"/>
        <v>303.78726686741447</v>
      </c>
      <c r="Q635" s="118">
        <f t="shared" si="225"/>
        <v>1625.427705266085</v>
      </c>
      <c r="R635" s="118">
        <f t="shared" si="225"/>
        <v>442.25677339931184</v>
      </c>
      <c r="S635" s="118">
        <f t="shared" si="225"/>
        <v>498.31113834882399</v>
      </c>
      <c r="T635" s="118">
        <f t="shared" si="225"/>
        <v>407.93968700183132</v>
      </c>
      <c r="U635" s="118">
        <f t="shared" si="225"/>
        <v>363.10814920207179</v>
      </c>
      <c r="V635" s="118">
        <f t="shared" si="225"/>
        <v>605.06096800451598</v>
      </c>
      <c r="W635" s="118">
        <f t="shared" si="225"/>
        <v>80.69347018970771</v>
      </c>
      <c r="X635" s="118">
        <f t="shared" si="225"/>
        <v>305.99590693319084</v>
      </c>
      <c r="Y635" s="118">
        <f t="shared" si="225"/>
        <v>151.3344097795204</v>
      </c>
      <c r="Z635" s="118">
        <f t="shared" si="225"/>
        <v>165.03078794415472</v>
      </c>
      <c r="AA635" s="118">
        <f t="shared" si="225"/>
        <v>191.82704360164692</v>
      </c>
      <c r="AB635" s="118">
        <f t="shared" si="225"/>
        <v>400.87863270627724</v>
      </c>
      <c r="AC635" s="118">
        <f t="shared" si="225"/>
        <v>154.58274126405556</v>
      </c>
    </row>
    <row r="636" spans="1:32" s="201" customFormat="1">
      <c r="A636" s="200" t="s">
        <v>768</v>
      </c>
      <c r="B636" s="200" t="s">
        <v>717</v>
      </c>
      <c r="C636" s="338">
        <f>C635/C634</f>
        <v>1.4620453681409198</v>
      </c>
      <c r="D636" s="338">
        <f t="shared" ref="D636:AC636" si="226">D635/D634</f>
        <v>1.3793875658298416</v>
      </c>
      <c r="E636" s="338">
        <f t="shared" si="226"/>
        <v>1.4862792377634615</v>
      </c>
      <c r="F636" s="338">
        <f t="shared" si="226"/>
        <v>1.2758837094916566</v>
      </c>
      <c r="G636" s="338">
        <f t="shared" si="226"/>
        <v>1.6410035358512787</v>
      </c>
      <c r="H636" s="338">
        <f t="shared" si="226"/>
        <v>1.5778905727849575</v>
      </c>
      <c r="I636" s="338">
        <f t="shared" si="226"/>
        <v>1.2114088232975861</v>
      </c>
      <c r="J636" s="338">
        <f t="shared" si="226"/>
        <v>1.4859569460606008</v>
      </c>
      <c r="K636" s="338">
        <f t="shared" si="226"/>
        <v>1.1842119745669166</v>
      </c>
      <c r="L636" s="338">
        <f t="shared" si="226"/>
        <v>1.4628489701532177</v>
      </c>
      <c r="M636" s="338">
        <f t="shared" si="226"/>
        <v>1.3306194305662751</v>
      </c>
      <c r="N636" s="338">
        <f t="shared" si="226"/>
        <v>1.401066436749296</v>
      </c>
      <c r="O636" s="338">
        <f t="shared" si="226"/>
        <v>1.5435521318404162</v>
      </c>
      <c r="P636" s="338">
        <f t="shared" si="226"/>
        <v>1.5342791255930024</v>
      </c>
      <c r="Q636" s="338">
        <f t="shared" si="226"/>
        <v>1.8491782767532252</v>
      </c>
      <c r="R636" s="338">
        <f t="shared" si="226"/>
        <v>1.80512968734413</v>
      </c>
      <c r="S636" s="338">
        <f t="shared" si="226"/>
        <v>1.5475501190957266</v>
      </c>
      <c r="T636" s="338">
        <f t="shared" si="226"/>
        <v>1.3507936655689778</v>
      </c>
      <c r="U636" s="338">
        <f t="shared" si="226"/>
        <v>2.2276573570679252</v>
      </c>
      <c r="V636" s="338">
        <f t="shared" si="226"/>
        <v>1.4103985268170536</v>
      </c>
      <c r="W636" s="338">
        <f t="shared" si="226"/>
        <v>1.1527638598529673</v>
      </c>
      <c r="X636" s="338">
        <f t="shared" si="226"/>
        <v>1.1291361879453536</v>
      </c>
      <c r="Y636" s="338">
        <f t="shared" si="226"/>
        <v>1.0966261578226115</v>
      </c>
      <c r="Z636" s="338">
        <f t="shared" si="226"/>
        <v>1.3638908094558242</v>
      </c>
      <c r="AA636" s="338">
        <f t="shared" si="226"/>
        <v>1.0776800202339714</v>
      </c>
      <c r="AB636" s="338">
        <f t="shared" si="226"/>
        <v>1.387123296561513</v>
      </c>
      <c r="AC636" s="338">
        <f t="shared" si="226"/>
        <v>0.77679769479424898</v>
      </c>
    </row>
    <row r="637" spans="1:32" s="201" customFormat="1">
      <c r="A637" s="22"/>
    </row>
    <row r="638" spans="1:32" s="429" customFormat="1">
      <c r="A638" s="22"/>
    </row>
    <row r="639" spans="1:32" s="429" customFormat="1">
      <c r="A639" s="22"/>
    </row>
    <row r="640" spans="1:32" s="429" customFormat="1" ht="15.6">
      <c r="A640" s="143" t="s">
        <v>1082</v>
      </c>
    </row>
    <row r="641" spans="1:29" s="429" customFormat="1" ht="17.399999999999999">
      <c r="A641" s="431" t="s">
        <v>1052</v>
      </c>
      <c r="B641" s="431" t="s">
        <v>657</v>
      </c>
      <c r="C641" s="113" t="str">
        <f>C469</f>
        <v>IE</v>
      </c>
      <c r="D641" s="113" t="str">
        <f t="shared" ref="D641:AC641" si="227">D469</f>
        <v>IE-CW</v>
      </c>
      <c r="E641" s="113" t="str">
        <f t="shared" si="227"/>
        <v>IE-D</v>
      </c>
      <c r="F641" s="113" t="str">
        <f t="shared" si="227"/>
        <v>IE-KE</v>
      </c>
      <c r="G641" s="113" t="str">
        <f t="shared" si="227"/>
        <v>IE-KK</v>
      </c>
      <c r="H641" s="113" t="str">
        <f t="shared" si="227"/>
        <v>IE-LS</v>
      </c>
      <c r="I641" s="113" t="str">
        <f t="shared" si="227"/>
        <v>IE-LD</v>
      </c>
      <c r="J641" s="113" t="str">
        <f t="shared" si="227"/>
        <v>IE-LH</v>
      </c>
      <c r="K641" s="113" t="str">
        <f t="shared" si="227"/>
        <v>IE-MH</v>
      </c>
      <c r="L641" s="113" t="str">
        <f t="shared" si="227"/>
        <v>IE-OY</v>
      </c>
      <c r="M641" s="113" t="str">
        <f t="shared" si="227"/>
        <v>IE-WH</v>
      </c>
      <c r="N641" s="113" t="str">
        <f t="shared" si="227"/>
        <v>IE-WX</v>
      </c>
      <c r="O641" s="113" t="str">
        <f t="shared" si="227"/>
        <v>IE-WW</v>
      </c>
      <c r="P641" s="113" t="str">
        <f t="shared" si="227"/>
        <v>IE-CE</v>
      </c>
      <c r="Q641" s="113" t="str">
        <f t="shared" si="227"/>
        <v>IE-CO</v>
      </c>
      <c r="R641" s="113" t="str">
        <f t="shared" si="227"/>
        <v>IE-KY</v>
      </c>
      <c r="S641" s="113" t="str">
        <f t="shared" si="227"/>
        <v>IE-LK</v>
      </c>
      <c r="T641" s="113" t="str">
        <f t="shared" si="227"/>
        <v>IE-TA</v>
      </c>
      <c r="U641" s="113" t="str">
        <f t="shared" si="227"/>
        <v>IE-WD</v>
      </c>
      <c r="V641" s="113" t="str">
        <f t="shared" si="227"/>
        <v>IE-G</v>
      </c>
      <c r="W641" s="113" t="str">
        <f t="shared" si="227"/>
        <v>IE-LM</v>
      </c>
      <c r="X641" s="113" t="str">
        <f t="shared" si="227"/>
        <v>IE-MO</v>
      </c>
      <c r="Y641" s="113" t="str">
        <f t="shared" si="227"/>
        <v>IE-RN</v>
      </c>
      <c r="Z641" s="113" t="str">
        <f t="shared" si="227"/>
        <v>IE-SO</v>
      </c>
      <c r="AA641" s="113" t="str">
        <f t="shared" si="227"/>
        <v>IE-CN</v>
      </c>
      <c r="AB641" s="113" t="str">
        <f t="shared" si="227"/>
        <v>IE-DL</v>
      </c>
      <c r="AC641" s="113" t="str">
        <f t="shared" si="227"/>
        <v>IE-MN</v>
      </c>
    </row>
    <row r="642" spans="1:29" s="429" customFormat="1">
      <c r="A642" s="524" t="s">
        <v>1049</v>
      </c>
      <c r="B642" s="429" t="s">
        <v>1058</v>
      </c>
      <c r="C642" s="38">
        <f>C470/1000</f>
        <v>0.29199999999999998</v>
      </c>
      <c r="D642" s="38">
        <f t="shared" ref="D642:AC642" si="228">D470/1000</f>
        <v>4.5036639360040284E-3</v>
      </c>
      <c r="E642" s="38">
        <f t="shared" si="228"/>
        <v>6.6545424955208501E-2</v>
      </c>
      <c r="F642" s="38">
        <f t="shared" si="228"/>
        <v>1.2206547657003653E-2</v>
      </c>
      <c r="G642" s="38">
        <f t="shared" si="228"/>
        <v>7.8498485859894579E-3</v>
      </c>
      <c r="H642" s="38">
        <f t="shared" si="228"/>
        <v>5.5910693087846981E-3</v>
      </c>
      <c r="I642" s="38">
        <f t="shared" si="228"/>
        <v>2.6981330608871262E-3</v>
      </c>
      <c r="J642" s="38">
        <f t="shared" si="228"/>
        <v>7.0705636223405343E-3</v>
      </c>
      <c r="K642" s="38">
        <f t="shared" si="228"/>
        <v>1.0700094745319726E-2</v>
      </c>
      <c r="L642" s="38">
        <f t="shared" si="228"/>
        <v>5.1464084251173449E-3</v>
      </c>
      <c r="M642" s="38">
        <f t="shared" si="228"/>
        <v>5.8599386346720383E-3</v>
      </c>
      <c r="N642" s="38">
        <f t="shared" si="228"/>
        <v>1.1843911540546533E-2</v>
      </c>
      <c r="O642" s="38">
        <f t="shared" si="228"/>
        <v>7.813421556685473E-3</v>
      </c>
      <c r="P642" s="38">
        <f t="shared" si="228"/>
        <v>7.6888170170135248E-3</v>
      </c>
      <c r="Q642" s="38">
        <f t="shared" si="228"/>
        <v>4.1139368114561578E-2</v>
      </c>
      <c r="R642" s="38">
        <f t="shared" si="228"/>
        <v>1.1193462584085904E-2</v>
      </c>
      <c r="S642" s="38">
        <f t="shared" si="228"/>
        <v>1.261219141872728E-2</v>
      </c>
      <c r="T642" s="38">
        <f t="shared" si="228"/>
        <v>1.0324901499916337E-2</v>
      </c>
      <c r="U642" s="38">
        <f t="shared" si="228"/>
        <v>9.1902209904658905E-3</v>
      </c>
      <c r="V642" s="38">
        <f t="shared" si="228"/>
        <v>1.5314016005661671E-2</v>
      </c>
      <c r="W642" s="38">
        <f t="shared" si="228"/>
        <v>2.0423414488510579E-3</v>
      </c>
      <c r="X642" s="38">
        <f t="shared" si="228"/>
        <v>7.7447174156619345E-3</v>
      </c>
      <c r="Y642" s="38">
        <f t="shared" si="228"/>
        <v>3.8302546290734131E-3</v>
      </c>
      <c r="Z642" s="38">
        <f t="shared" si="228"/>
        <v>4.1769082152806787E-3</v>
      </c>
      <c r="AA642" s="38">
        <f t="shared" si="228"/>
        <v>4.8551180316963602E-3</v>
      </c>
      <c r="AB642" s="38">
        <f t="shared" si="228"/>
        <v>1.0146187115388139E-2</v>
      </c>
      <c r="AC642" s="38">
        <f t="shared" si="228"/>
        <v>3.9124694850571403E-3</v>
      </c>
    </row>
    <row r="643" spans="1:29" s="429" customFormat="1">
      <c r="A643" s="524" t="s">
        <v>1050</v>
      </c>
      <c r="B643" s="429" t="s">
        <v>1059</v>
      </c>
      <c r="C643" s="38">
        <f>C471/1000</f>
        <v>1.1399999999999999</v>
      </c>
      <c r="D643" s="38">
        <f t="shared" ref="D643:AC643" si="229">D471/1000</f>
        <v>1.7582797558371891E-2</v>
      </c>
      <c r="E643" s="38">
        <f t="shared" si="229"/>
        <v>0.25980063167444417</v>
      </c>
      <c r="F643" s="38">
        <f t="shared" si="229"/>
        <v>4.7655699756795081E-2</v>
      </c>
      <c r="G643" s="38">
        <f t="shared" si="229"/>
        <v>3.0646669137082128E-2</v>
      </c>
      <c r="H643" s="38">
        <f t="shared" si="229"/>
        <v>2.1828147301419711E-2</v>
      </c>
      <c r="I643" s="38">
        <f t="shared" si="229"/>
        <v>1.0533807155518235E-2</v>
      </c>
      <c r="J643" s="38">
        <f t="shared" si="229"/>
        <v>2.7604255237904825E-2</v>
      </c>
      <c r="K643" s="38">
        <f t="shared" si="229"/>
        <v>4.1774342498850987E-2</v>
      </c>
      <c r="L643" s="38">
        <f t="shared" si="229"/>
        <v>2.009214248162251E-2</v>
      </c>
      <c r="M643" s="38">
        <f t="shared" si="229"/>
        <v>2.2877842614815493E-2</v>
      </c>
      <c r="N643" s="38">
        <f t="shared" si="229"/>
        <v>4.6239928617202226E-2</v>
      </c>
      <c r="O643" s="38">
        <f t="shared" si="229"/>
        <v>3.0504454022676163E-2</v>
      </c>
      <c r="P643" s="38">
        <f t="shared" si="229"/>
        <v>3.0017984244504855E-2</v>
      </c>
      <c r="Q643" s="38">
        <f t="shared" si="229"/>
        <v>0.16061260154315135</v>
      </c>
      <c r="R643" s="38">
        <f t="shared" si="229"/>
        <v>4.3700504609102506E-2</v>
      </c>
      <c r="S643" s="38">
        <f t="shared" si="229"/>
        <v>4.9239377456675004E-2</v>
      </c>
      <c r="T643" s="38">
        <f t="shared" si="229"/>
        <v>4.0309546951728156E-2</v>
      </c>
      <c r="U643" s="38">
        <f t="shared" si="229"/>
        <v>3.5879629894284643E-2</v>
      </c>
      <c r="V643" s="38">
        <f t="shared" si="229"/>
        <v>5.9787596734432548E-2</v>
      </c>
      <c r="W643" s="38">
        <f t="shared" si="229"/>
        <v>7.9735248345555003E-3</v>
      </c>
      <c r="X643" s="38">
        <f t="shared" si="229"/>
        <v>3.0236225526899335E-2</v>
      </c>
      <c r="Y643" s="38">
        <f t="shared" si="229"/>
        <v>1.4953733825834557E-2</v>
      </c>
      <c r="Z643" s="38">
        <f t="shared" si="229"/>
        <v>1.6307107415821826E-2</v>
      </c>
      <c r="AA643" s="38">
        <f t="shared" si="229"/>
        <v>1.8954912863472093E-2</v>
      </c>
      <c r="AB643" s="38">
        <f t="shared" si="229"/>
        <v>3.9611826409392051E-2</v>
      </c>
      <c r="AC643" s="38">
        <f t="shared" si="229"/>
        <v>1.527470963344226E-2</v>
      </c>
    </row>
    <row r="644" spans="1:29" s="429" customFormat="1">
      <c r="A644" s="524" t="s">
        <v>1051</v>
      </c>
      <c r="B644" s="429" t="s">
        <v>1060</v>
      </c>
      <c r="C644" s="38">
        <f>C472/1000</f>
        <v>10.106</v>
      </c>
      <c r="D644" s="38">
        <f t="shared" ref="D644:AC644" si="230">D472/1000</f>
        <v>0.15586995800430381</v>
      </c>
      <c r="E644" s="38">
        <f t="shared" si="230"/>
        <v>2.3031098102648535</v>
      </c>
      <c r="F644" s="38">
        <f t="shared" si="230"/>
        <v>0.42246359801944827</v>
      </c>
      <c r="G644" s="38">
        <f t="shared" si="230"/>
        <v>0.2716800335959228</v>
      </c>
      <c r="H644" s="38">
        <f t="shared" si="230"/>
        <v>0.19350461107732247</v>
      </c>
      <c r="I644" s="38">
        <f t="shared" si="230"/>
        <v>9.3381276415497608E-2</v>
      </c>
      <c r="J644" s="38">
        <f t="shared" si="230"/>
        <v>0.24470930125812823</v>
      </c>
      <c r="K644" s="38">
        <f t="shared" si="230"/>
        <v>0.37032588183630533</v>
      </c>
      <c r="L644" s="38">
        <f t="shared" si="230"/>
        <v>0.17811508063094481</v>
      </c>
      <c r="M644" s="38">
        <f t="shared" si="230"/>
        <v>0.20281006795203979</v>
      </c>
      <c r="N644" s="38">
        <f t="shared" si="230"/>
        <v>0.40991291105740851</v>
      </c>
      <c r="O644" s="38">
        <f t="shared" si="230"/>
        <v>0.27041930908172396</v>
      </c>
      <c r="P644" s="38">
        <f t="shared" si="230"/>
        <v>0.26610679717102287</v>
      </c>
      <c r="Q644" s="38">
        <f t="shared" si="230"/>
        <v>1.4238166238553398</v>
      </c>
      <c r="R644" s="38">
        <f t="shared" si="230"/>
        <v>0.38740113998209635</v>
      </c>
      <c r="S644" s="38">
        <f t="shared" si="230"/>
        <v>0.43650276190978732</v>
      </c>
      <c r="T644" s="38">
        <f t="shared" si="230"/>
        <v>0.35734059780189892</v>
      </c>
      <c r="U644" s="38">
        <f t="shared" si="230"/>
        <v>0.31806977167687772</v>
      </c>
      <c r="V644" s="38">
        <f t="shared" si="230"/>
        <v>0.53001180052471519</v>
      </c>
      <c r="W644" s="38">
        <f t="shared" si="230"/>
        <v>7.0684598226331469E-2</v>
      </c>
      <c r="X644" s="38">
        <f t="shared" si="230"/>
        <v>0.26804148699547781</v>
      </c>
      <c r="Y644" s="38">
        <f t="shared" si="230"/>
        <v>0.13256353863498599</v>
      </c>
      <c r="Z644" s="38">
        <f t="shared" si="230"/>
        <v>0.14456107679324157</v>
      </c>
      <c r="AA644" s="38">
        <f t="shared" si="230"/>
        <v>0.16803363982302544</v>
      </c>
      <c r="AB644" s="38">
        <f t="shared" si="230"/>
        <v>0.35115536639764572</v>
      </c>
      <c r="AC644" s="38">
        <f t="shared" si="230"/>
        <v>0.13540896101365571</v>
      </c>
    </row>
    <row r="645" spans="1:29" s="429" customFormat="1">
      <c r="A645" s="524" t="s">
        <v>24</v>
      </c>
      <c r="B645" s="429" t="s">
        <v>17</v>
      </c>
      <c r="C645" s="38">
        <f t="shared" ref="C645:AC645" si="231">C18</f>
        <v>8.8551000000000005E-2</v>
      </c>
      <c r="D645" s="38">
        <f t="shared" si="231"/>
        <v>0</v>
      </c>
      <c r="E645" s="38">
        <f t="shared" si="231"/>
        <v>2.8462821428571431E-2</v>
      </c>
      <c r="F645" s="38">
        <f t="shared" si="231"/>
        <v>0</v>
      </c>
      <c r="G645" s="38">
        <f t="shared" si="231"/>
        <v>0</v>
      </c>
      <c r="H645" s="38">
        <f t="shared" si="231"/>
        <v>0</v>
      </c>
      <c r="I645" s="38">
        <f t="shared" si="231"/>
        <v>0</v>
      </c>
      <c r="J645" s="38">
        <f t="shared" si="231"/>
        <v>0</v>
      </c>
      <c r="K645" s="38">
        <f t="shared" si="231"/>
        <v>9.4876071428571431E-3</v>
      </c>
      <c r="L645" s="38">
        <f t="shared" si="231"/>
        <v>0</v>
      </c>
      <c r="M645" s="38">
        <f t="shared" si="231"/>
        <v>0</v>
      </c>
      <c r="N645" s="38">
        <f t="shared" si="231"/>
        <v>0</v>
      </c>
      <c r="O645" s="38">
        <f t="shared" si="231"/>
        <v>0</v>
      </c>
      <c r="P645" s="38">
        <f t="shared" si="231"/>
        <v>0</v>
      </c>
      <c r="Q645" s="38">
        <f t="shared" si="231"/>
        <v>0</v>
      </c>
      <c r="R645" s="38">
        <f t="shared" si="231"/>
        <v>0</v>
      </c>
      <c r="S645" s="38">
        <f t="shared" si="231"/>
        <v>0</v>
      </c>
      <c r="T645" s="38">
        <f t="shared" si="231"/>
        <v>0</v>
      </c>
      <c r="U645" s="38">
        <f t="shared" si="231"/>
        <v>1.5812678571428571E-2</v>
      </c>
      <c r="V645" s="38">
        <f t="shared" si="231"/>
        <v>0</v>
      </c>
      <c r="W645" s="38">
        <f t="shared" si="231"/>
        <v>0</v>
      </c>
      <c r="X645" s="38">
        <f t="shared" si="231"/>
        <v>3.4787892857142858E-2</v>
      </c>
      <c r="Y645" s="38">
        <f t="shared" si="231"/>
        <v>0</v>
      </c>
      <c r="Z645" s="38">
        <f t="shared" si="231"/>
        <v>0</v>
      </c>
      <c r="AA645" s="38">
        <f t="shared" si="231"/>
        <v>0</v>
      </c>
      <c r="AB645" s="38">
        <f t="shared" si="231"/>
        <v>0</v>
      </c>
      <c r="AC645" s="38">
        <f t="shared" si="231"/>
        <v>0</v>
      </c>
    </row>
    <row r="646" spans="1:29" s="429" customFormat="1">
      <c r="A646" s="525"/>
      <c r="B646" s="525" t="s">
        <v>16</v>
      </c>
      <c r="C646" s="529">
        <f>SUM(C642:C645)</f>
        <v>11.626551000000001</v>
      </c>
      <c r="D646" s="529">
        <f t="shared" ref="D646:AC646" si="232">SUM(D642:D645)</f>
        <v>0.17795641949867974</v>
      </c>
      <c r="E646" s="529">
        <f t="shared" si="232"/>
        <v>2.6579186883230776</v>
      </c>
      <c r="F646" s="529">
        <f t="shared" si="232"/>
        <v>0.48232584543324702</v>
      </c>
      <c r="G646" s="529">
        <f t="shared" si="232"/>
        <v>0.31017655131899435</v>
      </c>
      <c r="H646" s="529">
        <f t="shared" si="232"/>
        <v>0.22092382768752689</v>
      </c>
      <c r="I646" s="529">
        <f t="shared" si="232"/>
        <v>0.10661321663190297</v>
      </c>
      <c r="J646" s="529">
        <f t="shared" si="232"/>
        <v>0.2793841201183736</v>
      </c>
      <c r="K646" s="529">
        <f t="shared" si="232"/>
        <v>0.43228792622333317</v>
      </c>
      <c r="L646" s="529">
        <f t="shared" si="232"/>
        <v>0.20335363153768465</v>
      </c>
      <c r="M646" s="529">
        <f t="shared" si="232"/>
        <v>0.23154784920152732</v>
      </c>
      <c r="N646" s="529">
        <f t="shared" si="232"/>
        <v>0.46799675121515727</v>
      </c>
      <c r="O646" s="529">
        <f t="shared" si="232"/>
        <v>0.30873718466108557</v>
      </c>
      <c r="P646" s="529">
        <f t="shared" si="232"/>
        <v>0.30381359843254124</v>
      </c>
      <c r="Q646" s="529">
        <f t="shared" si="232"/>
        <v>1.6255685935130528</v>
      </c>
      <c r="R646" s="529">
        <f t="shared" si="232"/>
        <v>0.44229510717528475</v>
      </c>
      <c r="S646" s="529">
        <f t="shared" si="232"/>
        <v>0.49835433078518959</v>
      </c>
      <c r="T646" s="529">
        <f t="shared" si="232"/>
        <v>0.40797504625354342</v>
      </c>
      <c r="U646" s="529">
        <f t="shared" si="232"/>
        <v>0.37895230113305683</v>
      </c>
      <c r="V646" s="529">
        <f t="shared" si="232"/>
        <v>0.60511341326480939</v>
      </c>
      <c r="W646" s="529">
        <f t="shared" si="232"/>
        <v>8.0700464509738029E-2</v>
      </c>
      <c r="X646" s="529">
        <f t="shared" si="232"/>
        <v>0.34081032279518192</v>
      </c>
      <c r="Y646" s="529">
        <f t="shared" si="232"/>
        <v>0.15134752708989396</v>
      </c>
      <c r="Z646" s="529">
        <f t="shared" si="232"/>
        <v>0.16504509242434406</v>
      </c>
      <c r="AA646" s="529">
        <f t="shared" si="232"/>
        <v>0.19184367071819389</v>
      </c>
      <c r="AB646" s="529">
        <f>SUM(AB642:AB645)</f>
        <v>0.40091337992242593</v>
      </c>
      <c r="AC646" s="529">
        <f t="shared" si="232"/>
        <v>0.15459614013215511</v>
      </c>
    </row>
    <row r="647" spans="1:29" s="429" customFormat="1">
      <c r="A647" s="508"/>
      <c r="B647" s="508"/>
      <c r="C647" s="510"/>
      <c r="D647" s="510"/>
      <c r="E647" s="510"/>
      <c r="F647" s="510"/>
      <c r="G647" s="510"/>
      <c r="H647" s="510"/>
      <c r="I647" s="510"/>
      <c r="J647" s="510"/>
      <c r="K647" s="510"/>
      <c r="L647" s="510"/>
      <c r="M647" s="510"/>
      <c r="N647" s="510"/>
      <c r="O647" s="510"/>
      <c r="P647" s="510"/>
      <c r="Q647" s="510"/>
      <c r="R647" s="510"/>
      <c r="S647" s="510"/>
      <c r="T647" s="510"/>
      <c r="U647" s="510"/>
      <c r="V647" s="510"/>
      <c r="W647" s="510"/>
      <c r="X647" s="510"/>
      <c r="Y647" s="510"/>
      <c r="Z647" s="510"/>
      <c r="AA647" s="510"/>
      <c r="AB647" s="510"/>
      <c r="AC647" s="510"/>
    </row>
    <row r="648" spans="1:29" s="429" customFormat="1">
      <c r="A648" s="508"/>
      <c r="B648" s="508"/>
      <c r="C648" s="510"/>
      <c r="D648" s="510"/>
      <c r="E648" s="510"/>
      <c r="F648" s="510"/>
      <c r="G648" s="510"/>
      <c r="H648" s="510"/>
      <c r="I648" s="510"/>
      <c r="J648" s="510"/>
      <c r="K648" s="510"/>
      <c r="L648" s="510"/>
      <c r="M648" s="510"/>
      <c r="N648" s="510"/>
      <c r="O648" s="510"/>
      <c r="P648" s="510"/>
      <c r="Q648" s="510"/>
      <c r="R648" s="510"/>
      <c r="S648" s="510"/>
      <c r="T648" s="510"/>
      <c r="U648" s="510"/>
      <c r="V648" s="510"/>
      <c r="W648" s="510"/>
      <c r="X648" s="510"/>
      <c r="Y648" s="510"/>
      <c r="Z648" s="510"/>
      <c r="AA648" s="510"/>
      <c r="AB648" s="510"/>
      <c r="AC648" s="510"/>
    </row>
    <row r="649" spans="1:29" s="429" customFormat="1">
      <c r="A649" s="508"/>
      <c r="B649" s="508"/>
      <c r="C649" s="510"/>
      <c r="D649" s="510"/>
      <c r="E649" s="510"/>
      <c r="F649" s="510"/>
      <c r="G649" s="510"/>
      <c r="H649" s="510"/>
      <c r="I649" s="510"/>
      <c r="J649" s="510"/>
      <c r="K649" s="510"/>
      <c r="L649" s="510"/>
      <c r="M649" s="510"/>
      <c r="N649" s="510"/>
      <c r="O649" s="510"/>
      <c r="P649" s="510"/>
      <c r="Q649" s="510"/>
      <c r="R649" s="510"/>
      <c r="S649" s="510"/>
      <c r="T649" s="510"/>
      <c r="U649" s="510"/>
      <c r="V649" s="510"/>
      <c r="W649" s="510"/>
      <c r="X649" s="510"/>
      <c r="Y649" s="510"/>
      <c r="Z649" s="510"/>
      <c r="AA649" s="510"/>
      <c r="AB649" s="510"/>
      <c r="AC649" s="510"/>
    </row>
    <row r="650" spans="1:29" s="429" customFormat="1" ht="15.6">
      <c r="A650" s="143" t="s">
        <v>1081</v>
      </c>
    </row>
    <row r="651" spans="1:29" s="429" customFormat="1" ht="17.399999999999999">
      <c r="A651" s="431" t="s">
        <v>1052</v>
      </c>
      <c r="B651" s="431" t="s">
        <v>657</v>
      </c>
      <c r="C651" s="113" t="str">
        <f>C641</f>
        <v>IE</v>
      </c>
      <c r="D651" s="113" t="str">
        <f t="shared" ref="D651:AC651" si="233">D641</f>
        <v>IE-CW</v>
      </c>
      <c r="E651" s="113" t="str">
        <f t="shared" si="233"/>
        <v>IE-D</v>
      </c>
      <c r="F651" s="113" t="str">
        <f t="shared" si="233"/>
        <v>IE-KE</v>
      </c>
      <c r="G651" s="113" t="str">
        <f t="shared" si="233"/>
        <v>IE-KK</v>
      </c>
      <c r="H651" s="113" t="str">
        <f t="shared" si="233"/>
        <v>IE-LS</v>
      </c>
      <c r="I651" s="113" t="str">
        <f t="shared" si="233"/>
        <v>IE-LD</v>
      </c>
      <c r="J651" s="113" t="str">
        <f t="shared" si="233"/>
        <v>IE-LH</v>
      </c>
      <c r="K651" s="113" t="str">
        <f t="shared" si="233"/>
        <v>IE-MH</v>
      </c>
      <c r="L651" s="113" t="str">
        <f t="shared" si="233"/>
        <v>IE-OY</v>
      </c>
      <c r="M651" s="113" t="str">
        <f t="shared" si="233"/>
        <v>IE-WH</v>
      </c>
      <c r="N651" s="113" t="str">
        <f t="shared" si="233"/>
        <v>IE-WX</v>
      </c>
      <c r="O651" s="113" t="str">
        <f t="shared" si="233"/>
        <v>IE-WW</v>
      </c>
      <c r="P651" s="113" t="str">
        <f t="shared" si="233"/>
        <v>IE-CE</v>
      </c>
      <c r="Q651" s="113" t="str">
        <f t="shared" si="233"/>
        <v>IE-CO</v>
      </c>
      <c r="R651" s="113" t="str">
        <f t="shared" si="233"/>
        <v>IE-KY</v>
      </c>
      <c r="S651" s="113" t="str">
        <f t="shared" si="233"/>
        <v>IE-LK</v>
      </c>
      <c r="T651" s="113" t="str">
        <f t="shared" si="233"/>
        <v>IE-TA</v>
      </c>
      <c r="U651" s="113" t="str">
        <f t="shared" si="233"/>
        <v>IE-WD</v>
      </c>
      <c r="V651" s="113" t="str">
        <f t="shared" si="233"/>
        <v>IE-G</v>
      </c>
      <c r="W651" s="113" t="str">
        <f t="shared" si="233"/>
        <v>IE-LM</v>
      </c>
      <c r="X651" s="113" t="str">
        <f t="shared" si="233"/>
        <v>IE-MO</v>
      </c>
      <c r="Y651" s="113" t="str">
        <f t="shared" si="233"/>
        <v>IE-RN</v>
      </c>
      <c r="Z651" s="113" t="str">
        <f t="shared" si="233"/>
        <v>IE-SO</v>
      </c>
      <c r="AA651" s="113" t="str">
        <f t="shared" si="233"/>
        <v>IE-CN</v>
      </c>
      <c r="AB651" s="113" t="str">
        <f t="shared" si="233"/>
        <v>IE-DL</v>
      </c>
      <c r="AC651" s="113" t="str">
        <f t="shared" si="233"/>
        <v>IE-MN</v>
      </c>
    </row>
    <row r="652" spans="1:29" s="429" customFormat="1">
      <c r="A652" s="524" t="s">
        <v>1049</v>
      </c>
      <c r="B652" s="429" t="s">
        <v>1058</v>
      </c>
      <c r="C652" s="130">
        <f>C642/C$646</f>
        <v>2.5114928752301518E-2</v>
      </c>
      <c r="D652" s="130">
        <f>D642/D$646</f>
        <v>2.5307678973825617E-2</v>
      </c>
      <c r="E652" s="130">
        <f t="shared" ref="E652:AC652" si="234">E642/E$646</f>
        <v>2.5036666940775772E-2</v>
      </c>
      <c r="F652" s="130">
        <f t="shared" si="234"/>
        <v>2.5307678973825621E-2</v>
      </c>
      <c r="G652" s="130">
        <f t="shared" si="234"/>
        <v>2.5307678973825624E-2</v>
      </c>
      <c r="H652" s="130">
        <f t="shared" si="234"/>
        <v>2.5307678973825617E-2</v>
      </c>
      <c r="I652" s="130">
        <f t="shared" si="234"/>
        <v>2.5307678973825614E-2</v>
      </c>
      <c r="J652" s="130">
        <f t="shared" si="234"/>
        <v>2.5307678973825617E-2</v>
      </c>
      <c r="K652" s="130">
        <f t="shared" si="234"/>
        <v>2.475224056984587E-2</v>
      </c>
      <c r="L652" s="130">
        <f t="shared" si="234"/>
        <v>2.5307678973825621E-2</v>
      </c>
      <c r="M652" s="130">
        <f t="shared" si="234"/>
        <v>2.5307678973825621E-2</v>
      </c>
      <c r="N652" s="130">
        <f t="shared" si="234"/>
        <v>2.5307678973825614E-2</v>
      </c>
      <c r="O652" s="130">
        <f t="shared" si="234"/>
        <v>2.5307678973825621E-2</v>
      </c>
      <c r="P652" s="130">
        <f t="shared" si="234"/>
        <v>2.5307678973825621E-2</v>
      </c>
      <c r="Q652" s="130">
        <f t="shared" si="234"/>
        <v>2.5307678973825624E-2</v>
      </c>
      <c r="R652" s="130">
        <f t="shared" si="234"/>
        <v>2.5307678973825621E-2</v>
      </c>
      <c r="S652" s="130">
        <f t="shared" si="234"/>
        <v>2.5307678973825621E-2</v>
      </c>
      <c r="T652" s="130">
        <f t="shared" si="234"/>
        <v>2.5307678973825624E-2</v>
      </c>
      <c r="U652" s="130">
        <f t="shared" si="234"/>
        <v>2.4251656377299691E-2</v>
      </c>
      <c r="V652" s="130">
        <f t="shared" si="234"/>
        <v>2.5307678973825621E-2</v>
      </c>
      <c r="W652" s="130">
        <f t="shared" si="234"/>
        <v>2.5307678973825621E-2</v>
      </c>
      <c r="X652" s="130">
        <f t="shared" si="234"/>
        <v>2.2724421467469186E-2</v>
      </c>
      <c r="Y652" s="130">
        <f t="shared" si="234"/>
        <v>2.5307678973825621E-2</v>
      </c>
      <c r="Z652" s="130">
        <f t="shared" si="234"/>
        <v>2.5307678973825621E-2</v>
      </c>
      <c r="AA652" s="130">
        <f t="shared" si="234"/>
        <v>2.5307678973825614E-2</v>
      </c>
      <c r="AB652" s="130">
        <f t="shared" si="234"/>
        <v>2.5307678973825614E-2</v>
      </c>
      <c r="AC652" s="130">
        <f t="shared" si="234"/>
        <v>2.5307678973825614E-2</v>
      </c>
    </row>
    <row r="653" spans="1:29" s="429" customFormat="1">
      <c r="A653" s="524" t="s">
        <v>1050</v>
      </c>
      <c r="B653" s="429" t="s">
        <v>1059</v>
      </c>
      <c r="C653" s="130">
        <f t="shared" ref="C653:C655" si="235">C643/C$646</f>
        <v>9.8051434169944274E-2</v>
      </c>
      <c r="D653" s="130">
        <f t="shared" ref="D653:AC653" si="236">D643/D$646</f>
        <v>9.8803952158086308E-2</v>
      </c>
      <c r="E653" s="130">
        <f t="shared" si="236"/>
        <v>9.7745891481110903E-2</v>
      </c>
      <c r="F653" s="130">
        <f t="shared" si="236"/>
        <v>9.8803952158086336E-2</v>
      </c>
      <c r="G653" s="130">
        <f t="shared" si="236"/>
        <v>9.8803952158086336E-2</v>
      </c>
      <c r="H653" s="130">
        <f t="shared" si="236"/>
        <v>9.8803952158086308E-2</v>
      </c>
      <c r="I653" s="130">
        <f t="shared" si="236"/>
        <v>9.8803952158086322E-2</v>
      </c>
      <c r="J653" s="130">
        <f t="shared" si="236"/>
        <v>9.8803952158086308E-2</v>
      </c>
      <c r="K653" s="130">
        <f t="shared" si="236"/>
        <v>9.663545975898731E-2</v>
      </c>
      <c r="L653" s="130">
        <f t="shared" si="236"/>
        <v>9.8803952158086322E-2</v>
      </c>
      <c r="M653" s="130">
        <f t="shared" si="236"/>
        <v>9.8803952158086322E-2</v>
      </c>
      <c r="N653" s="130">
        <f t="shared" si="236"/>
        <v>9.8803952158086322E-2</v>
      </c>
      <c r="O653" s="130">
        <f t="shared" si="236"/>
        <v>9.8803952158086322E-2</v>
      </c>
      <c r="P653" s="130">
        <f t="shared" si="236"/>
        <v>9.8803952158086322E-2</v>
      </c>
      <c r="Q653" s="130">
        <f t="shared" si="236"/>
        <v>9.8803952158086322E-2</v>
      </c>
      <c r="R653" s="130">
        <f t="shared" si="236"/>
        <v>9.8803952158086336E-2</v>
      </c>
      <c r="S653" s="130">
        <f t="shared" si="236"/>
        <v>9.8803952158086336E-2</v>
      </c>
      <c r="T653" s="130">
        <f t="shared" si="236"/>
        <v>9.8803952158086322E-2</v>
      </c>
      <c r="U653" s="130">
        <f t="shared" si="236"/>
        <v>9.4681124212745368E-2</v>
      </c>
      <c r="V653" s="130">
        <f t="shared" si="236"/>
        <v>9.8803952158086322E-2</v>
      </c>
      <c r="W653" s="130">
        <f t="shared" si="236"/>
        <v>9.8803952158086336E-2</v>
      </c>
      <c r="X653" s="130">
        <f t="shared" si="236"/>
        <v>8.8718631756557781E-2</v>
      </c>
      <c r="Y653" s="130">
        <f t="shared" si="236"/>
        <v>9.8803952158086322E-2</v>
      </c>
      <c r="Z653" s="130">
        <f t="shared" si="236"/>
        <v>9.8803952158086322E-2</v>
      </c>
      <c r="AA653" s="130">
        <f t="shared" si="236"/>
        <v>9.8803952158086308E-2</v>
      </c>
      <c r="AB653" s="130">
        <f t="shared" si="236"/>
        <v>9.8803952158086308E-2</v>
      </c>
      <c r="AC653" s="130">
        <f t="shared" si="236"/>
        <v>9.8803952158086308E-2</v>
      </c>
    </row>
    <row r="654" spans="1:29" s="429" customFormat="1">
      <c r="A654" s="524" t="s">
        <v>1051</v>
      </c>
      <c r="B654" s="429" t="s">
        <v>1060</v>
      </c>
      <c r="C654" s="130">
        <f t="shared" si="235"/>
        <v>0.86921736291355867</v>
      </c>
      <c r="D654" s="130">
        <f t="shared" ref="D654:AC654" si="237">D644/D$646</f>
        <v>0.87588836886808796</v>
      </c>
      <c r="E654" s="130">
        <f t="shared" si="237"/>
        <v>0.86650875377904113</v>
      </c>
      <c r="F654" s="130">
        <f t="shared" si="237"/>
        <v>0.87588836886808796</v>
      </c>
      <c r="G654" s="130">
        <f t="shared" si="237"/>
        <v>0.87588836886808819</v>
      </c>
      <c r="H654" s="130">
        <f>H644/H$646</f>
        <v>0.87588836886808807</v>
      </c>
      <c r="I654" s="130">
        <f t="shared" si="237"/>
        <v>0.87588836886808807</v>
      </c>
      <c r="J654" s="130">
        <f t="shared" si="237"/>
        <v>0.87588836886808807</v>
      </c>
      <c r="K654" s="130">
        <f t="shared" si="237"/>
        <v>0.85666487396870672</v>
      </c>
      <c r="L654" s="130">
        <f t="shared" si="237"/>
        <v>0.87588836886808807</v>
      </c>
      <c r="M654" s="130">
        <f t="shared" si="237"/>
        <v>0.87588836886808807</v>
      </c>
      <c r="N654" s="130">
        <f t="shared" si="237"/>
        <v>0.87588836886808807</v>
      </c>
      <c r="O654" s="130">
        <f t="shared" si="237"/>
        <v>0.87588836886808807</v>
      </c>
      <c r="P654" s="130">
        <f t="shared" si="237"/>
        <v>0.87588836886808807</v>
      </c>
      <c r="Q654" s="130">
        <f t="shared" si="237"/>
        <v>0.87588836886808796</v>
      </c>
      <c r="R654" s="130">
        <f t="shared" si="237"/>
        <v>0.87588836886808807</v>
      </c>
      <c r="S654" s="130">
        <f t="shared" si="237"/>
        <v>0.87588836886808807</v>
      </c>
      <c r="T654" s="130">
        <f t="shared" si="237"/>
        <v>0.87588836886808807</v>
      </c>
      <c r="U654" s="130">
        <f t="shared" si="237"/>
        <v>0.83933986078421463</v>
      </c>
      <c r="V654" s="130">
        <f t="shared" si="237"/>
        <v>0.87588836886808807</v>
      </c>
      <c r="W654" s="130">
        <f t="shared" si="237"/>
        <v>0.87588836886808796</v>
      </c>
      <c r="X654" s="130">
        <f t="shared" si="237"/>
        <v>0.78648288818576584</v>
      </c>
      <c r="Y654" s="130">
        <f t="shared" si="237"/>
        <v>0.87588836886808807</v>
      </c>
      <c r="Z654" s="130">
        <f t="shared" si="237"/>
        <v>0.87588836886808807</v>
      </c>
      <c r="AA654" s="130">
        <f t="shared" si="237"/>
        <v>0.87588836886808807</v>
      </c>
      <c r="AB654" s="130">
        <f t="shared" si="237"/>
        <v>0.87588836886808807</v>
      </c>
      <c r="AC654" s="130">
        <f t="shared" si="237"/>
        <v>0.87588836886808807</v>
      </c>
    </row>
    <row r="655" spans="1:29" s="429" customFormat="1">
      <c r="A655" s="524" t="s">
        <v>24</v>
      </c>
      <c r="B655" s="429" t="s">
        <v>17</v>
      </c>
      <c r="C655" s="526">
        <f t="shared" si="235"/>
        <v>7.6162741641953831E-3</v>
      </c>
      <c r="D655" s="526">
        <f t="shared" ref="D655:AC655" si="238">D645/D$646</f>
        <v>0</v>
      </c>
      <c r="E655" s="526">
        <f t="shared" si="238"/>
        <v>1.0708687799072239E-2</v>
      </c>
      <c r="F655" s="526">
        <f t="shared" si="238"/>
        <v>0</v>
      </c>
      <c r="G655" s="526">
        <f t="shared" si="238"/>
        <v>0</v>
      </c>
      <c r="H655" s="526">
        <f t="shared" si="238"/>
        <v>0</v>
      </c>
      <c r="I655" s="526">
        <f t="shared" si="238"/>
        <v>0</v>
      </c>
      <c r="J655" s="526">
        <f t="shared" si="238"/>
        <v>0</v>
      </c>
      <c r="K655" s="526">
        <f t="shared" si="238"/>
        <v>2.1947425702460065E-2</v>
      </c>
      <c r="L655" s="526">
        <f t="shared" si="238"/>
        <v>0</v>
      </c>
      <c r="M655" s="526">
        <f t="shared" si="238"/>
        <v>0</v>
      </c>
      <c r="N655" s="526">
        <f t="shared" si="238"/>
        <v>0</v>
      </c>
      <c r="O655" s="526">
        <f t="shared" si="238"/>
        <v>0</v>
      </c>
      <c r="P655" s="526">
        <f t="shared" si="238"/>
        <v>0</v>
      </c>
      <c r="Q655" s="526">
        <f t="shared" si="238"/>
        <v>0</v>
      </c>
      <c r="R655" s="526">
        <f t="shared" si="238"/>
        <v>0</v>
      </c>
      <c r="S655" s="526">
        <f t="shared" si="238"/>
        <v>0</v>
      </c>
      <c r="T655" s="526">
        <f t="shared" si="238"/>
        <v>0</v>
      </c>
      <c r="U655" s="526">
        <f t="shared" si="238"/>
        <v>4.1727358625740237E-2</v>
      </c>
      <c r="V655" s="526">
        <f t="shared" si="238"/>
        <v>0</v>
      </c>
      <c r="W655" s="526">
        <f t="shared" si="238"/>
        <v>0</v>
      </c>
      <c r="X655" s="526">
        <f>X645/X$646</f>
        <v>0.10207405859020728</v>
      </c>
      <c r="Y655" s="526">
        <f t="shared" si="238"/>
        <v>0</v>
      </c>
      <c r="Z655" s="526">
        <f t="shared" si="238"/>
        <v>0</v>
      </c>
      <c r="AA655" s="526">
        <f t="shared" si="238"/>
        <v>0</v>
      </c>
      <c r="AB655" s="526">
        <f t="shared" si="238"/>
        <v>0</v>
      </c>
      <c r="AC655" s="526">
        <f t="shared" si="238"/>
        <v>0</v>
      </c>
    </row>
    <row r="656" spans="1:29" s="429" customFormat="1">
      <c r="A656" s="525"/>
      <c r="B656" s="525" t="s">
        <v>16</v>
      </c>
      <c r="C656" s="509">
        <f>SUM(C652:C655)</f>
        <v>0.99999999999999989</v>
      </c>
      <c r="D656" s="509">
        <f t="shared" ref="D656:AC656" si="239">SUM(D652:D655)</f>
        <v>0.99999999999999989</v>
      </c>
      <c r="E656" s="509">
        <f t="shared" si="239"/>
        <v>1</v>
      </c>
      <c r="F656" s="509">
        <f t="shared" si="239"/>
        <v>0.99999999999999989</v>
      </c>
      <c r="G656" s="509">
        <f t="shared" si="239"/>
        <v>1.0000000000000002</v>
      </c>
      <c r="H656" s="509">
        <f t="shared" si="239"/>
        <v>1</v>
      </c>
      <c r="I656" s="509">
        <f t="shared" si="239"/>
        <v>1</v>
      </c>
      <c r="J656" s="509">
        <f t="shared" si="239"/>
        <v>1</v>
      </c>
      <c r="K656" s="509">
        <f t="shared" si="239"/>
        <v>1</v>
      </c>
      <c r="L656" s="509">
        <f t="shared" si="239"/>
        <v>1</v>
      </c>
      <c r="M656" s="509">
        <f t="shared" si="239"/>
        <v>1</v>
      </c>
      <c r="N656" s="509">
        <f t="shared" si="239"/>
        <v>1</v>
      </c>
      <c r="O656" s="509">
        <f t="shared" si="239"/>
        <v>1</v>
      </c>
      <c r="P656" s="509">
        <f t="shared" si="239"/>
        <v>1</v>
      </c>
      <c r="Q656" s="509">
        <f t="shared" si="239"/>
        <v>0.99999999999999989</v>
      </c>
      <c r="R656" s="509">
        <f t="shared" si="239"/>
        <v>1</v>
      </c>
      <c r="S656" s="509">
        <f t="shared" si="239"/>
        <v>1</v>
      </c>
      <c r="T656" s="509">
        <f t="shared" si="239"/>
        <v>1</v>
      </c>
      <c r="U656" s="509">
        <f t="shared" si="239"/>
        <v>1</v>
      </c>
      <c r="V656" s="509">
        <f t="shared" si="239"/>
        <v>1</v>
      </c>
      <c r="W656" s="509">
        <f t="shared" si="239"/>
        <v>0.99999999999999989</v>
      </c>
      <c r="X656" s="509">
        <f t="shared" si="239"/>
        <v>1</v>
      </c>
      <c r="Y656" s="509">
        <f t="shared" si="239"/>
        <v>1</v>
      </c>
      <c r="Z656" s="509">
        <f t="shared" si="239"/>
        <v>1</v>
      </c>
      <c r="AA656" s="509">
        <f t="shared" si="239"/>
        <v>1</v>
      </c>
      <c r="AB656" s="509">
        <f t="shared" si="239"/>
        <v>1</v>
      </c>
      <c r="AC656" s="509">
        <f t="shared" si="239"/>
        <v>1</v>
      </c>
    </row>
    <row r="657" spans="1:32" s="201" customFormat="1">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c r="AA657" s="130"/>
      <c r="AB657" s="130"/>
      <c r="AC657" s="130"/>
    </row>
    <row r="658" spans="1:32" s="429" customFormat="1">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c r="AA658" s="130"/>
      <c r="AB658" s="130"/>
      <c r="AC658" s="130"/>
    </row>
    <row r="659" spans="1:32">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c r="AE659" s="201"/>
      <c r="AF659" s="201"/>
    </row>
    <row r="660" spans="1:32" s="261" customFormat="1" ht="18">
      <c r="A660" s="263" t="s">
        <v>721</v>
      </c>
    </row>
    <row r="661" spans="1:32">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c r="AE661" s="201"/>
      <c r="AF661" s="201"/>
    </row>
    <row r="662" spans="1:32">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c r="AC662" s="201"/>
      <c r="AD662" s="201"/>
      <c r="AE662" s="201"/>
      <c r="AF662" s="201"/>
    </row>
    <row r="663" spans="1:32" ht="15.6">
      <c r="A663" s="143" t="s">
        <v>722</v>
      </c>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c r="AC663" s="201"/>
      <c r="AD663" s="201"/>
      <c r="AE663" s="201"/>
      <c r="AF663" s="201"/>
    </row>
    <row r="664" spans="1:32">
      <c r="A664" s="115" t="s">
        <v>116</v>
      </c>
      <c r="B664" s="115" t="str">
        <f t="shared" ref="B664:AC664" si="240">B521</f>
        <v>Unit</v>
      </c>
      <c r="C664" s="115" t="str">
        <f t="shared" si="240"/>
        <v>IE</v>
      </c>
      <c r="D664" s="115" t="str">
        <f t="shared" si="240"/>
        <v>IE-CW</v>
      </c>
      <c r="E664" s="115" t="str">
        <f t="shared" si="240"/>
        <v>IE-D</v>
      </c>
      <c r="F664" s="115" t="str">
        <f t="shared" si="240"/>
        <v>IE-KE</v>
      </c>
      <c r="G664" s="115" t="str">
        <f t="shared" si="240"/>
        <v>IE-KK</v>
      </c>
      <c r="H664" s="115" t="str">
        <f t="shared" si="240"/>
        <v>IE-LS</v>
      </c>
      <c r="I664" s="115" t="str">
        <f t="shared" si="240"/>
        <v>IE-LD</v>
      </c>
      <c r="J664" s="115" t="str">
        <f t="shared" si="240"/>
        <v>IE-LH</v>
      </c>
      <c r="K664" s="115" t="str">
        <f t="shared" si="240"/>
        <v>IE-MH</v>
      </c>
      <c r="L664" s="115" t="str">
        <f t="shared" si="240"/>
        <v>IE-OY</v>
      </c>
      <c r="M664" s="115" t="str">
        <f t="shared" si="240"/>
        <v>IE-WH</v>
      </c>
      <c r="N664" s="115" t="str">
        <f t="shared" si="240"/>
        <v>IE-WX</v>
      </c>
      <c r="O664" s="115" t="str">
        <f t="shared" si="240"/>
        <v>IE-WW</v>
      </c>
      <c r="P664" s="115" t="str">
        <f t="shared" si="240"/>
        <v>IE-CE</v>
      </c>
      <c r="Q664" s="115" t="str">
        <f t="shared" si="240"/>
        <v>IE-CO</v>
      </c>
      <c r="R664" s="115" t="str">
        <f t="shared" si="240"/>
        <v>IE-KY</v>
      </c>
      <c r="S664" s="115" t="str">
        <f t="shared" si="240"/>
        <v>IE-LK</v>
      </c>
      <c r="T664" s="115" t="str">
        <f t="shared" si="240"/>
        <v>IE-TA</v>
      </c>
      <c r="U664" s="115" t="str">
        <f t="shared" si="240"/>
        <v>IE-WD</v>
      </c>
      <c r="V664" s="115" t="str">
        <f t="shared" si="240"/>
        <v>IE-G</v>
      </c>
      <c r="W664" s="115" t="str">
        <f t="shared" si="240"/>
        <v>IE-LM</v>
      </c>
      <c r="X664" s="115" t="str">
        <f t="shared" si="240"/>
        <v>IE-MO</v>
      </c>
      <c r="Y664" s="115" t="str">
        <f t="shared" si="240"/>
        <v>IE-RN</v>
      </c>
      <c r="Z664" s="115" t="str">
        <f t="shared" si="240"/>
        <v>IE-SO</v>
      </c>
      <c r="AA664" s="115" t="str">
        <f t="shared" si="240"/>
        <v>IE-CN</v>
      </c>
      <c r="AB664" s="115" t="str">
        <f t="shared" si="240"/>
        <v>IE-DL</v>
      </c>
      <c r="AC664" s="115" t="str">
        <f t="shared" si="240"/>
        <v>IE-MN</v>
      </c>
      <c r="AD664" s="201"/>
      <c r="AE664" s="201"/>
      <c r="AF664" s="201"/>
    </row>
    <row r="665" spans="1:32">
      <c r="A665" s="201" t="str">
        <f>Commodities!D23</f>
        <v xml:space="preserve">Transport Demand: Turism fuel </v>
      </c>
      <c r="B665" s="201" t="s">
        <v>86</v>
      </c>
      <c r="C665" s="309">
        <f>'EB2018'!AQ53*0.041868</f>
        <v>7.7245727925227738</v>
      </c>
      <c r="D665" s="7">
        <f t="shared" ref="D665:AC665" si="241">$C$665*C185</f>
        <v>9.2353600579585152E-2</v>
      </c>
      <c r="E665" s="7">
        <f t="shared" si="241"/>
        <v>2.1856505115455191</v>
      </c>
      <c r="F665" s="7">
        <f t="shared" si="241"/>
        <v>0.36094016622215996</v>
      </c>
      <c r="G665" s="7">
        <f t="shared" si="241"/>
        <v>0.16097155365547308</v>
      </c>
      <c r="H665" s="7">
        <f t="shared" si="241"/>
        <v>0.13739325701343924</v>
      </c>
      <c r="I665" s="7">
        <f t="shared" si="241"/>
        <v>6.6303111018221464E-2</v>
      </c>
      <c r="J665" s="7">
        <f t="shared" si="241"/>
        <v>0.20907225210952107</v>
      </c>
      <c r="K665" s="7">
        <f t="shared" si="241"/>
        <v>0.31639527280693819</v>
      </c>
      <c r="L665" s="7">
        <f t="shared" si="241"/>
        <v>0.12646629408390778</v>
      </c>
      <c r="M665" s="7">
        <f t="shared" si="241"/>
        <v>0.14400037102946978</v>
      </c>
      <c r="N665" s="7">
        <f t="shared" si="241"/>
        <v>0.24287511041201165</v>
      </c>
      <c r="O665" s="7">
        <f t="shared" si="241"/>
        <v>0.23103810796296309</v>
      </c>
      <c r="P665" s="7">
        <f t="shared" si="241"/>
        <v>0.19274182814699234</v>
      </c>
      <c r="Q665" s="7">
        <f t="shared" si="241"/>
        <v>0.88062626360286367</v>
      </c>
      <c r="R665" s="7">
        <f t="shared" si="241"/>
        <v>0.23960643014137542</v>
      </c>
      <c r="S665" s="7">
        <f t="shared" si="241"/>
        <v>0.3161600576013589</v>
      </c>
      <c r="T665" s="7">
        <f t="shared" si="241"/>
        <v>0.25882270135028718</v>
      </c>
      <c r="U665" s="7">
        <f t="shared" si="241"/>
        <v>0.18845766705778619</v>
      </c>
      <c r="V665" s="7">
        <f t="shared" si="241"/>
        <v>0.41861493463020066</v>
      </c>
      <c r="W665" s="7">
        <f t="shared" si="241"/>
        <v>5.1980938259190375E-2</v>
      </c>
      <c r="X665" s="7">
        <f t="shared" si="241"/>
        <v>0.21170504023817749</v>
      </c>
      <c r="Y665" s="7">
        <f t="shared" si="241"/>
        <v>0.10470158778558181</v>
      </c>
      <c r="Z665" s="7">
        <f t="shared" si="241"/>
        <v>0.10630916205267886</v>
      </c>
      <c r="AA665" s="7">
        <f t="shared" si="241"/>
        <v>0.1235707137945352</v>
      </c>
      <c r="AB665" s="7">
        <f t="shared" si="241"/>
        <v>0.25823709659708632</v>
      </c>
      <c r="AC665" s="7">
        <f t="shared" si="241"/>
        <v>9.9578762825448142E-2</v>
      </c>
      <c r="AD665" s="201"/>
      <c r="AE665" s="201"/>
      <c r="AF665" s="201"/>
    </row>
    <row r="666" spans="1:32">
      <c r="A666" s="201" t="str">
        <f>Commodities!D24</f>
        <v xml:space="preserve">Transport Demand: Navigation fuel </v>
      </c>
      <c r="B666" s="201" t="s">
        <v>86</v>
      </c>
      <c r="C666" s="309">
        <f>'EB2018'!AQ54*0.041868</f>
        <v>3.513299808727715</v>
      </c>
      <c r="D666" s="7">
        <f t="shared" ref="D666:AC666" si="242">$C$666*C185</f>
        <v>4.2004379525771122E-2</v>
      </c>
      <c r="E666" s="7">
        <f t="shared" si="242"/>
        <v>0.99408028513777069</v>
      </c>
      <c r="F666" s="7">
        <f t="shared" si="242"/>
        <v>0.16416325549782509</v>
      </c>
      <c r="G666" s="7">
        <f t="shared" si="242"/>
        <v>7.3213282321037743E-2</v>
      </c>
      <c r="H666" s="7">
        <f t="shared" si="242"/>
        <v>6.2489372105217399E-2</v>
      </c>
      <c r="I666" s="7">
        <f t="shared" si="242"/>
        <v>3.0156063450376649E-2</v>
      </c>
      <c r="J666" s="7">
        <f t="shared" si="242"/>
        <v>9.5090501840783506E-2</v>
      </c>
      <c r="K666" s="7">
        <f t="shared" si="242"/>
        <v>0.14390329165011773</v>
      </c>
      <c r="L666" s="7">
        <f t="shared" si="242"/>
        <v>5.7519557229829314E-2</v>
      </c>
      <c r="M666" s="7">
        <f t="shared" si="242"/>
        <v>6.5494427922832554E-2</v>
      </c>
      <c r="N666" s="7">
        <f t="shared" si="242"/>
        <v>0.11046475991283469</v>
      </c>
      <c r="O666" s="7">
        <f t="shared" si="242"/>
        <v>0.10508103973087109</v>
      </c>
      <c r="P666" s="7">
        <f t="shared" si="242"/>
        <v>8.766307809515822E-2</v>
      </c>
      <c r="Q666" s="7">
        <f t="shared" si="242"/>
        <v>0.40052753292342302</v>
      </c>
      <c r="R666" s="7">
        <f t="shared" si="242"/>
        <v>0.10897809468511692</v>
      </c>
      <c r="S666" s="7">
        <f t="shared" si="242"/>
        <v>0.1437963107776517</v>
      </c>
      <c r="T666" s="7">
        <f t="shared" si="242"/>
        <v>0.11771806306603248</v>
      </c>
      <c r="U666" s="7">
        <f t="shared" si="242"/>
        <v>8.5714550618035304E-2</v>
      </c>
      <c r="V666" s="7">
        <f t="shared" si="242"/>
        <v>0.19039496542649909</v>
      </c>
      <c r="W666" s="7">
        <f t="shared" si="242"/>
        <v>2.3642035015875255E-2</v>
      </c>
      <c r="X666" s="7">
        <f t="shared" si="242"/>
        <v>9.6287949813282744E-2</v>
      </c>
      <c r="Y666" s="7">
        <f t="shared" si="242"/>
        <v>4.7620506430678201E-2</v>
      </c>
      <c r="Z666" s="7">
        <f t="shared" si="242"/>
        <v>4.8351665359049577E-2</v>
      </c>
      <c r="AA666" s="7">
        <f t="shared" si="242"/>
        <v>5.6202585799816289E-2</v>
      </c>
      <c r="AB666" s="7">
        <f t="shared" si="242"/>
        <v>0.11745171758354803</v>
      </c>
      <c r="AC666" s="7">
        <f t="shared" si="242"/>
        <v>4.529053680827981E-2</v>
      </c>
      <c r="AD666" s="201"/>
      <c r="AE666" s="201"/>
      <c r="AF666" s="201"/>
    </row>
    <row r="667" spans="1:32">
      <c r="A667" s="200" t="str">
        <f>Commodities!D25</f>
        <v>Transport Demand: Unspecified fuel</v>
      </c>
      <c r="B667" s="200" t="s">
        <v>86</v>
      </c>
      <c r="C667" s="313">
        <f>'EB2018'!AQ55*0.041868</f>
        <v>21.784659175997088</v>
      </c>
      <c r="D667" s="258">
        <f t="shared" ref="D667:AC667" si="243">$C$667*C185</f>
        <v>0.26045346019004428</v>
      </c>
      <c r="E667" s="258">
        <f t="shared" si="243"/>
        <v>6.1639203553045476</v>
      </c>
      <c r="F667" s="258">
        <f t="shared" si="243"/>
        <v>1.0179149987024101</v>
      </c>
      <c r="G667" s="258">
        <f t="shared" si="243"/>
        <v>0.45396820349853295</v>
      </c>
      <c r="H667" s="258">
        <f t="shared" si="243"/>
        <v>0.387473243829765</v>
      </c>
      <c r="I667" s="258">
        <f t="shared" si="243"/>
        <v>0.18698647998221882</v>
      </c>
      <c r="J667" s="258">
        <f t="shared" si="243"/>
        <v>0.58962066611279551</v>
      </c>
      <c r="K667" s="258">
        <f t="shared" si="243"/>
        <v>0.89229053413382631</v>
      </c>
      <c r="L667" s="258">
        <f t="shared" si="243"/>
        <v>0.35665727903246053</v>
      </c>
      <c r="M667" s="258">
        <f t="shared" si="243"/>
        <v>0.40610647195022537</v>
      </c>
      <c r="N667" s="258">
        <f t="shared" si="243"/>
        <v>0.68495069497951611</v>
      </c>
      <c r="O667" s="258">
        <f t="shared" si="243"/>
        <v>0.65156825805464513</v>
      </c>
      <c r="P667" s="258">
        <f t="shared" si="243"/>
        <v>0.54356598713202586</v>
      </c>
      <c r="Q667" s="258">
        <f t="shared" si="243"/>
        <v>2.4835215524915508</v>
      </c>
      <c r="R667" s="258">
        <f t="shared" si="243"/>
        <v>0.67573243947675965</v>
      </c>
      <c r="S667" s="258">
        <f t="shared" si="243"/>
        <v>0.89162718572295796</v>
      </c>
      <c r="T667" s="258">
        <f t="shared" si="243"/>
        <v>0.72992571723638977</v>
      </c>
      <c r="U667" s="258">
        <f t="shared" si="243"/>
        <v>0.5314838964209686</v>
      </c>
      <c r="V667" s="258">
        <f t="shared" si="243"/>
        <v>1.1805680290473275</v>
      </c>
      <c r="W667" s="258">
        <f t="shared" si="243"/>
        <v>0.14659542398527681</v>
      </c>
      <c r="X667" s="258">
        <f t="shared" si="243"/>
        <v>0.59704559349789421</v>
      </c>
      <c r="Y667" s="258">
        <f t="shared" si="243"/>
        <v>0.29527696435231887</v>
      </c>
      <c r="Z667" s="258">
        <f t="shared" si="243"/>
        <v>0.29981060762935702</v>
      </c>
      <c r="AA667" s="258">
        <f t="shared" si="243"/>
        <v>0.34849123135383991</v>
      </c>
      <c r="AB667" s="258">
        <f t="shared" si="243"/>
        <v>0.7282742084341588</v>
      </c>
      <c r="AC667" s="258">
        <f t="shared" si="243"/>
        <v>0.28082969344526909</v>
      </c>
      <c r="AD667" s="201"/>
      <c r="AE667" s="201"/>
      <c r="AF667" s="201"/>
    </row>
    <row r="668" spans="1:32">
      <c r="A668" s="314" t="s">
        <v>732</v>
      </c>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c r="AC668" s="201"/>
      <c r="AD668" s="201"/>
      <c r="AE668" s="201"/>
      <c r="AF668" s="201"/>
    </row>
    <row r="669" spans="1:32">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c r="AC669" s="201"/>
      <c r="AD669" s="201"/>
      <c r="AE669" s="201"/>
      <c r="AF669" s="201"/>
    </row>
    <row r="670" spans="1:32">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row>
    <row r="671" spans="1:32">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c r="AC671" s="201"/>
      <c r="AD671" s="201"/>
      <c r="AE671" s="201"/>
      <c r="AF671" s="201"/>
    </row>
    <row r="672" spans="1:32">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c r="AC672" s="201"/>
      <c r="AD672" s="201"/>
      <c r="AE672" s="201"/>
      <c r="AF672" s="201"/>
    </row>
    <row r="673" spans="1:32" ht="18">
      <c r="A673" s="263" t="s">
        <v>93</v>
      </c>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01"/>
      <c r="AE673" s="201"/>
      <c r="AF673" s="201"/>
    </row>
    <row r="674" spans="1:32">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c r="AC674" s="201"/>
      <c r="AD674" s="201"/>
      <c r="AE674" s="201"/>
      <c r="AF674" s="201"/>
    </row>
    <row r="675" spans="1:32">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c r="AC675" s="201"/>
      <c r="AD675" s="201"/>
      <c r="AE675" s="201"/>
      <c r="AF675" s="201"/>
    </row>
    <row r="676" spans="1:32" ht="15.6">
      <c r="A676" s="143" t="s">
        <v>722</v>
      </c>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c r="AC676" s="201"/>
      <c r="AD676" s="201"/>
      <c r="AE676" s="201"/>
      <c r="AF676" s="201"/>
    </row>
    <row r="677" spans="1:32">
      <c r="A677" s="115" t="s">
        <v>116</v>
      </c>
      <c r="B677" s="115" t="str">
        <f>B664</f>
        <v>Unit</v>
      </c>
      <c r="C677" s="115" t="str">
        <f t="shared" ref="C677:AC677" si="244">C664</f>
        <v>IE</v>
      </c>
      <c r="D677" s="115" t="str">
        <f t="shared" si="244"/>
        <v>IE-CW</v>
      </c>
      <c r="E677" s="276" t="str">
        <f t="shared" si="244"/>
        <v>IE-D</v>
      </c>
      <c r="F677" s="115" t="str">
        <f t="shared" si="244"/>
        <v>IE-KE</v>
      </c>
      <c r="G677" s="115" t="str">
        <f t="shared" si="244"/>
        <v>IE-KK</v>
      </c>
      <c r="H677" s="115" t="str">
        <f t="shared" si="244"/>
        <v>IE-LS</v>
      </c>
      <c r="I677" s="115" t="str">
        <f t="shared" si="244"/>
        <v>IE-LD</v>
      </c>
      <c r="J677" s="115" t="str">
        <f t="shared" si="244"/>
        <v>IE-LH</v>
      </c>
      <c r="K677" s="115" t="str">
        <f t="shared" si="244"/>
        <v>IE-MH</v>
      </c>
      <c r="L677" s="115" t="str">
        <f t="shared" si="244"/>
        <v>IE-OY</v>
      </c>
      <c r="M677" s="115" t="str">
        <f t="shared" si="244"/>
        <v>IE-WH</v>
      </c>
      <c r="N677" s="115" t="str">
        <f t="shared" si="244"/>
        <v>IE-WX</v>
      </c>
      <c r="O677" s="115" t="str">
        <f t="shared" si="244"/>
        <v>IE-WW</v>
      </c>
      <c r="P677" s="276" t="str">
        <f t="shared" si="244"/>
        <v>IE-CE</v>
      </c>
      <c r="Q677" s="276" t="str">
        <f t="shared" si="244"/>
        <v>IE-CO</v>
      </c>
      <c r="R677" s="276" t="str">
        <f t="shared" si="244"/>
        <v>IE-KY</v>
      </c>
      <c r="S677" s="115" t="str">
        <f t="shared" si="244"/>
        <v>IE-LK</v>
      </c>
      <c r="T677" s="115" t="str">
        <f t="shared" si="244"/>
        <v>IE-TA</v>
      </c>
      <c r="U677" s="115" t="str">
        <f t="shared" si="244"/>
        <v>IE-WD</v>
      </c>
      <c r="V677" s="115" t="str">
        <f t="shared" si="244"/>
        <v>IE-G</v>
      </c>
      <c r="W677" s="115" t="str">
        <f t="shared" si="244"/>
        <v>IE-LM</v>
      </c>
      <c r="X677" s="276" t="str">
        <f t="shared" si="244"/>
        <v>IE-MO</v>
      </c>
      <c r="Y677" s="115" t="str">
        <f t="shared" si="244"/>
        <v>IE-RN</v>
      </c>
      <c r="Z677" s="115" t="str">
        <f t="shared" si="244"/>
        <v>IE-SO</v>
      </c>
      <c r="AA677" s="115" t="str">
        <f t="shared" si="244"/>
        <v>IE-CN</v>
      </c>
      <c r="AB677" s="115" t="str">
        <f t="shared" si="244"/>
        <v>IE-DL</v>
      </c>
      <c r="AC677" s="115" t="str">
        <f t="shared" si="244"/>
        <v>IE-MN</v>
      </c>
      <c r="AD677" s="201"/>
      <c r="AE677" s="201"/>
      <c r="AF677" s="201"/>
    </row>
    <row r="678" spans="1:32">
      <c r="A678" s="249" t="str">
        <f>Commodities!D26</f>
        <v>Transport Demand: Aviation domestic</v>
      </c>
      <c r="B678" s="201" t="s">
        <v>86</v>
      </c>
      <c r="C678" s="323">
        <f>'EB2018'!AQ51*0.041868</f>
        <v>0.2334932002865788</v>
      </c>
      <c r="D678" s="118">
        <v>0</v>
      </c>
      <c r="E678" s="6">
        <f>C678*D698</f>
        <v>0.13599128494106466</v>
      </c>
      <c r="F678" s="118">
        <v>0</v>
      </c>
      <c r="G678" s="118">
        <v>0</v>
      </c>
      <c r="H678" s="118">
        <v>0</v>
      </c>
      <c r="I678" s="118">
        <v>0</v>
      </c>
      <c r="J678" s="118">
        <v>0</v>
      </c>
      <c r="K678" s="118">
        <v>0</v>
      </c>
      <c r="L678" s="118">
        <v>0</v>
      </c>
      <c r="M678" s="118">
        <v>0</v>
      </c>
      <c r="N678" s="118">
        <v>0</v>
      </c>
      <c r="O678" s="118">
        <v>0</v>
      </c>
      <c r="P678" s="6">
        <f>C678*G698</f>
        <v>4.7489540821759567E-2</v>
      </c>
      <c r="Q678" s="11">
        <f>C678*C698</f>
        <v>4.7056267691773237E-4</v>
      </c>
      <c r="R678" s="38">
        <f>C678*E698</f>
        <v>4.7235778638893708E-2</v>
      </c>
      <c r="S678" s="118">
        <v>0</v>
      </c>
      <c r="T678" s="118">
        <v>0</v>
      </c>
      <c r="U678" s="118">
        <v>0</v>
      </c>
      <c r="V678" s="118">
        <v>0</v>
      </c>
      <c r="W678" s="118">
        <v>0</v>
      </c>
      <c r="X678" s="11">
        <f>C678*F698</f>
        <v>9.4112535383546466E-5</v>
      </c>
      <c r="Y678" s="118">
        <v>0</v>
      </c>
      <c r="Z678" s="118">
        <v>0</v>
      </c>
      <c r="AA678" s="118">
        <v>0</v>
      </c>
      <c r="AB678" s="118">
        <v>0</v>
      </c>
      <c r="AC678" s="118">
        <v>0</v>
      </c>
      <c r="AD678" s="201"/>
      <c r="AE678" s="201"/>
      <c r="AF678" s="201"/>
    </row>
    <row r="679" spans="1:32">
      <c r="A679" s="200" t="str">
        <f>Commodities!D27</f>
        <v>Transport Demand: Aviation international</v>
      </c>
      <c r="B679" s="200" t="s">
        <v>86</v>
      </c>
      <c r="C679" s="313">
        <f>'EB2018'!AQ52*0.041868</f>
        <v>45.935836654432045</v>
      </c>
      <c r="D679" s="250">
        <v>0</v>
      </c>
      <c r="E679" s="258">
        <f>$C$679*D726</f>
        <v>40.411547456014475</v>
      </c>
      <c r="F679" s="250">
        <v>0</v>
      </c>
      <c r="G679" s="250">
        <v>0</v>
      </c>
      <c r="H679" s="250">
        <v>0</v>
      </c>
      <c r="I679" s="250">
        <v>0</v>
      </c>
      <c r="J679" s="250">
        <v>0</v>
      </c>
      <c r="K679" s="250">
        <v>0</v>
      </c>
      <c r="L679" s="250">
        <v>0</v>
      </c>
      <c r="M679" s="250">
        <v>0</v>
      </c>
      <c r="N679" s="250">
        <v>0</v>
      </c>
      <c r="O679" s="250">
        <v>0</v>
      </c>
      <c r="P679" s="258">
        <f>$C$679*G726</f>
        <v>2.3928132767411885</v>
      </c>
      <c r="Q679" s="258">
        <f>$C$679*C726</f>
        <v>2.2124403851853933</v>
      </c>
      <c r="R679" s="258">
        <f>$C$679*E726</f>
        <v>0.2411025265315139</v>
      </c>
      <c r="S679" s="250">
        <v>0</v>
      </c>
      <c r="T679" s="250">
        <v>0</v>
      </c>
      <c r="U679" s="250">
        <v>0</v>
      </c>
      <c r="V679" s="250">
        <v>0</v>
      </c>
      <c r="W679" s="250">
        <v>0</v>
      </c>
      <c r="X679" s="258">
        <f>$C$679*F726</f>
        <v>0.68832808501139164</v>
      </c>
      <c r="Y679" s="250">
        <v>0</v>
      </c>
      <c r="Z679" s="250">
        <v>0</v>
      </c>
      <c r="AA679" s="250">
        <v>0</v>
      </c>
      <c r="AB679" s="250">
        <v>0</v>
      </c>
      <c r="AC679" s="250">
        <v>0</v>
      </c>
      <c r="AD679" s="201"/>
      <c r="AE679" s="201"/>
      <c r="AF679" s="201"/>
    </row>
    <row r="680" spans="1:32">
      <c r="A680" s="314" t="s">
        <v>748</v>
      </c>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c r="AC680" s="201"/>
      <c r="AD680" s="201"/>
      <c r="AE680" s="201"/>
      <c r="AF680" s="201"/>
    </row>
    <row r="681" spans="1:32" s="201" customFormat="1">
      <c r="A681" s="314"/>
    </row>
    <row r="682" spans="1:32">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c r="AC682" s="201"/>
      <c r="AD682" s="201"/>
      <c r="AE682" s="201"/>
      <c r="AF682" s="201"/>
    </row>
    <row r="683" spans="1:32">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c r="AC683" s="201"/>
      <c r="AD683" s="201"/>
      <c r="AE683" s="201"/>
      <c r="AF683" s="201"/>
    </row>
    <row r="684" spans="1:32">
      <c r="A684" s="201" t="s">
        <v>739</v>
      </c>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c r="AC684" s="201"/>
      <c r="AD684" s="201"/>
      <c r="AE684" s="201"/>
      <c r="AF684" s="201"/>
    </row>
    <row r="685" spans="1:32">
      <c r="A685" s="115" t="s">
        <v>740</v>
      </c>
      <c r="B685" s="115" t="s">
        <v>733</v>
      </c>
      <c r="C685" s="115" t="s">
        <v>372</v>
      </c>
      <c r="D685" s="115" t="s">
        <v>360</v>
      </c>
      <c r="E685" s="115" t="s">
        <v>373</v>
      </c>
      <c r="F685" s="115" t="s">
        <v>734</v>
      </c>
      <c r="G685" s="115" t="s">
        <v>735</v>
      </c>
      <c r="H685" s="201"/>
      <c r="I685" s="201"/>
      <c r="J685" s="201"/>
      <c r="K685" s="201"/>
      <c r="L685" s="201"/>
      <c r="M685" s="201"/>
      <c r="N685" s="201"/>
      <c r="O685" s="201"/>
      <c r="P685" s="201"/>
      <c r="Q685" s="201"/>
      <c r="R685" s="201"/>
      <c r="S685" s="201"/>
      <c r="T685" s="201"/>
      <c r="U685" s="201"/>
      <c r="V685" s="201"/>
      <c r="W685" s="201"/>
      <c r="X685" s="201"/>
      <c r="Y685" s="201"/>
      <c r="Z685" s="201"/>
      <c r="AA685" s="201"/>
      <c r="AB685" s="201"/>
      <c r="AC685" s="201"/>
      <c r="AD685" s="201"/>
      <c r="AE685" s="201"/>
      <c r="AF685" s="201"/>
    </row>
    <row r="686" spans="1:32">
      <c r="A686" s="201" t="s">
        <v>736</v>
      </c>
      <c r="B686" s="39">
        <v>165.4</v>
      </c>
      <c r="C686" s="316">
        <v>1</v>
      </c>
      <c r="D686" s="39">
        <v>99.7</v>
      </c>
      <c r="E686" s="39">
        <v>57.5</v>
      </c>
      <c r="F686" s="39">
        <v>0.2</v>
      </c>
      <c r="G686" s="39">
        <v>7</v>
      </c>
      <c r="H686" s="201"/>
      <c r="I686" s="201"/>
      <c r="J686" s="201"/>
      <c r="K686" s="201"/>
      <c r="L686" s="201"/>
      <c r="M686" s="201"/>
      <c r="N686" s="201"/>
      <c r="O686" s="201"/>
      <c r="P686" s="201"/>
      <c r="Q686" s="201"/>
      <c r="R686" s="201"/>
      <c r="S686" s="201"/>
      <c r="T686" s="201"/>
      <c r="U686" s="201"/>
      <c r="V686" s="201"/>
      <c r="W686" s="201"/>
      <c r="X686" s="201"/>
      <c r="Y686" s="201"/>
      <c r="Z686" s="201"/>
      <c r="AA686" s="201"/>
      <c r="AB686" s="201"/>
      <c r="AC686" s="201"/>
      <c r="AD686" s="201"/>
      <c r="AE686" s="201"/>
      <c r="AF686" s="201"/>
    </row>
    <row r="687" spans="1:32">
      <c r="A687" s="201" t="s">
        <v>737</v>
      </c>
      <c r="B687" s="39">
        <v>10.1</v>
      </c>
      <c r="C687" s="39">
        <v>0</v>
      </c>
      <c r="D687" s="39">
        <v>5.2</v>
      </c>
      <c r="E687" s="39">
        <v>0</v>
      </c>
      <c r="F687" s="315">
        <v>0</v>
      </c>
      <c r="G687" s="39">
        <v>4.8</v>
      </c>
      <c r="H687" s="201"/>
      <c r="I687" s="201"/>
      <c r="J687" s="201"/>
      <c r="K687" s="201"/>
      <c r="L687" s="201"/>
      <c r="M687" s="201"/>
      <c r="N687" s="201"/>
      <c r="O687" s="201"/>
      <c r="P687" s="201"/>
      <c r="Q687" s="201"/>
      <c r="R687" s="201"/>
      <c r="S687" s="201"/>
      <c r="T687" s="201"/>
      <c r="U687" s="201"/>
      <c r="V687" s="201"/>
      <c r="W687" s="201"/>
      <c r="X687" s="201"/>
      <c r="Y687" s="201"/>
      <c r="Z687" s="201"/>
      <c r="AA687" s="201"/>
      <c r="AB687" s="201"/>
      <c r="AC687" s="201"/>
      <c r="AD687" s="201"/>
      <c r="AE687" s="201"/>
      <c r="AF687" s="201"/>
    </row>
    <row r="688" spans="1:32">
      <c r="A688" s="200" t="s">
        <v>738</v>
      </c>
      <c r="B688" s="199">
        <v>5.4</v>
      </c>
      <c r="C688" s="199">
        <v>0</v>
      </c>
      <c r="D688" s="199">
        <v>3.4</v>
      </c>
      <c r="E688" s="199">
        <v>1.4</v>
      </c>
      <c r="F688" s="199">
        <v>0</v>
      </c>
      <c r="G688" s="199">
        <v>0.5</v>
      </c>
      <c r="H688" s="201"/>
      <c r="I688" s="201"/>
      <c r="J688" s="201"/>
      <c r="K688" s="201"/>
      <c r="L688" s="201"/>
      <c r="M688" s="201"/>
      <c r="N688" s="201"/>
      <c r="O688" s="201"/>
      <c r="P688" s="201"/>
      <c r="Q688" s="201"/>
      <c r="R688" s="201"/>
      <c r="S688" s="201"/>
      <c r="T688" s="201"/>
      <c r="U688" s="201"/>
      <c r="V688" s="201"/>
      <c r="W688" s="201"/>
      <c r="X688" s="201"/>
      <c r="Y688" s="201"/>
      <c r="Z688" s="201"/>
      <c r="AA688" s="201"/>
      <c r="AB688" s="201"/>
      <c r="AC688" s="201"/>
      <c r="AD688" s="201"/>
      <c r="AE688" s="201"/>
      <c r="AF688" s="201"/>
    </row>
    <row r="689" spans="1:32">
      <c r="A689" s="22" t="s">
        <v>741</v>
      </c>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c r="AC689" s="201"/>
      <c r="AD689" s="201"/>
      <c r="AE689" s="201"/>
      <c r="AF689" s="201"/>
    </row>
    <row r="690" spans="1:32" s="201" customFormat="1">
      <c r="A690" s="22"/>
    </row>
    <row r="691" spans="1:32" s="201" customFormat="1">
      <c r="A691" s="22"/>
    </row>
    <row r="692" spans="1:32" s="201" customFormat="1">
      <c r="A692" s="22"/>
    </row>
    <row r="693" spans="1:32" s="201" customFormat="1">
      <c r="A693" s="201" t="s">
        <v>744</v>
      </c>
    </row>
    <row r="694" spans="1:32" s="201" customFormat="1">
      <c r="A694" s="115" t="s">
        <v>740</v>
      </c>
      <c r="B694" s="115" t="s">
        <v>733</v>
      </c>
      <c r="C694" s="115" t="s">
        <v>372</v>
      </c>
      <c r="D694" s="115" t="s">
        <v>360</v>
      </c>
      <c r="E694" s="115" t="s">
        <v>373</v>
      </c>
      <c r="F694" s="115" t="s">
        <v>734</v>
      </c>
      <c r="G694" s="115" t="s">
        <v>735</v>
      </c>
    </row>
    <row r="695" spans="1:32" s="201" customFormat="1">
      <c r="A695" s="201" t="s">
        <v>736</v>
      </c>
      <c r="B695" s="317">
        <f>B686/$B686</f>
        <v>1</v>
      </c>
      <c r="C695" s="317">
        <f>C686/$B686</f>
        <v>6.0459492140266021E-3</v>
      </c>
      <c r="D695" s="317">
        <f t="shared" ref="D695:G695" si="245">D686/$B686</f>
        <v>0.60278113663845223</v>
      </c>
      <c r="E695" s="317">
        <f t="shared" si="245"/>
        <v>0.34764207980652961</v>
      </c>
      <c r="F695" s="319">
        <f t="shared" si="245"/>
        <v>1.2091898428053204E-3</v>
      </c>
      <c r="G695" s="317">
        <f t="shared" si="245"/>
        <v>4.2321644498186213E-2</v>
      </c>
    </row>
    <row r="696" spans="1:32" s="201" customFormat="1">
      <c r="A696" s="201" t="s">
        <v>737</v>
      </c>
      <c r="B696" s="317">
        <f t="shared" ref="B696" si="246">B687/$B687</f>
        <v>1</v>
      </c>
      <c r="C696" s="317">
        <f t="shared" ref="C696:G696" si="247">C687/$B687</f>
        <v>0</v>
      </c>
      <c r="D696" s="317">
        <f t="shared" si="247"/>
        <v>0.51485148514851486</v>
      </c>
      <c r="E696" s="317">
        <f t="shared" si="247"/>
        <v>0</v>
      </c>
      <c r="F696" s="317">
        <f t="shared" si="247"/>
        <v>0</v>
      </c>
      <c r="G696" s="317">
        <f t="shared" si="247"/>
        <v>0.47524752475247523</v>
      </c>
    </row>
    <row r="697" spans="1:32" s="201" customFormat="1">
      <c r="A697" s="2" t="s">
        <v>738</v>
      </c>
      <c r="B697" s="322">
        <f t="shared" ref="B697" si="248">B688/$B688</f>
        <v>1</v>
      </c>
      <c r="C697" s="322">
        <f t="shared" ref="C697:G697" si="249">C688/$B688</f>
        <v>0</v>
      </c>
      <c r="D697" s="322">
        <f>D688/$B688</f>
        <v>0.62962962962962954</v>
      </c>
      <c r="E697" s="322">
        <f t="shared" si="249"/>
        <v>0.25925925925925924</v>
      </c>
      <c r="F697" s="322">
        <f t="shared" si="249"/>
        <v>0</v>
      </c>
      <c r="G697" s="322">
        <f t="shared" si="249"/>
        <v>9.2592592592592587E-2</v>
      </c>
    </row>
    <row r="698" spans="1:32" s="201" customFormat="1">
      <c r="A698" s="200" t="s">
        <v>747</v>
      </c>
      <c r="B698" s="318"/>
      <c r="C698" s="149">
        <f>AVERAGE(C695:C697)</f>
        <v>2.015316404675534E-3</v>
      </c>
      <c r="D698" s="149">
        <f t="shared" ref="D698:G698" si="250">AVERAGE(D695:D697)</f>
        <v>0.58242075047219888</v>
      </c>
      <c r="E698" s="149">
        <f t="shared" si="250"/>
        <v>0.20230044635526298</v>
      </c>
      <c r="F698" s="149">
        <f t="shared" si="250"/>
        <v>4.0306328093510677E-4</v>
      </c>
      <c r="G698" s="149">
        <f t="shared" si="250"/>
        <v>0.20338725394775134</v>
      </c>
    </row>
    <row r="699" spans="1:32">
      <c r="A699" s="22" t="s">
        <v>745</v>
      </c>
      <c r="B699" s="201"/>
      <c r="C699" s="8"/>
      <c r="D699" s="8"/>
      <c r="E699" s="8"/>
      <c r="F699" s="8"/>
      <c r="G699" s="8"/>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c r="AD699" s="201"/>
      <c r="AE699" s="201"/>
      <c r="AF699" s="201"/>
    </row>
    <row r="701" spans="1:32" s="201" customFormat="1"/>
    <row r="703" spans="1:32">
      <c r="A703" s="201" t="s">
        <v>742</v>
      </c>
      <c r="B703" s="201"/>
      <c r="C703" s="201"/>
      <c r="D703" s="201"/>
      <c r="E703" s="201"/>
      <c r="F703" s="201"/>
      <c r="G703" s="201"/>
    </row>
    <row r="704" spans="1:32">
      <c r="A704" s="115" t="s">
        <v>740</v>
      </c>
      <c r="B704" s="115" t="s">
        <v>733</v>
      </c>
      <c r="C704" s="115" t="s">
        <v>372</v>
      </c>
      <c r="D704" s="115" t="s">
        <v>360</v>
      </c>
      <c r="E704" s="115" t="s">
        <v>373</v>
      </c>
      <c r="F704" s="115" t="s">
        <v>734</v>
      </c>
      <c r="G704" s="115" t="s">
        <v>735</v>
      </c>
    </row>
    <row r="705" spans="1:7">
      <c r="A705" s="201" t="s">
        <v>736</v>
      </c>
      <c r="B705" s="201">
        <v>36521.1</v>
      </c>
      <c r="C705" s="201">
        <v>2387.8000000000002</v>
      </c>
      <c r="D705" s="201">
        <v>31319.4</v>
      </c>
      <c r="E705" s="201">
        <v>365.3</v>
      </c>
      <c r="F705" s="201">
        <v>770.9</v>
      </c>
      <c r="G705" s="201">
        <v>1677.7</v>
      </c>
    </row>
    <row r="706" spans="1:7">
      <c r="A706" s="201" t="s">
        <v>737</v>
      </c>
      <c r="B706" s="201">
        <v>157.4</v>
      </c>
      <c r="C706" s="201">
        <v>0.1</v>
      </c>
      <c r="D706" s="201">
        <v>143.69999999999999</v>
      </c>
      <c r="E706" s="201">
        <v>0</v>
      </c>
      <c r="F706" s="201">
        <v>0</v>
      </c>
      <c r="G706" s="201">
        <v>13.6</v>
      </c>
    </row>
    <row r="707" spans="1:7">
      <c r="A707" s="200" t="s">
        <v>738</v>
      </c>
      <c r="B707" s="200">
        <v>266.39999999999998</v>
      </c>
      <c r="C707" s="200">
        <v>20.399999999999999</v>
      </c>
      <c r="D707" s="200">
        <v>222.7</v>
      </c>
      <c r="E707" s="200">
        <v>3.3</v>
      </c>
      <c r="F707" s="200">
        <v>6.2</v>
      </c>
      <c r="G707" s="200">
        <v>13.7</v>
      </c>
    </row>
    <row r="708" spans="1:7">
      <c r="A708" s="22" t="s">
        <v>741</v>
      </c>
      <c r="B708" s="201"/>
      <c r="C708" s="201"/>
      <c r="D708" s="201"/>
      <c r="E708" s="201"/>
      <c r="F708" s="201"/>
      <c r="G708" s="201"/>
    </row>
    <row r="712" spans="1:7">
      <c r="A712" s="201" t="s">
        <v>743</v>
      </c>
      <c r="B712" s="201"/>
      <c r="C712" s="201"/>
      <c r="D712" s="201"/>
      <c r="E712" s="201"/>
      <c r="F712" s="201"/>
      <c r="G712" s="201"/>
    </row>
    <row r="713" spans="1:7">
      <c r="A713" s="115" t="s">
        <v>740</v>
      </c>
      <c r="B713" s="115" t="s">
        <v>733</v>
      </c>
      <c r="C713" s="115" t="s">
        <v>372</v>
      </c>
      <c r="D713" s="115" t="s">
        <v>360</v>
      </c>
      <c r="E713" s="115" t="s">
        <v>373</v>
      </c>
      <c r="F713" s="115" t="s">
        <v>734</v>
      </c>
      <c r="G713" s="115" t="s">
        <v>735</v>
      </c>
    </row>
    <row r="714" spans="1:7">
      <c r="A714" s="201" t="s">
        <v>736</v>
      </c>
      <c r="B714" s="201">
        <f>B705-B686</f>
        <v>36355.699999999997</v>
      </c>
      <c r="C714" s="201">
        <f t="shared" ref="C714:G714" si="251">C705-C686</f>
        <v>2386.8000000000002</v>
      </c>
      <c r="D714" s="201">
        <f t="shared" si="251"/>
        <v>31219.7</v>
      </c>
      <c r="E714" s="201">
        <f t="shared" si="251"/>
        <v>307.8</v>
      </c>
      <c r="F714" s="201">
        <f t="shared" si="251"/>
        <v>770.69999999999993</v>
      </c>
      <c r="G714" s="201">
        <f t="shared" si="251"/>
        <v>1670.7</v>
      </c>
    </row>
    <row r="715" spans="1:7">
      <c r="A715" s="201" t="s">
        <v>737</v>
      </c>
      <c r="B715" s="201">
        <f>B706-B687</f>
        <v>147.30000000000001</v>
      </c>
      <c r="C715" s="201">
        <f t="shared" ref="C715:G716" si="252">C706-C687</f>
        <v>0.1</v>
      </c>
      <c r="D715" s="201">
        <f t="shared" si="252"/>
        <v>138.5</v>
      </c>
      <c r="E715" s="201">
        <f t="shared" si="252"/>
        <v>0</v>
      </c>
      <c r="F715" s="201">
        <f t="shared" si="252"/>
        <v>0</v>
      </c>
      <c r="G715" s="201">
        <f t="shared" si="252"/>
        <v>8.8000000000000007</v>
      </c>
    </row>
    <row r="716" spans="1:7">
      <c r="A716" s="200" t="s">
        <v>738</v>
      </c>
      <c r="B716" s="200">
        <f>B707-B688</f>
        <v>261</v>
      </c>
      <c r="C716" s="200">
        <f t="shared" si="252"/>
        <v>20.399999999999999</v>
      </c>
      <c r="D716" s="200">
        <f t="shared" si="252"/>
        <v>219.29999999999998</v>
      </c>
      <c r="E716" s="200">
        <f t="shared" si="252"/>
        <v>1.9</v>
      </c>
      <c r="F716" s="200">
        <f t="shared" si="252"/>
        <v>6.2</v>
      </c>
      <c r="G716" s="200">
        <f t="shared" si="252"/>
        <v>13.2</v>
      </c>
    </row>
    <row r="717" spans="1:7">
      <c r="A717" s="22" t="s">
        <v>741</v>
      </c>
      <c r="B717" s="201"/>
      <c r="C717" s="201"/>
      <c r="D717" s="201"/>
      <c r="E717" s="201"/>
      <c r="F717" s="201"/>
      <c r="G717" s="201"/>
    </row>
    <row r="718" spans="1:7">
      <c r="C718" s="121"/>
      <c r="D718" s="121"/>
      <c r="E718" s="121"/>
      <c r="F718" s="121"/>
      <c r="G718" s="121"/>
    </row>
    <row r="719" spans="1:7">
      <c r="C719" s="121"/>
      <c r="D719" s="121"/>
      <c r="E719" s="121"/>
      <c r="F719" s="121"/>
      <c r="G719" s="121"/>
    </row>
    <row r="721" spans="1:29">
      <c r="A721" s="201" t="s">
        <v>746</v>
      </c>
      <c r="B721" s="201"/>
      <c r="C721" s="201"/>
      <c r="D721" s="201"/>
      <c r="E721" s="201"/>
      <c r="F721" s="201"/>
      <c r="G721" s="201"/>
    </row>
    <row r="722" spans="1:29">
      <c r="A722" s="115" t="s">
        <v>740</v>
      </c>
      <c r="B722" s="115" t="s">
        <v>733</v>
      </c>
      <c r="C722" s="115" t="s">
        <v>372</v>
      </c>
      <c r="D722" s="115" t="s">
        <v>360</v>
      </c>
      <c r="E722" s="115" t="s">
        <v>373</v>
      </c>
      <c r="F722" s="115" t="s">
        <v>734</v>
      </c>
      <c r="G722" s="115" t="s">
        <v>735</v>
      </c>
    </row>
    <row r="723" spans="1:29">
      <c r="A723" s="201" t="s">
        <v>736</v>
      </c>
      <c r="B723" s="317">
        <f>B714/$B714</f>
        <v>1</v>
      </c>
      <c r="C723" s="317">
        <f>C714/$B714</f>
        <v>6.5651328402423839E-2</v>
      </c>
      <c r="D723" s="317">
        <f t="shared" ref="D723:G723" si="253">D714/$B714</f>
        <v>0.85872916764083773</v>
      </c>
      <c r="E723" s="317">
        <f t="shared" si="253"/>
        <v>8.4663477804030746E-3</v>
      </c>
      <c r="F723" s="317">
        <f t="shared" si="253"/>
        <v>2.1198876654829918E-2</v>
      </c>
      <c r="G723" s="317">
        <f t="shared" si="253"/>
        <v>4.5954279521505575E-2</v>
      </c>
    </row>
    <row r="724" spans="1:29">
      <c r="A724" s="2" t="s">
        <v>737</v>
      </c>
      <c r="B724" s="322">
        <f t="shared" ref="B724" si="254">B715/$B715</f>
        <v>1</v>
      </c>
      <c r="C724" s="322">
        <f t="shared" ref="C724:G724" si="255">C715/$B715</f>
        <v>6.7888662593346908E-4</v>
      </c>
      <c r="D724" s="322">
        <f>D715/$B715</f>
        <v>0.94025797691785462</v>
      </c>
      <c r="E724" s="322">
        <f t="shared" si="255"/>
        <v>0</v>
      </c>
      <c r="F724" s="322">
        <f t="shared" si="255"/>
        <v>0</v>
      </c>
      <c r="G724" s="322">
        <f t="shared" si="255"/>
        <v>5.9742023082145282E-2</v>
      </c>
    </row>
    <row r="725" spans="1:29">
      <c r="A725" s="2" t="s">
        <v>738</v>
      </c>
      <c r="B725" s="322">
        <f t="shared" ref="B725" si="256">B716/$B716</f>
        <v>1</v>
      </c>
      <c r="C725" s="322">
        <f>C716/$B716</f>
        <v>7.8160919540229884E-2</v>
      </c>
      <c r="D725" s="322">
        <f>D716/$B716</f>
        <v>0.8402298850574712</v>
      </c>
      <c r="E725" s="322">
        <f t="shared" ref="E725:G725" si="257">E716/$B716</f>
        <v>7.2796934865900376E-3</v>
      </c>
      <c r="F725" s="322">
        <f t="shared" si="257"/>
        <v>2.3754789272030653E-2</v>
      </c>
      <c r="G725" s="322">
        <f t="shared" si="257"/>
        <v>5.057471264367816E-2</v>
      </c>
    </row>
    <row r="726" spans="1:29" s="201" customFormat="1">
      <c r="A726" s="200" t="s">
        <v>747</v>
      </c>
      <c r="B726" s="318"/>
      <c r="C726" s="149">
        <f>AVERAGE(C723:C725)</f>
        <v>4.8163711522862397E-2</v>
      </c>
      <c r="D726" s="149">
        <f t="shared" ref="D726:G726" si="258">AVERAGE(D723:D725)</f>
        <v>0.87973900987205456</v>
      </c>
      <c r="E726" s="149">
        <f t="shared" si="258"/>
        <v>5.2486804223310368E-3</v>
      </c>
      <c r="F726" s="149">
        <f t="shared" si="258"/>
        <v>1.4984555308953524E-2</v>
      </c>
      <c r="G726" s="149">
        <f t="shared" si="258"/>
        <v>5.2090338415776337E-2</v>
      </c>
    </row>
    <row r="727" spans="1:29">
      <c r="A727" s="22" t="s">
        <v>745</v>
      </c>
      <c r="B727" s="201"/>
      <c r="C727" s="201"/>
      <c r="D727" s="201"/>
      <c r="E727" s="201"/>
      <c r="F727" s="201"/>
      <c r="G727" s="201"/>
    </row>
    <row r="729" spans="1:29">
      <c r="B729" s="320" t="s">
        <v>733</v>
      </c>
      <c r="C729" s="320" t="s">
        <v>372</v>
      </c>
      <c r="D729" s="320" t="s">
        <v>360</v>
      </c>
      <c r="E729" s="320" t="s">
        <v>373</v>
      </c>
      <c r="F729" s="320" t="s">
        <v>734</v>
      </c>
      <c r="G729" s="320" t="s">
        <v>735</v>
      </c>
    </row>
    <row r="730" spans="1:29">
      <c r="B730" s="321" t="s">
        <v>707</v>
      </c>
      <c r="C730" s="321" t="s">
        <v>372</v>
      </c>
      <c r="D730" s="321" t="s">
        <v>360</v>
      </c>
      <c r="E730" s="321" t="s">
        <v>373</v>
      </c>
      <c r="F730" s="321" t="s">
        <v>379</v>
      </c>
      <c r="G730" s="321" t="s">
        <v>371</v>
      </c>
    </row>
    <row r="735" spans="1:29">
      <c r="AC735" s="201"/>
    </row>
    <row r="736" spans="1:29">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spans="1:29">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spans="1:29">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spans="1:29">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spans="1:29">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spans="1:29">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spans="1:29">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spans="1:29">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spans="1:29">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spans="1:29">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spans="1:29">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spans="1:29">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spans="1:29">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spans="1:29">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spans="1:29">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spans="1:29">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spans="1:29">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spans="1:29">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spans="1:29">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spans="1:29">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spans="1:29">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spans="1:29">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spans="1:29">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spans="1:29">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spans="1:29">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spans="1:29">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spans="1:29">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spans="1:29">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spans="1:29">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spans="1:29">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spans="1:29">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sheetData>
  <mergeCells count="44">
    <mergeCell ref="B533:L533"/>
    <mergeCell ref="B552:L552"/>
    <mergeCell ref="B507:F507"/>
    <mergeCell ref="A457:A458"/>
    <mergeCell ref="A459:A460"/>
    <mergeCell ref="A461:A462"/>
    <mergeCell ref="B591:L591"/>
    <mergeCell ref="B609:F609"/>
    <mergeCell ref="A570:G570"/>
    <mergeCell ref="A582:G582"/>
    <mergeCell ref="A583:G583"/>
    <mergeCell ref="G177:H177"/>
    <mergeCell ref="B489:L489"/>
    <mergeCell ref="I252:AB252"/>
    <mergeCell ref="I253:I254"/>
    <mergeCell ref="J253:L253"/>
    <mergeCell ref="N253:P253"/>
    <mergeCell ref="R253:T253"/>
    <mergeCell ref="V253:X253"/>
    <mergeCell ref="Z253:AB253"/>
    <mergeCell ref="F457:F458"/>
    <mergeCell ref="F459:F460"/>
    <mergeCell ref="F461:F462"/>
    <mergeCell ref="D91:D94"/>
    <mergeCell ref="D75:D84"/>
    <mergeCell ref="A156:B156"/>
    <mergeCell ref="A135:B135"/>
    <mergeCell ref="G176:H176"/>
    <mergeCell ref="C75:C84"/>
    <mergeCell ref="B99:C99"/>
    <mergeCell ref="C101:C105"/>
    <mergeCell ref="D101:D105"/>
    <mergeCell ref="D112:D116"/>
    <mergeCell ref="B73:C73"/>
    <mergeCell ref="B89:C89"/>
    <mergeCell ref="C91:C94"/>
    <mergeCell ref="A429:A430"/>
    <mergeCell ref="A431:A432"/>
    <mergeCell ref="B110:C110"/>
    <mergeCell ref="C112:C116"/>
    <mergeCell ref="A427:A428"/>
    <mergeCell ref="A414:A415"/>
    <mergeCell ref="A416:A417"/>
    <mergeCell ref="A418:A419"/>
  </mergeCells>
  <phoneticPr fontId="36" type="noConversion"/>
  <pageMargins left="0.7" right="0.7" top="0.75" bottom="0.75" header="0.3" footer="0.3"/>
  <pageSetup paperSize="9" orientation="portrait" r:id="rId1"/>
  <ignoredErrors>
    <ignoredError sqref="C480:AC481 D479:AC479"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topLeftCell="A7" zoomScaleNormal="100" workbookViewId="0">
      <selection activeCell="E15" sqref="E15"/>
    </sheetView>
  </sheetViews>
  <sheetFormatPr defaultRowHeight="14.4"/>
  <cols>
    <col min="1" max="1" width="9.109375" style="548"/>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29" customFormat="1">
      <c r="A1" s="548"/>
    </row>
    <row r="2" spans="1:31" s="429" customFormat="1">
      <c r="A2" s="548"/>
    </row>
    <row r="3" spans="1:31" s="429" customFormat="1" ht="18">
      <c r="A3" s="548"/>
      <c r="B3" s="879" t="s">
        <v>816</v>
      </c>
      <c r="C3" s="879"/>
      <c r="D3" s="879"/>
      <c r="E3" s="879"/>
    </row>
    <row r="4" spans="1:31" s="429" customFormat="1">
      <c r="A4" s="548"/>
    </row>
    <row r="5" spans="1:31" s="429" customFormat="1">
      <c r="A5" s="548"/>
      <c r="E5" s="522" t="s">
        <v>930</v>
      </c>
    </row>
    <row r="6" spans="1:31" s="429" customFormat="1" ht="15" thickBot="1">
      <c r="A6" s="548"/>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29" customFormat="1">
      <c r="A7" s="548"/>
      <c r="B7" s="531"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29" customFormat="1">
      <c r="A8" s="548"/>
      <c r="B8" s="222" t="str">
        <f>B50</f>
        <v>T-WLK_WLK</v>
      </c>
      <c r="C8" s="222" t="str">
        <f t="shared" ref="C8:D8" si="1">C50</f>
        <v>DEMO</v>
      </c>
      <c r="D8" s="222" t="str">
        <f t="shared" si="1"/>
        <v>pass/vehicle</v>
      </c>
      <c r="E8" s="220">
        <f>ROUNDUP(E50,2)</f>
        <v>1</v>
      </c>
      <c r="F8" s="220">
        <f t="shared" ref="F8:AE8" si="2">ROUNDUP(F50,2)</f>
        <v>1</v>
      </c>
      <c r="G8" s="220">
        <f t="shared" si="2"/>
        <v>1</v>
      </c>
      <c r="H8" s="220">
        <f t="shared" si="2"/>
        <v>1</v>
      </c>
      <c r="I8" s="220">
        <f t="shared" si="2"/>
        <v>1</v>
      </c>
      <c r="J8" s="220">
        <f t="shared" si="2"/>
        <v>1</v>
      </c>
      <c r="K8" s="220">
        <f t="shared" si="2"/>
        <v>1</v>
      </c>
      <c r="L8" s="220">
        <f t="shared" si="2"/>
        <v>1</v>
      </c>
      <c r="M8" s="220">
        <f t="shared" si="2"/>
        <v>1</v>
      </c>
      <c r="N8" s="220">
        <f t="shared" si="2"/>
        <v>1</v>
      </c>
      <c r="O8" s="220">
        <f t="shared" si="2"/>
        <v>1</v>
      </c>
      <c r="P8" s="220">
        <f t="shared" si="2"/>
        <v>1</v>
      </c>
      <c r="Q8" s="220">
        <f t="shared" si="2"/>
        <v>1</v>
      </c>
      <c r="R8" s="220">
        <f t="shared" si="2"/>
        <v>1</v>
      </c>
      <c r="S8" s="220">
        <f t="shared" si="2"/>
        <v>1</v>
      </c>
      <c r="T8" s="220">
        <f t="shared" si="2"/>
        <v>1</v>
      </c>
      <c r="U8" s="220">
        <f t="shared" si="2"/>
        <v>1</v>
      </c>
      <c r="V8" s="220">
        <f t="shared" si="2"/>
        <v>1</v>
      </c>
      <c r="W8" s="220">
        <f t="shared" si="2"/>
        <v>1</v>
      </c>
      <c r="X8" s="220">
        <f t="shared" si="2"/>
        <v>1</v>
      </c>
      <c r="Y8" s="220">
        <f t="shared" si="2"/>
        <v>1</v>
      </c>
      <c r="Z8" s="220">
        <f t="shared" si="2"/>
        <v>1</v>
      </c>
      <c r="AA8" s="220">
        <f t="shared" si="2"/>
        <v>1</v>
      </c>
      <c r="AB8" s="220">
        <f t="shared" si="2"/>
        <v>1</v>
      </c>
      <c r="AC8" s="220">
        <f t="shared" si="2"/>
        <v>1</v>
      </c>
      <c r="AD8" s="220">
        <f t="shared" si="2"/>
        <v>1</v>
      </c>
      <c r="AE8" s="220">
        <f t="shared" si="2"/>
        <v>1</v>
      </c>
    </row>
    <row r="9" spans="1:31" s="429" customFormat="1">
      <c r="A9" s="548"/>
      <c r="B9" s="222" t="str">
        <f t="shared" ref="B9:D9" si="3">B51</f>
        <v>T-CYC_CYC</v>
      </c>
      <c r="C9" s="222" t="str">
        <f t="shared" si="3"/>
        <v>DEMO</v>
      </c>
      <c r="D9" s="222" t="str">
        <f t="shared" si="3"/>
        <v>pass/vehicle</v>
      </c>
      <c r="E9" s="220">
        <f>ROUNDUP(E51,2)</f>
        <v>1</v>
      </c>
      <c r="F9" s="220">
        <f t="shared" ref="F9:AE9" si="4">ROUNDUP(F51,2)</f>
        <v>1</v>
      </c>
      <c r="G9" s="220">
        <f t="shared" si="4"/>
        <v>1</v>
      </c>
      <c r="H9" s="220">
        <f t="shared" si="4"/>
        <v>1</v>
      </c>
      <c r="I9" s="220">
        <f t="shared" si="4"/>
        <v>1</v>
      </c>
      <c r="J9" s="220">
        <f t="shared" si="4"/>
        <v>1</v>
      </c>
      <c r="K9" s="220">
        <f t="shared" si="4"/>
        <v>1</v>
      </c>
      <c r="L9" s="220">
        <f t="shared" si="4"/>
        <v>1</v>
      </c>
      <c r="M9" s="220">
        <f t="shared" si="4"/>
        <v>1</v>
      </c>
      <c r="N9" s="220">
        <f t="shared" si="4"/>
        <v>1</v>
      </c>
      <c r="O9" s="220">
        <f t="shared" si="4"/>
        <v>1</v>
      </c>
      <c r="P9" s="220">
        <f t="shared" si="4"/>
        <v>1</v>
      </c>
      <c r="Q9" s="220">
        <f t="shared" si="4"/>
        <v>1</v>
      </c>
      <c r="R9" s="220">
        <f t="shared" si="4"/>
        <v>1</v>
      </c>
      <c r="S9" s="220">
        <f t="shared" si="4"/>
        <v>1</v>
      </c>
      <c r="T9" s="220">
        <f t="shared" si="4"/>
        <v>1</v>
      </c>
      <c r="U9" s="220">
        <f t="shared" si="4"/>
        <v>1</v>
      </c>
      <c r="V9" s="220">
        <f t="shared" si="4"/>
        <v>1</v>
      </c>
      <c r="W9" s="220">
        <f t="shared" si="4"/>
        <v>1</v>
      </c>
      <c r="X9" s="220">
        <f t="shared" si="4"/>
        <v>1</v>
      </c>
      <c r="Y9" s="220">
        <f t="shared" si="4"/>
        <v>1</v>
      </c>
      <c r="Z9" s="220">
        <f t="shared" si="4"/>
        <v>1</v>
      </c>
      <c r="AA9" s="220">
        <f t="shared" si="4"/>
        <v>1</v>
      </c>
      <c r="AB9" s="220">
        <f t="shared" si="4"/>
        <v>1</v>
      </c>
      <c r="AC9" s="220">
        <f t="shared" si="4"/>
        <v>1</v>
      </c>
      <c r="AD9" s="220">
        <f t="shared" si="4"/>
        <v>1</v>
      </c>
      <c r="AE9" s="220">
        <f t="shared" si="4"/>
        <v>1</v>
      </c>
    </row>
    <row r="10" spans="1:31" s="429" customFormat="1">
      <c r="A10" s="548"/>
      <c r="B10" s="222" t="str">
        <f t="shared" ref="B10:D10" si="5">B52</f>
        <v>T-MOT-ICE_GSL00</v>
      </c>
      <c r="C10" s="222" t="str">
        <f t="shared" si="5"/>
        <v>DEMO</v>
      </c>
      <c r="D10" s="222" t="str">
        <f t="shared" si="5"/>
        <v>pass/vehicle</v>
      </c>
      <c r="E10" s="220">
        <f>ROUNDUP(IF(Stock!AJ119&gt;1,Stock!AJ119,1),2)</f>
        <v>1.1100000000000001</v>
      </c>
      <c r="F10" s="220">
        <f>ROUNDUP(IF(Stock!AK119&gt;1,Stock!AK119,1),2)</f>
        <v>1</v>
      </c>
      <c r="G10" s="220">
        <f>ROUNDUP(IF(Stock!AL119&gt;1,Stock!AL119,1),2)</f>
        <v>1.06</v>
      </c>
      <c r="H10" s="220">
        <f>ROUNDUP(IF(Stock!AM119&gt;1,Stock!AM119,1),2)</f>
        <v>1.23</v>
      </c>
      <c r="I10" s="220">
        <f>ROUNDUP(IF(Stock!AN119&gt;1,Stock!AN119,1),2)</f>
        <v>1</v>
      </c>
      <c r="J10" s="220">
        <f>ROUNDUP(IF(Stock!AO119&gt;1,Stock!AO119,1),2)</f>
        <v>1</v>
      </c>
      <c r="K10" s="220">
        <f>ROUNDUP(IF(Stock!AP119&gt;1,Stock!AP119,1),2)</f>
        <v>1.94</v>
      </c>
      <c r="L10" s="220">
        <f>ROUNDUP(IF(Stock!AQ119&gt;1,Stock!AQ119,1),2)</f>
        <v>1</v>
      </c>
      <c r="M10" s="220">
        <f>ROUNDUP(IF(Stock!AR119&gt;1,Stock!AR119,1),2)</f>
        <v>1.2</v>
      </c>
      <c r="N10" s="220">
        <f>ROUNDUP(IF(Stock!AS119&gt;1,Stock!AS119,1),2)</f>
        <v>1.24</v>
      </c>
      <c r="O10" s="220">
        <f>ROUNDUP(IF(Stock!AT119&gt;1,Stock!AT119,1),2)</f>
        <v>1.35</v>
      </c>
      <c r="P10" s="220">
        <f>ROUNDUP(IF(Stock!AU119&gt;1,Stock!AU119,1),2)</f>
        <v>1.1000000000000001</v>
      </c>
      <c r="Q10" s="220">
        <f>ROUNDUP(IF(Stock!AV119&gt;1,Stock!AV119,1),2)</f>
        <v>1.05</v>
      </c>
      <c r="R10" s="220">
        <f>ROUNDUP(IF(Stock!AW119&gt;1,Stock!AW119,1),2)</f>
        <v>1.32</v>
      </c>
      <c r="S10" s="220">
        <f>ROUNDUP(IF(Stock!AX119&gt;1,Stock!AX119,1),2)</f>
        <v>1.1300000000000001</v>
      </c>
      <c r="T10" s="220">
        <f>ROUNDUP(IF(Stock!AY119&gt;1,Stock!AY119,1),2)</f>
        <v>1.1599999999999999</v>
      </c>
      <c r="U10" s="220">
        <f>ROUNDUP(IF(Stock!AZ119&gt;1,Stock!AZ119,1),2)</f>
        <v>1.1000000000000001</v>
      </c>
      <c r="V10" s="220">
        <f>ROUNDUP(IF(Stock!BA119&gt;1,Stock!BA119,1),2)</f>
        <v>1.1599999999999999</v>
      </c>
      <c r="W10" s="220">
        <f>ROUNDUP(IF(Stock!BB119&gt;1,Stock!BB119,1),2)</f>
        <v>1</v>
      </c>
      <c r="X10" s="220">
        <f>ROUNDUP(IF(Stock!BC119&gt;1,Stock!BC119,1),2)</f>
        <v>1.1200000000000001</v>
      </c>
      <c r="Y10" s="220">
        <f>ROUNDUP(IF(Stock!BD119&gt;1,Stock!BD119,1),2)</f>
        <v>2.5299999999999998</v>
      </c>
      <c r="Z10" s="220">
        <f>ROUNDUP(IF(Stock!BE119&gt;1,Stock!BE119,1),2)</f>
        <v>1.34</v>
      </c>
      <c r="AA10" s="220">
        <f>ROUNDUP(IF(Stock!BF119&gt;1,Stock!BF119,1),2)</f>
        <v>1.37</v>
      </c>
      <c r="AB10" s="220">
        <f>ROUNDUP(IF(Stock!BG119&gt;1,Stock!BG119,1),2)</f>
        <v>1.04</v>
      </c>
      <c r="AC10" s="220">
        <f>ROUNDUP(IF(Stock!BH119&gt;1,Stock!BH119,1),2)</f>
        <v>1</v>
      </c>
      <c r="AD10" s="220">
        <f>ROUNDUP(IF(Stock!BI119&gt;1,Stock!BI119,1),2)</f>
        <v>1.08</v>
      </c>
      <c r="AE10" s="220">
        <f>ROUNDUP(IF(Stock!BJ119&gt;1,Stock!BJ119,1),2)</f>
        <v>1.32</v>
      </c>
    </row>
    <row r="11" spans="1:31" s="429" customFormat="1">
      <c r="A11" s="548"/>
      <c r="B11" s="222" t="str">
        <f t="shared" ref="B11:D11" si="6">B53</f>
        <v>T-CAR-ICE_GSL00</v>
      </c>
      <c r="C11" s="222" t="str">
        <f t="shared" si="6"/>
        <v>DEMO</v>
      </c>
      <c r="D11" s="222" t="str">
        <f t="shared" si="6"/>
        <v>pass/vehicle</v>
      </c>
      <c r="E11" s="220">
        <f>ROUNDUP(Stock!AJ120,2)</f>
        <v>1.49</v>
      </c>
      <c r="F11" s="220">
        <f>ROUNDUP(Stock!AK120,2)</f>
        <v>1.5</v>
      </c>
      <c r="G11" s="220">
        <f>ROUNDUP(Stock!AL120,2)</f>
        <v>1.53</v>
      </c>
      <c r="H11" s="220">
        <f>ROUNDUP(Stock!AM120,2)</f>
        <v>1.51</v>
      </c>
      <c r="I11" s="220">
        <f>ROUNDUP(Stock!AN120,2)</f>
        <v>1.46</v>
      </c>
      <c r="J11" s="220">
        <f>ROUNDUP(Stock!AO120,2)</f>
        <v>1.49</v>
      </c>
      <c r="K11" s="220">
        <f>ROUNDUP(Stock!AP120,2)</f>
        <v>1.43</v>
      </c>
      <c r="L11" s="220">
        <f>ROUNDUP(Stock!AQ120,2)</f>
        <v>1.51</v>
      </c>
      <c r="M11" s="220">
        <f>ROUNDUP(Stock!AR120,2)</f>
        <v>1.51</v>
      </c>
      <c r="N11" s="220">
        <f>ROUNDUP(Stock!AS120,2)</f>
        <v>1.5</v>
      </c>
      <c r="O11" s="220">
        <f>ROUNDUP(Stock!AT120,2)</f>
        <v>1.49</v>
      </c>
      <c r="P11" s="220">
        <f>ROUNDUP(Stock!AU120,2)</f>
        <v>1.5</v>
      </c>
      <c r="Q11" s="220">
        <f>ROUNDUP(Stock!AV120,2)</f>
        <v>1.5</v>
      </c>
      <c r="R11" s="220">
        <f>ROUNDUP(Stock!AW120,2)</f>
        <v>1.5</v>
      </c>
      <c r="S11" s="220">
        <f>ROUNDUP(Stock!AX120,2)</f>
        <v>1.49</v>
      </c>
      <c r="T11" s="220">
        <f>ROUNDUP(Stock!AY120,2)</f>
        <v>1.48</v>
      </c>
      <c r="U11" s="220">
        <f>ROUNDUP(Stock!AZ120,2)</f>
        <v>1.51</v>
      </c>
      <c r="V11" s="220">
        <f>ROUNDUP(Stock!BA120,2)</f>
        <v>1.5</v>
      </c>
      <c r="W11" s="220">
        <f>ROUNDUP(Stock!BB120,2)</f>
        <v>1.49</v>
      </c>
      <c r="X11" s="220">
        <f>ROUNDUP(Stock!BC120,2)</f>
        <v>1.35</v>
      </c>
      <c r="Y11" s="220">
        <f>ROUNDUP(Stock!BD120,2)</f>
        <v>1.47</v>
      </c>
      <c r="Z11" s="220">
        <f>ROUNDUP(Stock!BE120,2)</f>
        <v>1.49</v>
      </c>
      <c r="AA11" s="220">
        <f>ROUNDUP(Stock!BF120,2)</f>
        <v>1.49</v>
      </c>
      <c r="AB11" s="220">
        <f>ROUNDUP(Stock!BG120,2)</f>
        <v>1.5</v>
      </c>
      <c r="AC11" s="220">
        <f>ROUNDUP(Stock!BH120,2)</f>
        <v>1.5</v>
      </c>
      <c r="AD11" s="220">
        <f>ROUNDUP(Stock!BI120,2)</f>
        <v>1.5</v>
      </c>
      <c r="AE11" s="220">
        <f>ROUNDUP(Stock!BJ120,2)</f>
        <v>1.44</v>
      </c>
    </row>
    <row r="12" spans="1:31" s="429" customFormat="1">
      <c r="A12" s="548"/>
      <c r="B12" s="222" t="str">
        <f t="shared" ref="B12:D12" si="7">B54</f>
        <v>T-CAR-ICE_DST00</v>
      </c>
      <c r="C12" s="222" t="str">
        <f t="shared" si="7"/>
        <v>DEMO</v>
      </c>
      <c r="D12" s="222" t="str">
        <f t="shared" si="7"/>
        <v>pass/vehicle</v>
      </c>
      <c r="E12" s="220">
        <f>ROUNDUP(E11,2)</f>
        <v>1.49</v>
      </c>
      <c r="F12" s="220">
        <f t="shared" ref="F12:AE19" si="8">ROUNDUP(F11,2)</f>
        <v>1.5</v>
      </c>
      <c r="G12" s="220">
        <f t="shared" si="8"/>
        <v>1.53</v>
      </c>
      <c r="H12" s="220">
        <f t="shared" si="8"/>
        <v>1.51</v>
      </c>
      <c r="I12" s="220">
        <f t="shared" si="8"/>
        <v>1.46</v>
      </c>
      <c r="J12" s="220">
        <f t="shared" si="8"/>
        <v>1.49</v>
      </c>
      <c r="K12" s="220">
        <f t="shared" si="8"/>
        <v>1.43</v>
      </c>
      <c r="L12" s="220">
        <f t="shared" si="8"/>
        <v>1.51</v>
      </c>
      <c r="M12" s="220">
        <f t="shared" si="8"/>
        <v>1.51</v>
      </c>
      <c r="N12" s="220">
        <f t="shared" si="8"/>
        <v>1.5</v>
      </c>
      <c r="O12" s="220">
        <f t="shared" si="8"/>
        <v>1.49</v>
      </c>
      <c r="P12" s="220">
        <f t="shared" si="8"/>
        <v>1.5</v>
      </c>
      <c r="Q12" s="220">
        <f t="shared" si="8"/>
        <v>1.5</v>
      </c>
      <c r="R12" s="220">
        <f t="shared" si="8"/>
        <v>1.5</v>
      </c>
      <c r="S12" s="220">
        <f t="shared" si="8"/>
        <v>1.49</v>
      </c>
      <c r="T12" s="220">
        <f t="shared" si="8"/>
        <v>1.48</v>
      </c>
      <c r="U12" s="220">
        <f t="shared" si="8"/>
        <v>1.51</v>
      </c>
      <c r="V12" s="220">
        <f t="shared" si="8"/>
        <v>1.5</v>
      </c>
      <c r="W12" s="220">
        <f t="shared" si="8"/>
        <v>1.49</v>
      </c>
      <c r="X12" s="220">
        <f t="shared" si="8"/>
        <v>1.35</v>
      </c>
      <c r="Y12" s="220">
        <f t="shared" si="8"/>
        <v>1.47</v>
      </c>
      <c r="Z12" s="220">
        <f t="shared" si="8"/>
        <v>1.49</v>
      </c>
      <c r="AA12" s="220">
        <f t="shared" si="8"/>
        <v>1.49</v>
      </c>
      <c r="AB12" s="220">
        <f t="shared" si="8"/>
        <v>1.5</v>
      </c>
      <c r="AC12" s="220">
        <f t="shared" si="8"/>
        <v>1.5</v>
      </c>
      <c r="AD12" s="220">
        <f t="shared" si="8"/>
        <v>1.5</v>
      </c>
      <c r="AE12" s="220">
        <f t="shared" si="8"/>
        <v>1.44</v>
      </c>
    </row>
    <row r="13" spans="1:31" s="429" customFormat="1">
      <c r="A13" s="548"/>
      <c r="B13" s="222" t="str">
        <f t="shared" ref="B13:D13" si="9">B55</f>
        <v>T-CAR-ICE_DF00</v>
      </c>
      <c r="C13" s="222" t="str">
        <f t="shared" si="9"/>
        <v>DEMO</v>
      </c>
      <c r="D13" s="222" t="str">
        <f t="shared" si="9"/>
        <v>pass/vehicle</v>
      </c>
      <c r="E13" s="220">
        <f t="shared" ref="E13:E19" si="10">ROUNDUP(E12,2)</f>
        <v>1.49</v>
      </c>
      <c r="F13" s="220">
        <f t="shared" si="8"/>
        <v>1.5</v>
      </c>
      <c r="G13" s="220">
        <f t="shared" si="8"/>
        <v>1.53</v>
      </c>
      <c r="H13" s="220">
        <f t="shared" si="8"/>
        <v>1.51</v>
      </c>
      <c r="I13" s="220">
        <f t="shared" si="8"/>
        <v>1.46</v>
      </c>
      <c r="J13" s="220">
        <f t="shared" si="8"/>
        <v>1.49</v>
      </c>
      <c r="K13" s="220">
        <f t="shared" si="8"/>
        <v>1.43</v>
      </c>
      <c r="L13" s="220">
        <f t="shared" si="8"/>
        <v>1.51</v>
      </c>
      <c r="M13" s="220">
        <f t="shared" si="8"/>
        <v>1.51</v>
      </c>
      <c r="N13" s="220">
        <f t="shared" si="8"/>
        <v>1.5</v>
      </c>
      <c r="O13" s="220">
        <f t="shared" si="8"/>
        <v>1.49</v>
      </c>
      <c r="P13" s="220">
        <f t="shared" si="8"/>
        <v>1.5</v>
      </c>
      <c r="Q13" s="220">
        <f t="shared" si="8"/>
        <v>1.5</v>
      </c>
      <c r="R13" s="220">
        <f t="shared" si="8"/>
        <v>1.5</v>
      </c>
      <c r="S13" s="220">
        <f t="shared" si="8"/>
        <v>1.49</v>
      </c>
      <c r="T13" s="220">
        <f t="shared" si="8"/>
        <v>1.48</v>
      </c>
      <c r="U13" s="220">
        <f t="shared" si="8"/>
        <v>1.51</v>
      </c>
      <c r="V13" s="220">
        <f t="shared" si="8"/>
        <v>1.5</v>
      </c>
      <c r="W13" s="220">
        <f t="shared" si="8"/>
        <v>1.49</v>
      </c>
      <c r="X13" s="220">
        <f t="shared" si="8"/>
        <v>1.35</v>
      </c>
      <c r="Y13" s="220">
        <f t="shared" si="8"/>
        <v>1.47</v>
      </c>
      <c r="Z13" s="220">
        <f t="shared" si="8"/>
        <v>1.49</v>
      </c>
      <c r="AA13" s="220">
        <f t="shared" si="8"/>
        <v>1.49</v>
      </c>
      <c r="AB13" s="220">
        <f t="shared" si="8"/>
        <v>1.5</v>
      </c>
      <c r="AC13" s="220">
        <f t="shared" si="8"/>
        <v>1.5</v>
      </c>
      <c r="AD13" s="220">
        <f t="shared" si="8"/>
        <v>1.5</v>
      </c>
      <c r="AE13" s="220">
        <f t="shared" si="8"/>
        <v>1.44</v>
      </c>
    </row>
    <row r="14" spans="1:31" s="429" customFormat="1">
      <c r="A14" s="548"/>
      <c r="B14" s="222" t="str">
        <f t="shared" ref="B14:D14" si="11">B56</f>
        <v>T-CAR-ICE_E8500</v>
      </c>
      <c r="C14" s="222" t="str">
        <f t="shared" si="11"/>
        <v>DEMO</v>
      </c>
      <c r="D14" s="222" t="str">
        <f t="shared" si="11"/>
        <v>pass/vehicle</v>
      </c>
      <c r="E14" s="220">
        <f t="shared" si="10"/>
        <v>1.49</v>
      </c>
      <c r="F14" s="220">
        <f t="shared" si="8"/>
        <v>1.5</v>
      </c>
      <c r="G14" s="220">
        <f t="shared" si="8"/>
        <v>1.53</v>
      </c>
      <c r="H14" s="220">
        <f t="shared" si="8"/>
        <v>1.51</v>
      </c>
      <c r="I14" s="220">
        <f t="shared" si="8"/>
        <v>1.46</v>
      </c>
      <c r="J14" s="220">
        <f t="shared" si="8"/>
        <v>1.49</v>
      </c>
      <c r="K14" s="220">
        <f t="shared" si="8"/>
        <v>1.43</v>
      </c>
      <c r="L14" s="220">
        <f t="shared" si="8"/>
        <v>1.51</v>
      </c>
      <c r="M14" s="220">
        <f t="shared" si="8"/>
        <v>1.51</v>
      </c>
      <c r="N14" s="220">
        <f t="shared" si="8"/>
        <v>1.5</v>
      </c>
      <c r="O14" s="220">
        <f t="shared" si="8"/>
        <v>1.49</v>
      </c>
      <c r="P14" s="220">
        <f t="shared" si="8"/>
        <v>1.5</v>
      </c>
      <c r="Q14" s="220">
        <f t="shared" si="8"/>
        <v>1.5</v>
      </c>
      <c r="R14" s="220">
        <f t="shared" si="8"/>
        <v>1.5</v>
      </c>
      <c r="S14" s="220">
        <f t="shared" si="8"/>
        <v>1.49</v>
      </c>
      <c r="T14" s="220">
        <f t="shared" si="8"/>
        <v>1.48</v>
      </c>
      <c r="U14" s="220">
        <f t="shared" si="8"/>
        <v>1.51</v>
      </c>
      <c r="V14" s="220">
        <f t="shared" si="8"/>
        <v>1.5</v>
      </c>
      <c r="W14" s="220">
        <f t="shared" si="8"/>
        <v>1.49</v>
      </c>
      <c r="X14" s="220">
        <f t="shared" si="8"/>
        <v>1.35</v>
      </c>
      <c r="Y14" s="220">
        <f t="shared" si="8"/>
        <v>1.47</v>
      </c>
      <c r="Z14" s="220">
        <f t="shared" si="8"/>
        <v>1.49</v>
      </c>
      <c r="AA14" s="220">
        <f t="shared" si="8"/>
        <v>1.49</v>
      </c>
      <c r="AB14" s="220">
        <f t="shared" si="8"/>
        <v>1.5</v>
      </c>
      <c r="AC14" s="220">
        <f t="shared" si="8"/>
        <v>1.5</v>
      </c>
      <c r="AD14" s="220">
        <f t="shared" si="8"/>
        <v>1.5</v>
      </c>
      <c r="AE14" s="220">
        <f t="shared" si="8"/>
        <v>1.44</v>
      </c>
    </row>
    <row r="15" spans="1:31" s="429" customFormat="1">
      <c r="A15" s="548"/>
      <c r="B15" s="222" t="str">
        <f t="shared" ref="B15:D15" si="12">B57</f>
        <v>T-CAR-HEV_GSL00</v>
      </c>
      <c r="C15" s="222" t="str">
        <f t="shared" si="12"/>
        <v>DEMO</v>
      </c>
      <c r="D15" s="222" t="str">
        <f t="shared" si="12"/>
        <v>pass/vehicle</v>
      </c>
      <c r="E15" s="220">
        <f t="shared" si="10"/>
        <v>1.49</v>
      </c>
      <c r="F15" s="220">
        <f t="shared" si="8"/>
        <v>1.5</v>
      </c>
      <c r="G15" s="220">
        <f t="shared" si="8"/>
        <v>1.53</v>
      </c>
      <c r="H15" s="220">
        <f t="shared" si="8"/>
        <v>1.51</v>
      </c>
      <c r="I15" s="220">
        <f t="shared" si="8"/>
        <v>1.46</v>
      </c>
      <c r="J15" s="220">
        <f t="shared" si="8"/>
        <v>1.49</v>
      </c>
      <c r="K15" s="220">
        <f t="shared" si="8"/>
        <v>1.43</v>
      </c>
      <c r="L15" s="220">
        <f t="shared" si="8"/>
        <v>1.51</v>
      </c>
      <c r="M15" s="220">
        <f t="shared" si="8"/>
        <v>1.51</v>
      </c>
      <c r="N15" s="220">
        <f t="shared" si="8"/>
        <v>1.5</v>
      </c>
      <c r="O15" s="220">
        <f t="shared" si="8"/>
        <v>1.49</v>
      </c>
      <c r="P15" s="220">
        <f t="shared" si="8"/>
        <v>1.5</v>
      </c>
      <c r="Q15" s="220">
        <f t="shared" si="8"/>
        <v>1.5</v>
      </c>
      <c r="R15" s="220">
        <f t="shared" si="8"/>
        <v>1.5</v>
      </c>
      <c r="S15" s="220">
        <f t="shared" si="8"/>
        <v>1.49</v>
      </c>
      <c r="T15" s="220">
        <f t="shared" si="8"/>
        <v>1.48</v>
      </c>
      <c r="U15" s="220">
        <f t="shared" si="8"/>
        <v>1.51</v>
      </c>
      <c r="V15" s="220">
        <f t="shared" si="8"/>
        <v>1.5</v>
      </c>
      <c r="W15" s="220">
        <f t="shared" si="8"/>
        <v>1.49</v>
      </c>
      <c r="X15" s="220">
        <f t="shared" si="8"/>
        <v>1.35</v>
      </c>
      <c r="Y15" s="220">
        <f t="shared" si="8"/>
        <v>1.47</v>
      </c>
      <c r="Z15" s="220">
        <f t="shared" si="8"/>
        <v>1.49</v>
      </c>
      <c r="AA15" s="220">
        <f t="shared" si="8"/>
        <v>1.49</v>
      </c>
      <c r="AB15" s="220">
        <f t="shared" si="8"/>
        <v>1.5</v>
      </c>
      <c r="AC15" s="220">
        <f t="shared" si="8"/>
        <v>1.5</v>
      </c>
      <c r="AD15" s="220">
        <f t="shared" si="8"/>
        <v>1.5</v>
      </c>
      <c r="AE15" s="220">
        <f t="shared" si="8"/>
        <v>1.44</v>
      </c>
    </row>
    <row r="16" spans="1:31" s="429" customFormat="1">
      <c r="A16" s="548"/>
      <c r="B16" s="222" t="str">
        <f t="shared" ref="B16:D16" si="13">B58</f>
        <v>T-CAR-HEV_DST00</v>
      </c>
      <c r="C16" s="222" t="str">
        <f t="shared" si="13"/>
        <v>DEMO</v>
      </c>
      <c r="D16" s="222" t="str">
        <f t="shared" si="13"/>
        <v>pass/vehicle</v>
      </c>
      <c r="E16" s="220">
        <f t="shared" si="10"/>
        <v>1.49</v>
      </c>
      <c r="F16" s="220">
        <f t="shared" si="8"/>
        <v>1.5</v>
      </c>
      <c r="G16" s="220">
        <f t="shared" si="8"/>
        <v>1.53</v>
      </c>
      <c r="H16" s="220">
        <f t="shared" si="8"/>
        <v>1.51</v>
      </c>
      <c r="I16" s="220">
        <f t="shared" si="8"/>
        <v>1.46</v>
      </c>
      <c r="J16" s="220">
        <f t="shared" si="8"/>
        <v>1.49</v>
      </c>
      <c r="K16" s="220">
        <f t="shared" si="8"/>
        <v>1.43</v>
      </c>
      <c r="L16" s="220">
        <f t="shared" si="8"/>
        <v>1.51</v>
      </c>
      <c r="M16" s="220">
        <f t="shared" si="8"/>
        <v>1.51</v>
      </c>
      <c r="N16" s="220">
        <f t="shared" si="8"/>
        <v>1.5</v>
      </c>
      <c r="O16" s="220">
        <f t="shared" si="8"/>
        <v>1.49</v>
      </c>
      <c r="P16" s="220">
        <f t="shared" si="8"/>
        <v>1.5</v>
      </c>
      <c r="Q16" s="220">
        <f t="shared" si="8"/>
        <v>1.5</v>
      </c>
      <c r="R16" s="220">
        <f t="shared" si="8"/>
        <v>1.5</v>
      </c>
      <c r="S16" s="220">
        <f t="shared" si="8"/>
        <v>1.49</v>
      </c>
      <c r="T16" s="220">
        <f t="shared" si="8"/>
        <v>1.48</v>
      </c>
      <c r="U16" s="220">
        <f t="shared" si="8"/>
        <v>1.51</v>
      </c>
      <c r="V16" s="220">
        <f t="shared" si="8"/>
        <v>1.5</v>
      </c>
      <c r="W16" s="220">
        <f t="shared" si="8"/>
        <v>1.49</v>
      </c>
      <c r="X16" s="220">
        <f t="shared" si="8"/>
        <v>1.35</v>
      </c>
      <c r="Y16" s="220">
        <f t="shared" si="8"/>
        <v>1.47</v>
      </c>
      <c r="Z16" s="220">
        <f t="shared" si="8"/>
        <v>1.49</v>
      </c>
      <c r="AA16" s="220">
        <f t="shared" si="8"/>
        <v>1.49</v>
      </c>
      <c r="AB16" s="220">
        <f t="shared" si="8"/>
        <v>1.5</v>
      </c>
      <c r="AC16" s="220">
        <f t="shared" si="8"/>
        <v>1.5</v>
      </c>
      <c r="AD16" s="220">
        <f t="shared" si="8"/>
        <v>1.5</v>
      </c>
      <c r="AE16" s="220">
        <f t="shared" si="8"/>
        <v>1.44</v>
      </c>
    </row>
    <row r="17" spans="1:31" s="429" customFormat="1">
      <c r="A17" s="548"/>
      <c r="B17" s="222" t="str">
        <f t="shared" ref="B17:D17" si="14">B59</f>
        <v>T-CAR-PHEV_GSL00</v>
      </c>
      <c r="C17" s="222" t="str">
        <f t="shared" si="14"/>
        <v>DEMO</v>
      </c>
      <c r="D17" s="222" t="str">
        <f t="shared" si="14"/>
        <v>pass/vehicle</v>
      </c>
      <c r="E17" s="220">
        <f t="shared" si="10"/>
        <v>1.49</v>
      </c>
      <c r="F17" s="220">
        <f t="shared" si="8"/>
        <v>1.5</v>
      </c>
      <c r="G17" s="220">
        <f t="shared" si="8"/>
        <v>1.53</v>
      </c>
      <c r="H17" s="220">
        <f t="shared" si="8"/>
        <v>1.51</v>
      </c>
      <c r="I17" s="220">
        <f t="shared" si="8"/>
        <v>1.46</v>
      </c>
      <c r="J17" s="220">
        <f t="shared" si="8"/>
        <v>1.49</v>
      </c>
      <c r="K17" s="220">
        <f t="shared" si="8"/>
        <v>1.43</v>
      </c>
      <c r="L17" s="220">
        <f t="shared" si="8"/>
        <v>1.51</v>
      </c>
      <c r="M17" s="220">
        <f t="shared" si="8"/>
        <v>1.51</v>
      </c>
      <c r="N17" s="220">
        <f t="shared" si="8"/>
        <v>1.5</v>
      </c>
      <c r="O17" s="220">
        <f t="shared" si="8"/>
        <v>1.49</v>
      </c>
      <c r="P17" s="220">
        <f t="shared" si="8"/>
        <v>1.5</v>
      </c>
      <c r="Q17" s="220">
        <f t="shared" si="8"/>
        <v>1.5</v>
      </c>
      <c r="R17" s="220">
        <f t="shared" si="8"/>
        <v>1.5</v>
      </c>
      <c r="S17" s="220">
        <f t="shared" si="8"/>
        <v>1.49</v>
      </c>
      <c r="T17" s="220">
        <f t="shared" si="8"/>
        <v>1.48</v>
      </c>
      <c r="U17" s="220">
        <f t="shared" si="8"/>
        <v>1.51</v>
      </c>
      <c r="V17" s="220">
        <f t="shared" si="8"/>
        <v>1.5</v>
      </c>
      <c r="W17" s="220">
        <f t="shared" si="8"/>
        <v>1.49</v>
      </c>
      <c r="X17" s="220">
        <f t="shared" si="8"/>
        <v>1.35</v>
      </c>
      <c r="Y17" s="220">
        <f t="shared" si="8"/>
        <v>1.47</v>
      </c>
      <c r="Z17" s="220">
        <f t="shared" si="8"/>
        <v>1.49</v>
      </c>
      <c r="AA17" s="220">
        <f t="shared" si="8"/>
        <v>1.49</v>
      </c>
      <c r="AB17" s="220">
        <f t="shared" si="8"/>
        <v>1.5</v>
      </c>
      <c r="AC17" s="220">
        <f t="shared" si="8"/>
        <v>1.5</v>
      </c>
      <c r="AD17" s="220">
        <f t="shared" si="8"/>
        <v>1.5</v>
      </c>
      <c r="AE17" s="220">
        <f t="shared" si="8"/>
        <v>1.44</v>
      </c>
    </row>
    <row r="18" spans="1:31" s="429" customFormat="1">
      <c r="A18" s="548"/>
      <c r="B18" s="222" t="str">
        <f t="shared" ref="B18:D18" si="15">B60</f>
        <v>T-CAR-PHEV_DST00</v>
      </c>
      <c r="C18" s="222" t="str">
        <f t="shared" si="15"/>
        <v>DEMO</v>
      </c>
      <c r="D18" s="222" t="str">
        <f t="shared" si="15"/>
        <v>pass/vehicle</v>
      </c>
      <c r="E18" s="220">
        <f t="shared" si="10"/>
        <v>1.49</v>
      </c>
      <c r="F18" s="220">
        <f t="shared" si="8"/>
        <v>1.5</v>
      </c>
      <c r="G18" s="220">
        <f t="shared" si="8"/>
        <v>1.53</v>
      </c>
      <c r="H18" s="220">
        <f t="shared" si="8"/>
        <v>1.51</v>
      </c>
      <c r="I18" s="220">
        <f t="shared" si="8"/>
        <v>1.46</v>
      </c>
      <c r="J18" s="220">
        <f t="shared" si="8"/>
        <v>1.49</v>
      </c>
      <c r="K18" s="220">
        <f t="shared" si="8"/>
        <v>1.43</v>
      </c>
      <c r="L18" s="220">
        <f t="shared" si="8"/>
        <v>1.51</v>
      </c>
      <c r="M18" s="220">
        <f t="shared" si="8"/>
        <v>1.51</v>
      </c>
      <c r="N18" s="220">
        <f t="shared" si="8"/>
        <v>1.5</v>
      </c>
      <c r="O18" s="220">
        <f t="shared" si="8"/>
        <v>1.49</v>
      </c>
      <c r="P18" s="220">
        <f t="shared" si="8"/>
        <v>1.5</v>
      </c>
      <c r="Q18" s="220">
        <f t="shared" si="8"/>
        <v>1.5</v>
      </c>
      <c r="R18" s="220">
        <f t="shared" si="8"/>
        <v>1.5</v>
      </c>
      <c r="S18" s="220">
        <f t="shared" si="8"/>
        <v>1.49</v>
      </c>
      <c r="T18" s="220">
        <f t="shared" si="8"/>
        <v>1.48</v>
      </c>
      <c r="U18" s="220">
        <f t="shared" si="8"/>
        <v>1.51</v>
      </c>
      <c r="V18" s="220">
        <f t="shared" si="8"/>
        <v>1.5</v>
      </c>
      <c r="W18" s="220">
        <f t="shared" si="8"/>
        <v>1.49</v>
      </c>
      <c r="X18" s="220">
        <f t="shared" si="8"/>
        <v>1.35</v>
      </c>
      <c r="Y18" s="220">
        <f t="shared" si="8"/>
        <v>1.47</v>
      </c>
      <c r="Z18" s="220">
        <f t="shared" si="8"/>
        <v>1.49</v>
      </c>
      <c r="AA18" s="220">
        <f t="shared" si="8"/>
        <v>1.49</v>
      </c>
      <c r="AB18" s="220">
        <f t="shared" si="8"/>
        <v>1.5</v>
      </c>
      <c r="AC18" s="220">
        <f t="shared" si="8"/>
        <v>1.5</v>
      </c>
      <c r="AD18" s="220">
        <f t="shared" si="8"/>
        <v>1.5</v>
      </c>
      <c r="AE18" s="220">
        <f t="shared" si="8"/>
        <v>1.44</v>
      </c>
    </row>
    <row r="19" spans="1:31" s="429" customFormat="1">
      <c r="A19" s="548"/>
      <c r="B19" s="222" t="str">
        <f t="shared" ref="B19:D19" si="16">B61</f>
        <v>T-CAR-BEV_ELC00</v>
      </c>
      <c r="C19" s="222" t="str">
        <f t="shared" si="16"/>
        <v>DEMO</v>
      </c>
      <c r="D19" s="222" t="str">
        <f t="shared" si="16"/>
        <v>pass/vehicle</v>
      </c>
      <c r="E19" s="220">
        <f t="shared" si="10"/>
        <v>1.49</v>
      </c>
      <c r="F19" s="220">
        <f t="shared" si="8"/>
        <v>1.5</v>
      </c>
      <c r="G19" s="220">
        <f t="shared" si="8"/>
        <v>1.53</v>
      </c>
      <c r="H19" s="220">
        <f t="shared" si="8"/>
        <v>1.51</v>
      </c>
      <c r="I19" s="220">
        <f t="shared" si="8"/>
        <v>1.46</v>
      </c>
      <c r="J19" s="220">
        <f t="shared" si="8"/>
        <v>1.49</v>
      </c>
      <c r="K19" s="220">
        <f t="shared" si="8"/>
        <v>1.43</v>
      </c>
      <c r="L19" s="220">
        <f t="shared" si="8"/>
        <v>1.51</v>
      </c>
      <c r="M19" s="220">
        <f t="shared" si="8"/>
        <v>1.51</v>
      </c>
      <c r="N19" s="220">
        <f t="shared" si="8"/>
        <v>1.5</v>
      </c>
      <c r="O19" s="220">
        <f t="shared" si="8"/>
        <v>1.49</v>
      </c>
      <c r="P19" s="220">
        <f t="shared" si="8"/>
        <v>1.5</v>
      </c>
      <c r="Q19" s="220">
        <f t="shared" si="8"/>
        <v>1.5</v>
      </c>
      <c r="R19" s="220">
        <f t="shared" si="8"/>
        <v>1.5</v>
      </c>
      <c r="S19" s="220">
        <f t="shared" si="8"/>
        <v>1.49</v>
      </c>
      <c r="T19" s="220">
        <f t="shared" si="8"/>
        <v>1.48</v>
      </c>
      <c r="U19" s="220">
        <f t="shared" si="8"/>
        <v>1.51</v>
      </c>
      <c r="V19" s="220">
        <f t="shared" si="8"/>
        <v>1.5</v>
      </c>
      <c r="W19" s="220">
        <f t="shared" si="8"/>
        <v>1.49</v>
      </c>
      <c r="X19" s="220">
        <f t="shared" si="8"/>
        <v>1.35</v>
      </c>
      <c r="Y19" s="220">
        <f t="shared" si="8"/>
        <v>1.47</v>
      </c>
      <c r="Z19" s="220">
        <f t="shared" si="8"/>
        <v>1.49</v>
      </c>
      <c r="AA19" s="220">
        <f t="shared" si="8"/>
        <v>1.49</v>
      </c>
      <c r="AB19" s="220">
        <f t="shared" si="8"/>
        <v>1.5</v>
      </c>
      <c r="AC19" s="220">
        <f t="shared" si="8"/>
        <v>1.5</v>
      </c>
      <c r="AD19" s="220">
        <f t="shared" si="8"/>
        <v>1.5</v>
      </c>
      <c r="AE19" s="220">
        <f t="shared" si="8"/>
        <v>1.44</v>
      </c>
    </row>
    <row r="20" spans="1:31" s="429" customFormat="1">
      <c r="A20" s="548"/>
      <c r="B20" s="222" t="str">
        <f t="shared" ref="B20:D20" si="17">B62</f>
        <v>T-TAX-ICE_GSL00</v>
      </c>
      <c r="C20" s="222" t="str">
        <f t="shared" si="17"/>
        <v>DEMO</v>
      </c>
      <c r="D20" s="222" t="str">
        <f t="shared" si="17"/>
        <v>pass/vehicle</v>
      </c>
      <c r="E20" s="220">
        <f>ROUNDUP(Stock!AJ121,2)</f>
        <v>1.49</v>
      </c>
      <c r="F20" s="220">
        <f>ROUNDUP(Stock!AK121,2)</f>
        <v>1.29</v>
      </c>
      <c r="G20" s="220">
        <f>ROUNDUP(Stock!AL121,2)</f>
        <v>1.5</v>
      </c>
      <c r="H20" s="220">
        <f>ROUNDUP(Stock!AM121,2)</f>
        <v>1.5</v>
      </c>
      <c r="I20" s="220">
        <f>ROUNDUP(Stock!AN121,2)</f>
        <v>1.5</v>
      </c>
      <c r="J20" s="220">
        <f>ROUNDUP(Stock!AO121,2)</f>
        <v>1.44</v>
      </c>
      <c r="K20" s="220">
        <f>ROUNDUP(Stock!AP121,2)</f>
        <v>1.52</v>
      </c>
      <c r="L20" s="220">
        <f>ROUNDUP(Stock!AQ121,2)</f>
        <v>1.53</v>
      </c>
      <c r="M20" s="220">
        <f>ROUNDUP(Stock!AR121,2)</f>
        <v>1.48</v>
      </c>
      <c r="N20" s="220">
        <f>ROUNDUP(Stock!AS121,2)</f>
        <v>1.43</v>
      </c>
      <c r="O20" s="220">
        <f>ROUNDUP(Stock!AT121,2)</f>
        <v>1.53</v>
      </c>
      <c r="P20" s="220">
        <f>ROUNDUP(Stock!AU121,2)</f>
        <v>1.58</v>
      </c>
      <c r="Q20" s="220">
        <f>ROUNDUP(Stock!AV121,2)</f>
        <v>1.52</v>
      </c>
      <c r="R20" s="220">
        <f>ROUNDUP(Stock!AW121,2)</f>
        <v>1.5</v>
      </c>
      <c r="S20" s="220">
        <f>ROUNDUP(Stock!AX121,2)</f>
        <v>1.5</v>
      </c>
      <c r="T20" s="220">
        <f>ROUNDUP(Stock!AY121,2)</f>
        <v>1.49</v>
      </c>
      <c r="U20" s="220">
        <f>ROUNDUP(Stock!AZ121,2)</f>
        <v>1.55</v>
      </c>
      <c r="V20" s="220">
        <f>ROUNDUP(Stock!BA121,2)</f>
        <v>1.46</v>
      </c>
      <c r="W20" s="220">
        <f>ROUNDUP(Stock!BB121,2)</f>
        <v>1.4</v>
      </c>
      <c r="X20" s="220">
        <f>ROUNDUP(Stock!BC121,2)</f>
        <v>1.47</v>
      </c>
      <c r="Y20" s="220">
        <f>ROUNDUP(Stock!BD121,2)</f>
        <v>1.61</v>
      </c>
      <c r="Z20" s="220">
        <f>ROUNDUP(Stock!BE121,2)</f>
        <v>1.48</v>
      </c>
      <c r="AA20" s="220">
        <f>ROUNDUP(Stock!BF121,2)</f>
        <v>1.46</v>
      </c>
      <c r="AB20" s="220">
        <f>ROUNDUP(Stock!BG121,2)</f>
        <v>1.35</v>
      </c>
      <c r="AC20" s="220">
        <f>ROUNDUP(Stock!BH121,2)</f>
        <v>1.45</v>
      </c>
      <c r="AD20" s="220">
        <f>ROUNDUP(Stock!BI121,2)</f>
        <v>1.52</v>
      </c>
      <c r="AE20" s="220">
        <f>ROUNDUP(Stock!BJ121,2)</f>
        <v>1.39</v>
      </c>
    </row>
    <row r="21" spans="1:31" s="429" customFormat="1">
      <c r="A21" s="548"/>
      <c r="B21" s="222" t="str">
        <f t="shared" ref="B21:D21" si="18">B63</f>
        <v>T-TAX-ICE_DST00</v>
      </c>
      <c r="C21" s="222" t="str">
        <f t="shared" si="18"/>
        <v>DEMO</v>
      </c>
      <c r="D21" s="222" t="str">
        <f t="shared" si="18"/>
        <v>pass/vehicle</v>
      </c>
      <c r="E21" s="220">
        <f>ROUND(E20,2)</f>
        <v>1.49</v>
      </c>
      <c r="F21" s="220">
        <f t="shared" ref="F21:AE22" si="19">ROUND(F20,2)</f>
        <v>1.29</v>
      </c>
      <c r="G21" s="220">
        <f t="shared" si="19"/>
        <v>1.5</v>
      </c>
      <c r="H21" s="220">
        <f t="shared" si="19"/>
        <v>1.5</v>
      </c>
      <c r="I21" s="220">
        <f t="shared" si="19"/>
        <v>1.5</v>
      </c>
      <c r="J21" s="220">
        <f t="shared" si="19"/>
        <v>1.44</v>
      </c>
      <c r="K21" s="220">
        <f t="shared" si="19"/>
        <v>1.52</v>
      </c>
      <c r="L21" s="220">
        <f t="shared" si="19"/>
        <v>1.53</v>
      </c>
      <c r="M21" s="220">
        <f t="shared" si="19"/>
        <v>1.48</v>
      </c>
      <c r="N21" s="220">
        <f t="shared" si="19"/>
        <v>1.43</v>
      </c>
      <c r="O21" s="220">
        <f t="shared" si="19"/>
        <v>1.53</v>
      </c>
      <c r="P21" s="220">
        <f t="shared" si="19"/>
        <v>1.58</v>
      </c>
      <c r="Q21" s="220">
        <f t="shared" si="19"/>
        <v>1.52</v>
      </c>
      <c r="R21" s="220">
        <f t="shared" si="19"/>
        <v>1.5</v>
      </c>
      <c r="S21" s="220">
        <f t="shared" si="19"/>
        <v>1.5</v>
      </c>
      <c r="T21" s="220">
        <f t="shared" si="19"/>
        <v>1.49</v>
      </c>
      <c r="U21" s="220">
        <f t="shared" si="19"/>
        <v>1.55</v>
      </c>
      <c r="V21" s="220">
        <f t="shared" si="19"/>
        <v>1.46</v>
      </c>
      <c r="W21" s="220">
        <f t="shared" si="19"/>
        <v>1.4</v>
      </c>
      <c r="X21" s="220">
        <f t="shared" si="19"/>
        <v>1.47</v>
      </c>
      <c r="Y21" s="220">
        <f t="shared" si="19"/>
        <v>1.61</v>
      </c>
      <c r="Z21" s="220">
        <f t="shared" si="19"/>
        <v>1.48</v>
      </c>
      <c r="AA21" s="220">
        <f t="shared" si="19"/>
        <v>1.46</v>
      </c>
      <c r="AB21" s="220">
        <f t="shared" si="19"/>
        <v>1.35</v>
      </c>
      <c r="AC21" s="220">
        <f t="shared" si="19"/>
        <v>1.45</v>
      </c>
      <c r="AD21" s="220">
        <f t="shared" si="19"/>
        <v>1.52</v>
      </c>
      <c r="AE21" s="220">
        <f t="shared" si="19"/>
        <v>1.39</v>
      </c>
    </row>
    <row r="22" spans="1:31" s="429" customFormat="1">
      <c r="A22" s="548"/>
      <c r="B22" s="222" t="str">
        <f t="shared" ref="B22:D22" si="20">B64</f>
        <v>T-TAX-HEV_GSL00</v>
      </c>
      <c r="C22" s="222" t="str">
        <f t="shared" si="20"/>
        <v>DEMO</v>
      </c>
      <c r="D22" s="222" t="str">
        <f t="shared" si="20"/>
        <v>pass/vehicle</v>
      </c>
      <c r="E22" s="220">
        <f>ROUND(E21,2)</f>
        <v>1.49</v>
      </c>
      <c r="F22" s="220">
        <f t="shared" si="19"/>
        <v>1.29</v>
      </c>
      <c r="G22" s="220">
        <f t="shared" si="19"/>
        <v>1.5</v>
      </c>
      <c r="H22" s="220">
        <f t="shared" si="19"/>
        <v>1.5</v>
      </c>
      <c r="I22" s="220">
        <f t="shared" si="19"/>
        <v>1.5</v>
      </c>
      <c r="J22" s="220">
        <f t="shared" si="19"/>
        <v>1.44</v>
      </c>
      <c r="K22" s="220">
        <f t="shared" si="19"/>
        <v>1.52</v>
      </c>
      <c r="L22" s="220">
        <f t="shared" si="19"/>
        <v>1.53</v>
      </c>
      <c r="M22" s="220">
        <f t="shared" si="19"/>
        <v>1.48</v>
      </c>
      <c r="N22" s="220">
        <f t="shared" si="19"/>
        <v>1.43</v>
      </c>
      <c r="O22" s="220">
        <f t="shared" si="19"/>
        <v>1.53</v>
      </c>
      <c r="P22" s="220">
        <f t="shared" si="19"/>
        <v>1.58</v>
      </c>
      <c r="Q22" s="220">
        <f t="shared" si="19"/>
        <v>1.52</v>
      </c>
      <c r="R22" s="220">
        <f t="shared" si="19"/>
        <v>1.5</v>
      </c>
      <c r="S22" s="220">
        <f t="shared" si="19"/>
        <v>1.5</v>
      </c>
      <c r="T22" s="220">
        <f t="shared" si="19"/>
        <v>1.49</v>
      </c>
      <c r="U22" s="220">
        <f t="shared" si="19"/>
        <v>1.55</v>
      </c>
      <c r="V22" s="220">
        <f t="shared" si="19"/>
        <v>1.46</v>
      </c>
      <c r="W22" s="220">
        <f t="shared" si="19"/>
        <v>1.4</v>
      </c>
      <c r="X22" s="220">
        <f t="shared" si="19"/>
        <v>1.47</v>
      </c>
      <c r="Y22" s="220">
        <f t="shared" si="19"/>
        <v>1.61</v>
      </c>
      <c r="Z22" s="220">
        <f t="shared" si="19"/>
        <v>1.48</v>
      </c>
      <c r="AA22" s="220">
        <f t="shared" si="19"/>
        <v>1.46</v>
      </c>
      <c r="AB22" s="220">
        <f t="shared" si="19"/>
        <v>1.35</v>
      </c>
      <c r="AC22" s="220">
        <f t="shared" si="19"/>
        <v>1.45</v>
      </c>
      <c r="AD22" s="220">
        <f t="shared" si="19"/>
        <v>1.52</v>
      </c>
      <c r="AE22" s="220">
        <f t="shared" si="19"/>
        <v>1.39</v>
      </c>
    </row>
    <row r="23" spans="1:31" s="429" customFormat="1">
      <c r="A23" s="548"/>
      <c r="B23" s="222" t="str">
        <f t="shared" ref="B23:D23" si="21">B65</f>
        <v>T-BUS-ICE_DST00</v>
      </c>
      <c r="C23" s="222" t="str">
        <f t="shared" si="21"/>
        <v>DEMO</v>
      </c>
      <c r="D23" s="222" t="str">
        <f t="shared" si="21"/>
        <v>pass/vehicle</v>
      </c>
      <c r="E23" s="220">
        <f>ROUNDUP(Stock!AJ122,2)</f>
        <v>25.430000000000003</v>
      </c>
      <c r="F23" s="220">
        <f>ROUNDUP(Stock!AK122,2)</f>
        <v>25.16</v>
      </c>
      <c r="G23" s="220">
        <f>ROUNDUP(Stock!AL122,2)</f>
        <v>27.310000000000002</v>
      </c>
      <c r="H23" s="220">
        <f>ROUNDUP(Stock!AM122,2)</f>
        <v>27.89</v>
      </c>
      <c r="I23" s="220">
        <f>ROUNDUP(Stock!AN122,2)</f>
        <v>27.94</v>
      </c>
      <c r="J23" s="220">
        <f>ROUNDUP(Stock!AO122,2)</f>
        <v>24.860000000000003</v>
      </c>
      <c r="K23" s="220">
        <f>ROUNDUP(Stock!AP122,2)</f>
        <v>26.39</v>
      </c>
      <c r="L23" s="220">
        <f>ROUNDUP(Stock!AQ122,2)</f>
        <v>25.950000000000003</v>
      </c>
      <c r="M23" s="220">
        <f>ROUNDUP(Stock!AR122,2)</f>
        <v>27.130000000000003</v>
      </c>
      <c r="N23" s="220">
        <f>ROUNDUP(Stock!AS122,2)</f>
        <v>28.430000000000003</v>
      </c>
      <c r="O23" s="220">
        <f>ROUNDUP(Stock!AT122,2)</f>
        <v>26.330000000000002</v>
      </c>
      <c r="P23" s="220">
        <f>ROUNDUP(Stock!AU122,2)</f>
        <v>27.8</v>
      </c>
      <c r="Q23" s="220">
        <f>ROUNDUP(Stock!AV122,2)</f>
        <v>27.720000000000002</v>
      </c>
      <c r="R23" s="220">
        <f>ROUNDUP(Stock!AW122,2)</f>
        <v>25.930000000000003</v>
      </c>
      <c r="S23" s="220">
        <f>ROUNDUP(Stock!AX122,2)</f>
        <v>27.21</v>
      </c>
      <c r="T23" s="220">
        <f>ROUNDUP(Stock!AY122,2)</f>
        <v>26.740000000000002</v>
      </c>
      <c r="U23" s="220">
        <f>ROUNDUP(Stock!AZ122,2)</f>
        <v>27.520000000000003</v>
      </c>
      <c r="V23" s="220">
        <f>ROUNDUP(Stock!BA122,2)</f>
        <v>27.94</v>
      </c>
      <c r="W23" s="220">
        <f>ROUNDUP(Stock!BB122,2)</f>
        <v>29.42</v>
      </c>
      <c r="X23" s="220">
        <f>ROUNDUP(Stock!BC122,2)</f>
        <v>27.360000000000003</v>
      </c>
      <c r="Y23" s="220">
        <f>ROUNDUP(Stock!BD122,2)</f>
        <v>24.82</v>
      </c>
      <c r="Z23" s="220">
        <f>ROUNDUP(Stock!BE122,2)</f>
        <v>27.71</v>
      </c>
      <c r="AA23" s="220">
        <f>ROUNDUP(Stock!BF122,2)</f>
        <v>27.34</v>
      </c>
      <c r="AB23" s="220">
        <f>ROUNDUP(Stock!BG122,2)</f>
        <v>26.240000000000002</v>
      </c>
      <c r="AC23" s="220">
        <f>E23</f>
        <v>25.430000000000003</v>
      </c>
      <c r="AD23" s="220">
        <f>E23</f>
        <v>25.430000000000003</v>
      </c>
      <c r="AE23" s="220">
        <f>ROUNDUP(Stock!BJ122,2)</f>
        <v>27.25</v>
      </c>
    </row>
    <row r="24" spans="1:31" s="429" customFormat="1">
      <c r="A24" s="548"/>
      <c r="B24" s="222" t="str">
        <f t="shared" ref="B24:D24" si="22">B66</f>
        <v>T-LPT-BEV_ELC00</v>
      </c>
      <c r="C24" s="222" t="str">
        <f t="shared" si="22"/>
        <v>DEMO</v>
      </c>
      <c r="D24" s="222" t="str">
        <f t="shared" si="22"/>
        <v>pass/vehicle</v>
      </c>
      <c r="E24" s="220">
        <f>ROUNDUP(Stock!AJ123,2)</f>
        <v>78.03</v>
      </c>
      <c r="F24" s="220">
        <f>ROUNDUP(Stock!AK123,2)</f>
        <v>78.03</v>
      </c>
      <c r="G24" s="220">
        <f>ROUNDUP(Stock!AL123,2)</f>
        <v>78.03</v>
      </c>
      <c r="H24" s="220">
        <f>ROUNDUP(Stock!AM123,2)</f>
        <v>78.03</v>
      </c>
      <c r="I24" s="220">
        <f>ROUNDUP(Stock!AN123,2)</f>
        <v>78.03</v>
      </c>
      <c r="J24" s="220">
        <f>ROUNDUP(Stock!AO123,2)</f>
        <v>78.03</v>
      </c>
      <c r="K24" s="220">
        <f>ROUNDUP(Stock!AP123,2)</f>
        <v>78.03</v>
      </c>
      <c r="L24" s="220">
        <f>ROUNDUP(Stock!AQ123,2)</f>
        <v>78.03</v>
      </c>
      <c r="M24" s="220">
        <f>ROUNDUP(Stock!AR123,2)</f>
        <v>78.03</v>
      </c>
      <c r="N24" s="220">
        <f>ROUNDUP(Stock!AS123,2)</f>
        <v>78.03</v>
      </c>
      <c r="O24" s="220">
        <f>ROUNDUP(Stock!AT123,2)</f>
        <v>78.03</v>
      </c>
      <c r="P24" s="220">
        <f>ROUNDUP(Stock!AU123,2)</f>
        <v>78.03</v>
      </c>
      <c r="Q24" s="220">
        <f>ROUNDUP(Stock!AV123,2)</f>
        <v>78.03</v>
      </c>
      <c r="R24" s="220">
        <f>ROUNDUP(Stock!AW123,2)</f>
        <v>78.03</v>
      </c>
      <c r="S24" s="220">
        <f>ROUNDUP(Stock!AX123,2)</f>
        <v>78.03</v>
      </c>
      <c r="T24" s="220">
        <f>ROUNDUP(Stock!AY123,2)</f>
        <v>78.03</v>
      </c>
      <c r="U24" s="220">
        <f>ROUNDUP(Stock!AZ123,2)</f>
        <v>78.03</v>
      </c>
      <c r="V24" s="220">
        <f>ROUNDUP(Stock!BA123,2)</f>
        <v>78.03</v>
      </c>
      <c r="W24" s="220">
        <f>ROUNDUP(Stock!BB123,2)</f>
        <v>78.03</v>
      </c>
      <c r="X24" s="220">
        <f>ROUNDUP(Stock!BC123,2)</f>
        <v>78.03</v>
      </c>
      <c r="Y24" s="220">
        <f>ROUNDUP(Stock!BD123,2)</f>
        <v>78.03</v>
      </c>
      <c r="Z24" s="220">
        <f>ROUNDUP(Stock!BE123,2)</f>
        <v>78.03</v>
      </c>
      <c r="AA24" s="220">
        <f>ROUNDUP(Stock!BF123,2)</f>
        <v>78.03</v>
      </c>
      <c r="AB24" s="220">
        <f>ROUNDUP(Stock!BG123,2)</f>
        <v>78.03</v>
      </c>
      <c r="AC24" s="220">
        <f>ROUNDUP(Stock!BH123,2)</f>
        <v>78.03</v>
      </c>
      <c r="AD24" s="220">
        <f>ROUNDUP(Stock!BI123,2)</f>
        <v>78.03</v>
      </c>
      <c r="AE24" s="220">
        <f>ROUNDUP(Stock!BJ123,2)</f>
        <v>78.03</v>
      </c>
    </row>
    <row r="25" spans="1:31" s="429" customFormat="1">
      <c r="A25" s="548"/>
      <c r="B25" s="222" t="str">
        <f t="shared" ref="B25:D25" si="23">B67</f>
        <v>T-HPT-BEV_ELC00</v>
      </c>
      <c r="C25" s="222" t="str">
        <f t="shared" si="23"/>
        <v>DEMO</v>
      </c>
      <c r="D25" s="222" t="str">
        <f t="shared" si="23"/>
        <v>pass/vehicle</v>
      </c>
      <c r="E25" s="220">
        <f>ROUNDUP(Stock!AJ124,2)</f>
        <v>120.82000000000001</v>
      </c>
      <c r="F25" s="220">
        <f>ROUNDUP(Stock!AK124,2)</f>
        <v>214.41</v>
      </c>
      <c r="G25" s="220">
        <f>ROUNDUP(Stock!AL124,2)</f>
        <v>57.37</v>
      </c>
      <c r="H25" s="220">
        <f>ROUNDUP(Stock!AM124,2)</f>
        <v>214.41</v>
      </c>
      <c r="I25" s="220">
        <f>ROUNDUP(Stock!AN124,2)</f>
        <v>214.41</v>
      </c>
      <c r="J25" s="220">
        <f>ROUNDUP(Stock!AO124,2)</f>
        <v>214.41</v>
      </c>
      <c r="K25" s="220">
        <f>ROUNDUP(Stock!AP124,2)</f>
        <v>214.41</v>
      </c>
      <c r="L25" s="220">
        <f>ROUNDUP(Stock!AQ124,2)</f>
        <v>214.41</v>
      </c>
      <c r="M25" s="220">
        <f>ROUNDUP(Stock!AR124,2)</f>
        <v>214.41</v>
      </c>
      <c r="N25" s="220">
        <f>ROUNDUP(Stock!AS124,2)</f>
        <v>214.41</v>
      </c>
      <c r="O25" s="220">
        <f>ROUNDUP(Stock!AT124,2)</f>
        <v>214.41</v>
      </c>
      <c r="P25" s="220">
        <f>ROUNDUP(Stock!AU124,2)</f>
        <v>214.41</v>
      </c>
      <c r="Q25" s="220">
        <f>ROUNDUP(Stock!AV124,2)</f>
        <v>214.41</v>
      </c>
      <c r="R25" s="220">
        <f>ROUNDUP(Stock!AW124,2)</f>
        <v>214.41</v>
      </c>
      <c r="S25" s="220">
        <f>ROUNDUP(Stock!AX124,2)</f>
        <v>214.41</v>
      </c>
      <c r="T25" s="220">
        <f>ROUNDUP(Stock!AY124,2)</f>
        <v>214.41</v>
      </c>
      <c r="U25" s="220">
        <f>ROUNDUP(Stock!AZ124,2)</f>
        <v>214.41</v>
      </c>
      <c r="V25" s="220">
        <f>ROUNDUP(Stock!BA124,2)</f>
        <v>214.41</v>
      </c>
      <c r="W25" s="220">
        <f>ROUNDUP(Stock!BB124,2)</f>
        <v>214.41</v>
      </c>
      <c r="X25" s="220">
        <f>ROUNDUP(Stock!BC124,2)</f>
        <v>214.41</v>
      </c>
      <c r="Y25" s="220">
        <f>ROUNDUP(Stock!BD124,2)</f>
        <v>214.41</v>
      </c>
      <c r="Z25" s="220">
        <f>ROUNDUP(Stock!BE124,2)</f>
        <v>214.41</v>
      </c>
      <c r="AA25" s="220">
        <f>ROUNDUP(Stock!BF124,2)</f>
        <v>214.41</v>
      </c>
      <c r="AB25" s="220">
        <f>ROUNDUP(Stock!BG124,2)</f>
        <v>214.41</v>
      </c>
      <c r="AC25" s="220">
        <f>ROUNDUP(Stock!BH124,2)</f>
        <v>214.41</v>
      </c>
      <c r="AD25" s="220">
        <f>ROUNDUP(Stock!BI124,2)</f>
        <v>214.41</v>
      </c>
      <c r="AE25" s="220">
        <f>ROUNDUP(Stock!BJ124,2)</f>
        <v>214.41</v>
      </c>
    </row>
    <row r="26" spans="1:31" s="429" customFormat="1">
      <c r="A26" s="548"/>
      <c r="B26" s="222" t="str">
        <f t="shared" ref="B26:D26" si="24">B68</f>
        <v>T-HPT-ICE_DST00</v>
      </c>
      <c r="C26" s="222" t="str">
        <f t="shared" si="24"/>
        <v>DEMO</v>
      </c>
      <c r="D26" s="222" t="str">
        <f t="shared" si="24"/>
        <v>pass/vehicle</v>
      </c>
      <c r="E26" s="220">
        <f>ROUNDUP(E25,2)</f>
        <v>120.82</v>
      </c>
      <c r="F26" s="220">
        <f t="shared" ref="F26:AE26" si="25">ROUNDUP(F25,2)</f>
        <v>214.41</v>
      </c>
      <c r="G26" s="220">
        <f t="shared" si="25"/>
        <v>57.37</v>
      </c>
      <c r="H26" s="220">
        <f t="shared" si="25"/>
        <v>214.41</v>
      </c>
      <c r="I26" s="220">
        <f t="shared" si="25"/>
        <v>214.41</v>
      </c>
      <c r="J26" s="220">
        <f t="shared" si="25"/>
        <v>214.41</v>
      </c>
      <c r="K26" s="220">
        <f t="shared" si="25"/>
        <v>214.41</v>
      </c>
      <c r="L26" s="220">
        <f t="shared" si="25"/>
        <v>214.41</v>
      </c>
      <c r="M26" s="220">
        <f t="shared" si="25"/>
        <v>214.41</v>
      </c>
      <c r="N26" s="220">
        <f t="shared" si="25"/>
        <v>214.41</v>
      </c>
      <c r="O26" s="220">
        <f t="shared" si="25"/>
        <v>214.41</v>
      </c>
      <c r="P26" s="220">
        <f t="shared" si="25"/>
        <v>214.41</v>
      </c>
      <c r="Q26" s="220">
        <f t="shared" si="25"/>
        <v>214.41</v>
      </c>
      <c r="R26" s="220">
        <f t="shared" si="25"/>
        <v>214.41</v>
      </c>
      <c r="S26" s="220">
        <f t="shared" si="25"/>
        <v>214.41</v>
      </c>
      <c r="T26" s="220">
        <f t="shared" si="25"/>
        <v>214.41</v>
      </c>
      <c r="U26" s="220">
        <f t="shared" si="25"/>
        <v>214.41</v>
      </c>
      <c r="V26" s="220">
        <f t="shared" si="25"/>
        <v>214.41</v>
      </c>
      <c r="W26" s="220">
        <f t="shared" si="25"/>
        <v>214.41</v>
      </c>
      <c r="X26" s="220">
        <f t="shared" si="25"/>
        <v>214.41</v>
      </c>
      <c r="Y26" s="220">
        <f t="shared" si="25"/>
        <v>214.41</v>
      </c>
      <c r="Z26" s="220">
        <f t="shared" si="25"/>
        <v>214.41</v>
      </c>
      <c r="AA26" s="220">
        <f t="shared" si="25"/>
        <v>214.41</v>
      </c>
      <c r="AB26" s="220">
        <f t="shared" si="25"/>
        <v>214.41</v>
      </c>
      <c r="AC26" s="220">
        <f t="shared" si="25"/>
        <v>214.41</v>
      </c>
      <c r="AD26" s="220">
        <f t="shared" si="25"/>
        <v>214.41</v>
      </c>
      <c r="AE26" s="220">
        <f t="shared" si="25"/>
        <v>214.41</v>
      </c>
    </row>
    <row r="27" spans="1:31" s="429" customFormat="1">
      <c r="A27" s="548"/>
      <c r="B27" s="440" t="s">
        <v>715</v>
      </c>
      <c r="C27" s="440"/>
      <c r="D27" s="440"/>
      <c r="E27" s="440"/>
      <c r="F27" s="440"/>
      <c r="G27" s="440"/>
      <c r="H27" s="440"/>
      <c r="I27" s="440"/>
      <c r="J27" s="440"/>
      <c r="K27" s="440"/>
      <c r="L27" s="440"/>
      <c r="M27" s="440"/>
      <c r="N27" s="440"/>
      <c r="O27" s="440"/>
      <c r="P27" s="440"/>
      <c r="Q27" s="440"/>
      <c r="R27" s="440"/>
      <c r="S27" s="440"/>
      <c r="T27" s="440"/>
      <c r="U27" s="440"/>
      <c r="V27" s="440"/>
      <c r="W27" s="440"/>
      <c r="X27" s="440"/>
      <c r="Y27" s="440"/>
      <c r="Z27" s="440"/>
      <c r="AA27" s="440"/>
      <c r="AB27" s="440"/>
      <c r="AC27" s="440"/>
      <c r="AD27" s="440"/>
      <c r="AE27" s="440"/>
    </row>
    <row r="28" spans="1:31" s="429" customFormat="1">
      <c r="A28" s="548"/>
      <c r="B28" s="222" t="str">
        <f t="shared" ref="B28:B31" si="26">B70</f>
        <v>T-LGT-ICE_GSL00</v>
      </c>
      <c r="C28" s="222" t="str">
        <f t="shared" ref="C28:D28" si="27">C70</f>
        <v>DEMO</v>
      </c>
      <c r="D28" s="222" t="str">
        <f t="shared" si="27"/>
        <v>tonne/vehicle</v>
      </c>
      <c r="E28" s="515">
        <f>ROUNDUP(Demands!C449,3)</f>
        <v>4.5999999999999999E-2</v>
      </c>
      <c r="F28" s="515">
        <f>ROUNDUP(Demands!D449,3)</f>
        <v>4.3999999999999997E-2</v>
      </c>
      <c r="G28" s="515">
        <f>ROUNDUP(Demands!E449,3)</f>
        <v>4.5999999999999999E-2</v>
      </c>
      <c r="H28" s="515">
        <f>ROUNDUP(Demands!F449,3)</f>
        <v>4.1000000000000002E-2</v>
      </c>
      <c r="I28" s="515">
        <f>ROUNDUP(Demands!G449,3)</f>
        <v>5.7000000000000002E-2</v>
      </c>
      <c r="J28" s="515">
        <f>ROUNDUP(Demands!H449,3)</f>
        <v>5.1999999999999998E-2</v>
      </c>
      <c r="K28" s="515">
        <f>ROUNDUP(Demands!I449,3)</f>
        <v>4.2000000000000003E-2</v>
      </c>
      <c r="L28" s="515">
        <f>ROUNDUP(Demands!J449,3)</f>
        <v>4.9000000000000002E-2</v>
      </c>
      <c r="M28" s="515">
        <f>ROUNDUP(Demands!K449,3)</f>
        <v>0.04</v>
      </c>
      <c r="N28" s="515">
        <f>ROUNDUP(Demands!L449,3)</f>
        <v>4.3999999999999997E-2</v>
      </c>
      <c r="O28" s="515">
        <f>ROUNDUP(Demands!M449,3)</f>
        <v>3.9E-2</v>
      </c>
      <c r="P28" s="515">
        <f>ROUNDUP(Demands!N449,3)</f>
        <v>4.9000000000000002E-2</v>
      </c>
      <c r="Q28" s="515">
        <f>ROUNDUP(Demands!O449,3)</f>
        <v>4.4999999999999998E-2</v>
      </c>
      <c r="R28" s="515">
        <f>ROUNDUP(Demands!P449,3)</f>
        <v>4.8000000000000001E-2</v>
      </c>
      <c r="S28" s="515">
        <f>ROUNDUP(Demands!Q449,3)</f>
        <v>5.9000000000000004E-2</v>
      </c>
      <c r="T28" s="515">
        <f>ROUNDUP(Demands!R449,3)</f>
        <v>5.8000000000000003E-2</v>
      </c>
      <c r="U28" s="515">
        <f>ROUNDUP(Demands!S449,3)</f>
        <v>5.1999999999999998E-2</v>
      </c>
      <c r="V28" s="515">
        <f>ROUNDUP(Demands!T449,3)</f>
        <v>4.3999999999999997E-2</v>
      </c>
      <c r="W28" s="515">
        <f>ROUNDUP(Demands!U449,3)</f>
        <v>6.7000000000000004E-2</v>
      </c>
      <c r="X28" s="515">
        <f>ROUNDUP(Demands!V449,3)</f>
        <v>4.2000000000000003E-2</v>
      </c>
      <c r="Y28" s="515">
        <f>ROUNDUP(Demands!W449,3)</f>
        <v>3.4000000000000002E-2</v>
      </c>
      <c r="Z28" s="515">
        <f>ROUNDUP(Demands!X449,3)</f>
        <v>3.3000000000000002E-2</v>
      </c>
      <c r="AA28" s="515">
        <f>ROUNDUP(Demands!Y449,3)</f>
        <v>3.4000000000000002E-2</v>
      </c>
      <c r="AB28" s="515">
        <f>ROUNDUP(Demands!Z449,3)</f>
        <v>0.04</v>
      </c>
      <c r="AC28" s="515">
        <f>ROUNDUP(Demands!AA449,3)</f>
        <v>3.5000000000000003E-2</v>
      </c>
      <c r="AD28" s="515">
        <f>ROUNDUP(Demands!AB449,3)</f>
        <v>4.2000000000000003E-2</v>
      </c>
      <c r="AE28" s="515">
        <f>ROUNDUP(Demands!AC449,3)</f>
        <v>3.0000000000000002E-2</v>
      </c>
    </row>
    <row r="29" spans="1:31" s="429" customFormat="1">
      <c r="A29" s="548"/>
      <c r="B29" s="222" t="str">
        <f t="shared" si="26"/>
        <v>T-LGT-ICE_DST00</v>
      </c>
      <c r="C29" s="222" t="str">
        <f t="shared" ref="C29:D31" si="28">C71</f>
        <v>DEMO</v>
      </c>
      <c r="D29" s="222" t="str">
        <f t="shared" si="28"/>
        <v>tonne/vehicle</v>
      </c>
      <c r="E29" s="515">
        <f>ROUNDUP(Demands!C449,3)</f>
        <v>4.5999999999999999E-2</v>
      </c>
      <c r="F29" s="515">
        <f>ROUNDUP(Demands!D449,3)</f>
        <v>4.3999999999999997E-2</v>
      </c>
      <c r="G29" s="515">
        <f>ROUNDUP(Demands!E449,3)</f>
        <v>4.5999999999999999E-2</v>
      </c>
      <c r="H29" s="515">
        <f>ROUNDUP(Demands!F449,3)</f>
        <v>4.1000000000000002E-2</v>
      </c>
      <c r="I29" s="515">
        <f>ROUNDUP(Demands!G449,3)</f>
        <v>5.7000000000000002E-2</v>
      </c>
      <c r="J29" s="515">
        <f>ROUNDUP(Demands!H449,3)</f>
        <v>5.1999999999999998E-2</v>
      </c>
      <c r="K29" s="515">
        <f>ROUNDUP(Demands!I449,3)</f>
        <v>4.2000000000000003E-2</v>
      </c>
      <c r="L29" s="515">
        <f>ROUNDUP(Demands!J449,3)</f>
        <v>4.9000000000000002E-2</v>
      </c>
      <c r="M29" s="515">
        <f>ROUNDUP(Demands!K449,3)</f>
        <v>0.04</v>
      </c>
      <c r="N29" s="515">
        <f>ROUNDUP(Demands!L449,3)</f>
        <v>4.3999999999999997E-2</v>
      </c>
      <c r="O29" s="515">
        <f>ROUNDUP(Demands!M449,3)</f>
        <v>3.9E-2</v>
      </c>
      <c r="P29" s="515">
        <f>ROUNDUP(Demands!N449,3)</f>
        <v>4.9000000000000002E-2</v>
      </c>
      <c r="Q29" s="515">
        <f>ROUNDUP(Demands!O449,3)</f>
        <v>4.4999999999999998E-2</v>
      </c>
      <c r="R29" s="515">
        <f>ROUNDUP(Demands!P449,3)</f>
        <v>4.8000000000000001E-2</v>
      </c>
      <c r="S29" s="515">
        <f>ROUNDUP(Demands!Q449,3)</f>
        <v>5.9000000000000004E-2</v>
      </c>
      <c r="T29" s="515">
        <f>ROUNDUP(Demands!R449,3)</f>
        <v>5.8000000000000003E-2</v>
      </c>
      <c r="U29" s="515">
        <f>ROUNDUP(Demands!S449,3)</f>
        <v>5.1999999999999998E-2</v>
      </c>
      <c r="V29" s="515">
        <f>ROUNDUP(Demands!T449,3)</f>
        <v>4.3999999999999997E-2</v>
      </c>
      <c r="W29" s="515">
        <f>ROUNDUP(Demands!U449,3)</f>
        <v>6.7000000000000004E-2</v>
      </c>
      <c r="X29" s="515">
        <f>ROUNDUP(Demands!V449,3)</f>
        <v>4.2000000000000003E-2</v>
      </c>
      <c r="Y29" s="515">
        <f>ROUNDUP(Demands!W449,3)</f>
        <v>3.4000000000000002E-2</v>
      </c>
      <c r="Z29" s="515">
        <f>ROUNDUP(Demands!X449,3)</f>
        <v>3.3000000000000002E-2</v>
      </c>
      <c r="AA29" s="515">
        <f>ROUNDUP(Demands!Y449,3)</f>
        <v>3.4000000000000002E-2</v>
      </c>
      <c r="AB29" s="515">
        <f>ROUNDUP(Demands!Z449,3)</f>
        <v>0.04</v>
      </c>
      <c r="AC29" s="515">
        <f>ROUNDUP(Demands!AA449,3)</f>
        <v>3.5000000000000003E-2</v>
      </c>
      <c r="AD29" s="515">
        <f>ROUNDUP(Demands!AB449,3)</f>
        <v>4.2000000000000003E-2</v>
      </c>
      <c r="AE29" s="515">
        <f>ROUNDUP(Demands!AC449,3)</f>
        <v>3.0000000000000002E-2</v>
      </c>
    </row>
    <row r="30" spans="1:31" s="429" customFormat="1">
      <c r="A30" s="548"/>
      <c r="B30" s="222" t="str">
        <f t="shared" si="26"/>
        <v>T-MGT-ICE_DST00</v>
      </c>
      <c r="C30" s="222" t="str">
        <f t="shared" si="28"/>
        <v>DEMO</v>
      </c>
      <c r="D30" s="222" t="str">
        <f t="shared" si="28"/>
        <v>tonne/vehicle</v>
      </c>
      <c r="E30" s="515">
        <f>ROUNDUP(Demands!C450,3)</f>
        <v>5.133</v>
      </c>
      <c r="F30" s="515">
        <f>ROUNDUP(Demands!D450,3)</f>
        <v>5.6040000000000001</v>
      </c>
      <c r="G30" s="515">
        <f>ROUNDUP(Demands!E450,3)</f>
        <v>3.8340000000000001</v>
      </c>
      <c r="H30" s="515">
        <f>ROUNDUP(Demands!F450,3)</f>
        <v>4.9050000000000002</v>
      </c>
      <c r="I30" s="515">
        <f>ROUNDUP(Demands!G450,3)</f>
        <v>7.1610000000000005</v>
      </c>
      <c r="J30" s="515">
        <f>ROUNDUP(Demands!H450,3)</f>
        <v>5.617</v>
      </c>
      <c r="K30" s="515">
        <f>ROUNDUP(Demands!I450,3)</f>
        <v>4.6110000000000007</v>
      </c>
      <c r="L30" s="515">
        <f>ROUNDUP(Demands!J450,3)</f>
        <v>3.6379999999999999</v>
      </c>
      <c r="M30" s="515">
        <f>ROUNDUP(Demands!K450,3)</f>
        <v>4.4390000000000001</v>
      </c>
      <c r="N30" s="515">
        <f>ROUNDUP(Demands!L450,3)</f>
        <v>7.0609999999999999</v>
      </c>
      <c r="O30" s="515">
        <f>ROUNDUP(Demands!M450,3)</f>
        <v>6.28</v>
      </c>
      <c r="P30" s="515">
        <f>ROUNDUP(Demands!N450,3)</f>
        <v>5.266</v>
      </c>
      <c r="Q30" s="515">
        <f>ROUNDUP(Demands!O450,3)</f>
        <v>8.42</v>
      </c>
      <c r="R30" s="515">
        <f>ROUNDUP(Demands!P450,3)</f>
        <v>7.8930000000000007</v>
      </c>
      <c r="S30" s="515">
        <f>ROUNDUP(Demands!Q450,3)</f>
        <v>6.9930000000000003</v>
      </c>
      <c r="T30" s="515">
        <f>ROUNDUP(Demands!R450,3)</f>
        <v>9.1020000000000003</v>
      </c>
      <c r="U30" s="515">
        <f>ROUNDUP(Demands!S450,3)</f>
        <v>3.2989999999999999</v>
      </c>
      <c r="V30" s="515">
        <f>ROUNDUP(Demands!T450,3)</f>
        <v>5.5330000000000004</v>
      </c>
      <c r="W30" s="515">
        <f>ROUNDUP(Demands!U450,3)</f>
        <v>10.019</v>
      </c>
      <c r="X30" s="515">
        <f>ROUNDUP(Demands!V450,3)</f>
        <v>5.6379999999999999</v>
      </c>
      <c r="Y30" s="515">
        <f>ROUNDUP(Demands!W450,3)</f>
        <v>6.1240000000000006</v>
      </c>
      <c r="Z30" s="515">
        <f>ROUNDUP(Demands!X450,3)</f>
        <v>6.1520000000000001</v>
      </c>
      <c r="AA30" s="515">
        <f>ROUNDUP(Demands!Y450,3)</f>
        <v>4.3290000000000006</v>
      </c>
      <c r="AB30" s="515">
        <f>ROUNDUP(Demands!Z450,3)</f>
        <v>5.2150000000000007</v>
      </c>
      <c r="AC30" s="515">
        <f>ROUNDUP(Demands!AA450,3)</f>
        <v>4.8250000000000002</v>
      </c>
      <c r="AD30" s="515">
        <f>ROUNDUP(Demands!AB450,3)</f>
        <v>7.9390000000000001</v>
      </c>
      <c r="AE30" s="515">
        <f>ROUNDUP(Demands!AC450,3)</f>
        <v>2.7959999999999998</v>
      </c>
    </row>
    <row r="31" spans="1:31" s="429" customFormat="1">
      <c r="A31" s="548"/>
      <c r="B31" s="222" t="str">
        <f t="shared" si="26"/>
        <v>T-HGT-ICE_DST00</v>
      </c>
      <c r="C31" s="222" t="str">
        <f t="shared" si="28"/>
        <v>DEMO</v>
      </c>
      <c r="D31" s="222" t="str">
        <f t="shared" si="28"/>
        <v>tonne/vehicle</v>
      </c>
      <c r="E31" s="515">
        <f>ROUNDUP(Demands!C451,3)</f>
        <v>13.302999999999999</v>
      </c>
      <c r="F31" s="515">
        <f>ROUNDUP(Demands!D451,3)</f>
        <v>11.208</v>
      </c>
      <c r="G31" s="515">
        <f>ROUNDUP(Demands!E451,3)</f>
        <v>17.580000000000002</v>
      </c>
      <c r="H31" s="515">
        <f>ROUNDUP(Demands!F451,3)</f>
        <v>10.244999999999999</v>
      </c>
      <c r="I31" s="515">
        <f>ROUNDUP(Demands!G451,3)</f>
        <v>9.3079999999999998</v>
      </c>
      <c r="J31" s="515">
        <f>ROUNDUP(Demands!H451,3)</f>
        <v>11.437999999999999</v>
      </c>
      <c r="K31" s="515">
        <f>ROUNDUP(Demands!I451,3)</f>
        <v>9.004999999999999</v>
      </c>
      <c r="L31" s="515">
        <f>ROUNDUP(Demands!J451,3)</f>
        <v>11.565</v>
      </c>
      <c r="M31" s="515">
        <f>ROUNDUP(Demands!K451,3)</f>
        <v>7.7470000000000008</v>
      </c>
      <c r="N31" s="515">
        <f>ROUNDUP(Demands!L451,3)</f>
        <v>15.247999999999999</v>
      </c>
      <c r="O31" s="515">
        <f>ROUNDUP(Demands!M451,3)</f>
        <v>19.080000000000002</v>
      </c>
      <c r="P31" s="515">
        <f>ROUNDUP(Demands!N451,3)</f>
        <v>7.8390000000000004</v>
      </c>
      <c r="Q31" s="515">
        <f>ROUNDUP(Demands!O451,3)</f>
        <v>19.528000000000002</v>
      </c>
      <c r="R31" s="515">
        <f>ROUNDUP(Demands!P451,3)</f>
        <v>19.081</v>
      </c>
      <c r="S31" s="515">
        <f>ROUNDUP(Demands!Q451,3)</f>
        <v>15.641</v>
      </c>
      <c r="T31" s="515">
        <f>ROUNDUP(Demands!R451,3)</f>
        <v>21.71</v>
      </c>
      <c r="U31" s="515">
        <f>ROUNDUP(Demands!S451,3)</f>
        <v>12.097</v>
      </c>
      <c r="V31" s="515">
        <f>ROUNDUP(Demands!T451,3)</f>
        <v>10.177999999999999</v>
      </c>
      <c r="W31" s="515">
        <f>ROUNDUP(Demands!U451,3)</f>
        <v>25.629000000000001</v>
      </c>
      <c r="X31" s="515">
        <f>ROUNDUP(Demands!V451,3)</f>
        <v>17.027000000000001</v>
      </c>
      <c r="Y31" s="515">
        <f>ROUNDUP(Demands!W451,3)</f>
        <v>14.27</v>
      </c>
      <c r="Z31" s="515">
        <f>ROUNDUP(Demands!X451,3)</f>
        <v>18.081</v>
      </c>
      <c r="AA31" s="515">
        <f>ROUNDUP(Demands!Y451,3)</f>
        <v>12.083</v>
      </c>
      <c r="AB31" s="515">
        <f>ROUNDUP(Demands!Z451,3)</f>
        <v>18.988</v>
      </c>
      <c r="AC31" s="515">
        <f>ROUNDUP(Demands!AA451,3)</f>
        <v>8.456999999999999</v>
      </c>
      <c r="AD31" s="515">
        <f>ROUNDUP(Demands!AB451,3)</f>
        <v>15.157</v>
      </c>
      <c r="AE31" s="515">
        <f>ROUNDUP(Demands!AC451,3)</f>
        <v>3.3369999999999997</v>
      </c>
    </row>
    <row r="32" spans="1:31" s="429" customFormat="1">
      <c r="A32" s="548"/>
      <c r="B32" s="238" t="str">
        <f t="shared" ref="B32:D32" si="29">B74</f>
        <v>T-GTR-ICE_DST00</v>
      </c>
      <c r="C32" s="238" t="str">
        <f t="shared" si="29"/>
        <v>DEMO</v>
      </c>
      <c r="D32" s="238" t="str">
        <f t="shared" si="29"/>
        <v>tonne/vehicle</v>
      </c>
      <c r="E32" s="441">
        <f>ROUNDUP(E74,2)</f>
        <v>164.84</v>
      </c>
      <c r="F32" s="441">
        <f t="shared" ref="F32:AE32" si="30">ROUNDUP(F74,2)</f>
        <v>164.84</v>
      </c>
      <c r="G32" s="441">
        <f t="shared" si="30"/>
        <v>164.84</v>
      </c>
      <c r="H32" s="441">
        <f t="shared" si="30"/>
        <v>164.84</v>
      </c>
      <c r="I32" s="441">
        <f t="shared" si="30"/>
        <v>164.84</v>
      </c>
      <c r="J32" s="441">
        <f t="shared" si="30"/>
        <v>164.84</v>
      </c>
      <c r="K32" s="441">
        <f t="shared" si="30"/>
        <v>164.84</v>
      </c>
      <c r="L32" s="441">
        <f t="shared" si="30"/>
        <v>164.84</v>
      </c>
      <c r="M32" s="441">
        <f t="shared" si="30"/>
        <v>164.84</v>
      </c>
      <c r="N32" s="441">
        <f t="shared" si="30"/>
        <v>164.84</v>
      </c>
      <c r="O32" s="441">
        <f t="shared" si="30"/>
        <v>164.84</v>
      </c>
      <c r="P32" s="441">
        <f t="shared" si="30"/>
        <v>164.84</v>
      </c>
      <c r="Q32" s="441">
        <f t="shared" si="30"/>
        <v>164.84</v>
      </c>
      <c r="R32" s="441">
        <f t="shared" si="30"/>
        <v>164.84</v>
      </c>
      <c r="S32" s="441">
        <f t="shared" si="30"/>
        <v>164.84</v>
      </c>
      <c r="T32" s="441">
        <f t="shared" si="30"/>
        <v>164.84</v>
      </c>
      <c r="U32" s="441">
        <f t="shared" si="30"/>
        <v>164.84</v>
      </c>
      <c r="V32" s="441">
        <f t="shared" si="30"/>
        <v>164.84</v>
      </c>
      <c r="W32" s="441">
        <f t="shared" si="30"/>
        <v>164.84</v>
      </c>
      <c r="X32" s="441">
        <f t="shared" si="30"/>
        <v>164.84</v>
      </c>
      <c r="Y32" s="441">
        <f t="shared" si="30"/>
        <v>164.84</v>
      </c>
      <c r="Z32" s="441">
        <f t="shared" si="30"/>
        <v>164.84</v>
      </c>
      <c r="AA32" s="441">
        <f t="shared" si="30"/>
        <v>164.84</v>
      </c>
      <c r="AB32" s="441">
        <f t="shared" si="30"/>
        <v>164.84</v>
      </c>
      <c r="AC32" s="441">
        <f t="shared" si="30"/>
        <v>164.84</v>
      </c>
      <c r="AD32" s="441">
        <f t="shared" si="30"/>
        <v>164.84</v>
      </c>
      <c r="AE32" s="441">
        <f t="shared" si="30"/>
        <v>164.84</v>
      </c>
    </row>
    <row r="33" spans="1:36" s="429" customFormat="1">
      <c r="A33" s="548"/>
    </row>
    <row r="34" spans="1:36" s="429" customFormat="1">
      <c r="A34" s="548"/>
      <c r="E34" s="528">
        <f>ROUNDUP(E74,2)</f>
        <v>164.84</v>
      </c>
    </row>
    <row r="35" spans="1:36" s="429" customFormat="1">
      <c r="A35" s="548"/>
    </row>
    <row r="36" spans="1:36" s="429" customFormat="1">
      <c r="A36" s="548"/>
    </row>
    <row r="37" spans="1:36" s="429" customFormat="1">
      <c r="A37" s="548"/>
    </row>
    <row r="38" spans="1:36" s="429" customFormat="1">
      <c r="A38" s="548"/>
    </row>
    <row r="39" spans="1:36" s="429" customFormat="1">
      <c r="A39" s="548"/>
    </row>
    <row r="40" spans="1:36" s="429" customFormat="1">
      <c r="A40" s="548"/>
    </row>
    <row r="41" spans="1:36" s="429" customFormat="1">
      <c r="A41" s="548"/>
    </row>
    <row r="42" spans="1:36" s="429" customFormat="1">
      <c r="A42" s="548"/>
    </row>
    <row r="43" spans="1:36">
      <c r="B43" s="429"/>
      <c r="C43" s="429"/>
      <c r="D43" s="429"/>
      <c r="E43" s="429"/>
      <c r="F43" s="429"/>
      <c r="AF43" s="190"/>
      <c r="AG43" s="190"/>
      <c r="AH43" s="190"/>
      <c r="AI43" s="190"/>
      <c r="AJ43" s="190"/>
    </row>
    <row r="44" spans="1:36" s="201" customFormat="1">
      <c r="A44" s="548"/>
      <c r="B44" s="429"/>
      <c r="C44" s="429"/>
      <c r="D44" s="429"/>
      <c r="E44" s="429"/>
      <c r="F44" s="429"/>
    </row>
    <row r="45" spans="1:36" s="201" customFormat="1">
      <c r="A45" s="548"/>
      <c r="B45" s="429"/>
      <c r="C45" s="429"/>
      <c r="D45" s="429"/>
      <c r="E45" s="429"/>
      <c r="F45" s="429"/>
    </row>
    <row r="46" spans="1:36" s="201" customFormat="1">
      <c r="A46" s="548"/>
      <c r="B46" s="429"/>
      <c r="C46" s="429"/>
      <c r="D46" s="429"/>
      <c r="E46" s="429"/>
      <c r="F46" s="429"/>
    </row>
    <row r="47" spans="1:36">
      <c r="B47" s="429"/>
      <c r="C47" s="429"/>
      <c r="D47" s="429"/>
      <c r="E47" s="429"/>
      <c r="F47" s="429"/>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548"/>
      <c r="B49" s="531"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548"/>
      <c r="B50" s="222" t="str">
        <f>Processes!D6</f>
        <v>T-WLK_WLK</v>
      </c>
      <c r="C50" s="222" t="s">
        <v>805</v>
      </c>
      <c r="D50" s="222" t="s">
        <v>712</v>
      </c>
      <c r="E50" s="220">
        <v>1</v>
      </c>
      <c r="F50" s="220">
        <v>1</v>
      </c>
      <c r="G50" s="220">
        <v>1</v>
      </c>
      <c r="H50" s="220">
        <v>1</v>
      </c>
      <c r="I50" s="220">
        <v>1</v>
      </c>
      <c r="J50" s="220">
        <v>1</v>
      </c>
      <c r="K50" s="220">
        <v>1</v>
      </c>
      <c r="L50" s="220">
        <v>1</v>
      </c>
      <c r="M50" s="220">
        <v>1</v>
      </c>
      <c r="N50" s="220">
        <v>1</v>
      </c>
      <c r="O50" s="220">
        <v>1</v>
      </c>
      <c r="P50" s="220">
        <v>1</v>
      </c>
      <c r="Q50" s="220">
        <v>1</v>
      </c>
      <c r="R50" s="220">
        <v>1</v>
      </c>
      <c r="S50" s="220">
        <v>1</v>
      </c>
      <c r="T50" s="220">
        <v>1</v>
      </c>
      <c r="U50" s="220">
        <v>1</v>
      </c>
      <c r="V50" s="220">
        <v>1</v>
      </c>
      <c r="W50" s="220">
        <v>1</v>
      </c>
      <c r="X50" s="220">
        <v>1</v>
      </c>
      <c r="Y50" s="220">
        <v>1</v>
      </c>
      <c r="Z50" s="220">
        <v>1</v>
      </c>
      <c r="AA50" s="220">
        <v>1</v>
      </c>
      <c r="AB50" s="220">
        <v>1</v>
      </c>
      <c r="AC50" s="220">
        <v>1</v>
      </c>
      <c r="AD50" s="220">
        <v>1</v>
      </c>
      <c r="AE50" s="220">
        <v>1</v>
      </c>
    </row>
    <row r="51" spans="1:36" s="201" customFormat="1">
      <c r="A51" s="548"/>
      <c r="B51" s="222" t="str">
        <f>Processes!D7</f>
        <v>T-CYC_CYC</v>
      </c>
      <c r="C51" s="222" t="s">
        <v>805</v>
      </c>
      <c r="D51" s="222" t="s">
        <v>712</v>
      </c>
      <c r="E51" s="220">
        <v>1</v>
      </c>
      <c r="F51" s="220">
        <v>1</v>
      </c>
      <c r="G51" s="220">
        <v>1</v>
      </c>
      <c r="H51" s="220">
        <v>1</v>
      </c>
      <c r="I51" s="220">
        <v>1</v>
      </c>
      <c r="J51" s="220">
        <v>1</v>
      </c>
      <c r="K51" s="220">
        <v>1</v>
      </c>
      <c r="L51" s="220">
        <v>1</v>
      </c>
      <c r="M51" s="220">
        <v>1</v>
      </c>
      <c r="N51" s="220">
        <v>1</v>
      </c>
      <c r="O51" s="220">
        <v>1</v>
      </c>
      <c r="P51" s="220">
        <v>1</v>
      </c>
      <c r="Q51" s="220">
        <v>1</v>
      </c>
      <c r="R51" s="220">
        <v>1</v>
      </c>
      <c r="S51" s="220">
        <v>1</v>
      </c>
      <c r="T51" s="220">
        <v>1</v>
      </c>
      <c r="U51" s="220">
        <v>1</v>
      </c>
      <c r="V51" s="220">
        <v>1</v>
      </c>
      <c r="W51" s="220">
        <v>1</v>
      </c>
      <c r="X51" s="220">
        <v>1</v>
      </c>
      <c r="Y51" s="220">
        <v>1</v>
      </c>
      <c r="Z51" s="220">
        <v>1</v>
      </c>
      <c r="AA51" s="220">
        <v>1</v>
      </c>
      <c r="AB51" s="220">
        <v>1</v>
      </c>
      <c r="AC51" s="220">
        <v>1</v>
      </c>
      <c r="AD51" s="220">
        <v>1</v>
      </c>
      <c r="AE51" s="220">
        <v>1</v>
      </c>
    </row>
    <row r="52" spans="1:36">
      <c r="B52" s="222" t="str">
        <f>Processes!D9</f>
        <v>T-MOT-ICE_GSL00</v>
      </c>
      <c r="C52" s="222" t="s">
        <v>805</v>
      </c>
      <c r="D52" s="222" t="s">
        <v>712</v>
      </c>
      <c r="E52" s="220">
        <v>1.1000000000000001</v>
      </c>
      <c r="F52" s="220">
        <f>E52</f>
        <v>1.1000000000000001</v>
      </c>
      <c r="G52" s="220">
        <f t="shared" ref="G52:AE52" si="31">F52</f>
        <v>1.1000000000000001</v>
      </c>
      <c r="H52" s="220">
        <f t="shared" si="31"/>
        <v>1.1000000000000001</v>
      </c>
      <c r="I52" s="220">
        <f t="shared" si="31"/>
        <v>1.1000000000000001</v>
      </c>
      <c r="J52" s="220">
        <f t="shared" si="31"/>
        <v>1.1000000000000001</v>
      </c>
      <c r="K52" s="220">
        <f t="shared" si="31"/>
        <v>1.1000000000000001</v>
      </c>
      <c r="L52" s="220">
        <f t="shared" si="31"/>
        <v>1.1000000000000001</v>
      </c>
      <c r="M52" s="220">
        <f t="shared" si="31"/>
        <v>1.1000000000000001</v>
      </c>
      <c r="N52" s="220">
        <f t="shared" si="31"/>
        <v>1.1000000000000001</v>
      </c>
      <c r="O52" s="220">
        <f t="shared" si="31"/>
        <v>1.1000000000000001</v>
      </c>
      <c r="P52" s="220">
        <f t="shared" si="31"/>
        <v>1.1000000000000001</v>
      </c>
      <c r="Q52" s="220">
        <f t="shared" si="31"/>
        <v>1.1000000000000001</v>
      </c>
      <c r="R52" s="220">
        <f t="shared" si="31"/>
        <v>1.1000000000000001</v>
      </c>
      <c r="S52" s="220">
        <f t="shared" si="31"/>
        <v>1.1000000000000001</v>
      </c>
      <c r="T52" s="220">
        <f t="shared" si="31"/>
        <v>1.1000000000000001</v>
      </c>
      <c r="U52" s="220">
        <f t="shared" si="31"/>
        <v>1.1000000000000001</v>
      </c>
      <c r="V52" s="220">
        <f t="shared" si="31"/>
        <v>1.1000000000000001</v>
      </c>
      <c r="W52" s="220">
        <f t="shared" si="31"/>
        <v>1.1000000000000001</v>
      </c>
      <c r="X52" s="220">
        <f t="shared" si="31"/>
        <v>1.1000000000000001</v>
      </c>
      <c r="Y52" s="220">
        <f t="shared" si="31"/>
        <v>1.1000000000000001</v>
      </c>
      <c r="Z52" s="220">
        <f t="shared" si="31"/>
        <v>1.1000000000000001</v>
      </c>
      <c r="AA52" s="220">
        <f t="shared" si="31"/>
        <v>1.1000000000000001</v>
      </c>
      <c r="AB52" s="220">
        <f t="shared" si="31"/>
        <v>1.1000000000000001</v>
      </c>
      <c r="AC52" s="220">
        <f t="shared" si="31"/>
        <v>1.1000000000000001</v>
      </c>
      <c r="AD52" s="220">
        <f t="shared" si="31"/>
        <v>1.1000000000000001</v>
      </c>
      <c r="AE52" s="220">
        <f t="shared" si="31"/>
        <v>1.1000000000000001</v>
      </c>
      <c r="AF52" s="190"/>
      <c r="AG52" s="190"/>
      <c r="AH52" s="190"/>
      <c r="AI52" s="190"/>
      <c r="AJ52" s="190"/>
    </row>
    <row r="53" spans="1:36">
      <c r="B53" s="222" t="str">
        <f>Processes!D11</f>
        <v>T-CAR-ICE_GSL00</v>
      </c>
      <c r="C53" s="222" t="s">
        <v>805</v>
      </c>
      <c r="D53" s="222" t="s">
        <v>712</v>
      </c>
      <c r="E53" s="220">
        <f>N95</f>
        <v>1.49201152283105</v>
      </c>
      <c r="F53" s="220">
        <f>E53</f>
        <v>1.49201152283105</v>
      </c>
      <c r="G53" s="220">
        <f t="shared" ref="G53:AE64" si="32">F53</f>
        <v>1.49201152283105</v>
      </c>
      <c r="H53" s="220">
        <f t="shared" si="32"/>
        <v>1.49201152283105</v>
      </c>
      <c r="I53" s="220">
        <f t="shared" si="32"/>
        <v>1.49201152283105</v>
      </c>
      <c r="J53" s="220">
        <f t="shared" si="32"/>
        <v>1.49201152283105</v>
      </c>
      <c r="K53" s="220">
        <f t="shared" si="32"/>
        <v>1.49201152283105</v>
      </c>
      <c r="L53" s="220">
        <f t="shared" si="32"/>
        <v>1.49201152283105</v>
      </c>
      <c r="M53" s="220">
        <f t="shared" si="32"/>
        <v>1.49201152283105</v>
      </c>
      <c r="N53" s="220">
        <f t="shared" si="32"/>
        <v>1.49201152283105</v>
      </c>
      <c r="O53" s="220">
        <f t="shared" si="32"/>
        <v>1.49201152283105</v>
      </c>
      <c r="P53" s="220">
        <f t="shared" si="32"/>
        <v>1.49201152283105</v>
      </c>
      <c r="Q53" s="220">
        <f t="shared" si="32"/>
        <v>1.49201152283105</v>
      </c>
      <c r="R53" s="220">
        <f t="shared" si="32"/>
        <v>1.49201152283105</v>
      </c>
      <c r="S53" s="220">
        <f t="shared" si="32"/>
        <v>1.49201152283105</v>
      </c>
      <c r="T53" s="220">
        <f t="shared" si="32"/>
        <v>1.49201152283105</v>
      </c>
      <c r="U53" s="220">
        <f t="shared" si="32"/>
        <v>1.49201152283105</v>
      </c>
      <c r="V53" s="220">
        <f t="shared" si="32"/>
        <v>1.49201152283105</v>
      </c>
      <c r="W53" s="220">
        <f t="shared" si="32"/>
        <v>1.49201152283105</v>
      </c>
      <c r="X53" s="220">
        <f t="shared" si="32"/>
        <v>1.49201152283105</v>
      </c>
      <c r="Y53" s="220">
        <f t="shared" si="32"/>
        <v>1.49201152283105</v>
      </c>
      <c r="Z53" s="220">
        <f t="shared" si="32"/>
        <v>1.49201152283105</v>
      </c>
      <c r="AA53" s="220">
        <f t="shared" si="32"/>
        <v>1.49201152283105</v>
      </c>
      <c r="AB53" s="220">
        <f t="shared" si="32"/>
        <v>1.49201152283105</v>
      </c>
      <c r="AC53" s="220">
        <f t="shared" si="32"/>
        <v>1.49201152283105</v>
      </c>
      <c r="AD53" s="220">
        <f t="shared" si="32"/>
        <v>1.49201152283105</v>
      </c>
      <c r="AE53" s="220">
        <f t="shared" si="32"/>
        <v>1.49201152283105</v>
      </c>
      <c r="AF53" s="190"/>
      <c r="AG53" s="190"/>
      <c r="AH53" s="190"/>
      <c r="AI53" s="190"/>
      <c r="AJ53" s="190"/>
    </row>
    <row r="54" spans="1:36">
      <c r="B54" s="222" t="str">
        <f>Processes!D12</f>
        <v>T-CAR-ICE_DST00</v>
      </c>
      <c r="C54" s="222" t="s">
        <v>805</v>
      </c>
      <c r="D54" s="222" t="s">
        <v>712</v>
      </c>
      <c r="E54" s="220">
        <f>N95</f>
        <v>1.49201152283105</v>
      </c>
      <c r="F54" s="220">
        <f t="shared" ref="F54:F65" si="33">E54</f>
        <v>1.49201152283105</v>
      </c>
      <c r="G54" s="220">
        <f t="shared" si="32"/>
        <v>1.49201152283105</v>
      </c>
      <c r="H54" s="220">
        <f t="shared" si="32"/>
        <v>1.49201152283105</v>
      </c>
      <c r="I54" s="220">
        <f t="shared" si="32"/>
        <v>1.49201152283105</v>
      </c>
      <c r="J54" s="220">
        <f t="shared" si="32"/>
        <v>1.49201152283105</v>
      </c>
      <c r="K54" s="220">
        <f t="shared" si="32"/>
        <v>1.49201152283105</v>
      </c>
      <c r="L54" s="220">
        <f t="shared" si="32"/>
        <v>1.49201152283105</v>
      </c>
      <c r="M54" s="220">
        <f t="shared" si="32"/>
        <v>1.49201152283105</v>
      </c>
      <c r="N54" s="220">
        <f t="shared" si="32"/>
        <v>1.49201152283105</v>
      </c>
      <c r="O54" s="220">
        <f t="shared" si="32"/>
        <v>1.49201152283105</v>
      </c>
      <c r="P54" s="220">
        <f t="shared" si="32"/>
        <v>1.49201152283105</v>
      </c>
      <c r="Q54" s="220">
        <f t="shared" si="32"/>
        <v>1.49201152283105</v>
      </c>
      <c r="R54" s="220">
        <f t="shared" si="32"/>
        <v>1.49201152283105</v>
      </c>
      <c r="S54" s="220">
        <f t="shared" si="32"/>
        <v>1.49201152283105</v>
      </c>
      <c r="T54" s="220">
        <f t="shared" si="32"/>
        <v>1.49201152283105</v>
      </c>
      <c r="U54" s="220">
        <f t="shared" si="32"/>
        <v>1.49201152283105</v>
      </c>
      <c r="V54" s="220">
        <f t="shared" si="32"/>
        <v>1.49201152283105</v>
      </c>
      <c r="W54" s="220">
        <f t="shared" si="32"/>
        <v>1.49201152283105</v>
      </c>
      <c r="X54" s="220">
        <f t="shared" si="32"/>
        <v>1.49201152283105</v>
      </c>
      <c r="Y54" s="220">
        <f t="shared" si="32"/>
        <v>1.49201152283105</v>
      </c>
      <c r="Z54" s="220">
        <f t="shared" si="32"/>
        <v>1.49201152283105</v>
      </c>
      <c r="AA54" s="220">
        <f t="shared" si="32"/>
        <v>1.49201152283105</v>
      </c>
      <c r="AB54" s="220">
        <f t="shared" si="32"/>
        <v>1.49201152283105</v>
      </c>
      <c r="AC54" s="220">
        <f t="shared" si="32"/>
        <v>1.49201152283105</v>
      </c>
      <c r="AD54" s="220">
        <f t="shared" si="32"/>
        <v>1.49201152283105</v>
      </c>
      <c r="AE54" s="220">
        <f t="shared" si="32"/>
        <v>1.49201152283105</v>
      </c>
      <c r="AF54" s="190"/>
      <c r="AG54" s="190"/>
      <c r="AH54" s="190"/>
      <c r="AI54" s="190"/>
      <c r="AJ54" s="190"/>
    </row>
    <row r="55" spans="1:36">
      <c r="B55" s="222" t="str">
        <f>Processes!D13</f>
        <v>T-CAR-ICE_DF00</v>
      </c>
      <c r="C55" s="222" t="s">
        <v>805</v>
      </c>
      <c r="D55" s="222" t="s">
        <v>712</v>
      </c>
      <c r="E55" s="220">
        <f>N95</f>
        <v>1.49201152283105</v>
      </c>
      <c r="F55" s="220">
        <f t="shared" si="33"/>
        <v>1.49201152283105</v>
      </c>
      <c r="G55" s="220">
        <f t="shared" si="32"/>
        <v>1.49201152283105</v>
      </c>
      <c r="H55" s="220">
        <f t="shared" si="32"/>
        <v>1.49201152283105</v>
      </c>
      <c r="I55" s="220">
        <f t="shared" si="32"/>
        <v>1.49201152283105</v>
      </c>
      <c r="J55" s="220">
        <f t="shared" si="32"/>
        <v>1.49201152283105</v>
      </c>
      <c r="K55" s="220">
        <f t="shared" si="32"/>
        <v>1.49201152283105</v>
      </c>
      <c r="L55" s="220">
        <f t="shared" si="32"/>
        <v>1.49201152283105</v>
      </c>
      <c r="M55" s="220">
        <f t="shared" si="32"/>
        <v>1.49201152283105</v>
      </c>
      <c r="N55" s="220">
        <f t="shared" si="32"/>
        <v>1.49201152283105</v>
      </c>
      <c r="O55" s="220">
        <f t="shared" si="32"/>
        <v>1.49201152283105</v>
      </c>
      <c r="P55" s="220">
        <f t="shared" si="32"/>
        <v>1.49201152283105</v>
      </c>
      <c r="Q55" s="220">
        <f t="shared" si="32"/>
        <v>1.49201152283105</v>
      </c>
      <c r="R55" s="220">
        <f t="shared" si="32"/>
        <v>1.49201152283105</v>
      </c>
      <c r="S55" s="220">
        <f t="shared" si="32"/>
        <v>1.49201152283105</v>
      </c>
      <c r="T55" s="220">
        <f t="shared" si="32"/>
        <v>1.49201152283105</v>
      </c>
      <c r="U55" s="220">
        <f t="shared" si="32"/>
        <v>1.49201152283105</v>
      </c>
      <c r="V55" s="220">
        <f t="shared" si="32"/>
        <v>1.49201152283105</v>
      </c>
      <c r="W55" s="220">
        <f t="shared" si="32"/>
        <v>1.49201152283105</v>
      </c>
      <c r="X55" s="220">
        <f t="shared" si="32"/>
        <v>1.49201152283105</v>
      </c>
      <c r="Y55" s="220">
        <f t="shared" si="32"/>
        <v>1.49201152283105</v>
      </c>
      <c r="Z55" s="220">
        <f t="shared" si="32"/>
        <v>1.49201152283105</v>
      </c>
      <c r="AA55" s="220">
        <f t="shared" si="32"/>
        <v>1.49201152283105</v>
      </c>
      <c r="AB55" s="220">
        <f t="shared" si="32"/>
        <v>1.49201152283105</v>
      </c>
      <c r="AC55" s="220">
        <f t="shared" si="32"/>
        <v>1.49201152283105</v>
      </c>
      <c r="AD55" s="220">
        <f t="shared" si="32"/>
        <v>1.49201152283105</v>
      </c>
      <c r="AE55" s="220">
        <f t="shared" si="32"/>
        <v>1.49201152283105</v>
      </c>
      <c r="AF55" s="190"/>
      <c r="AH55" s="190"/>
      <c r="AI55" s="190"/>
      <c r="AJ55" s="190"/>
    </row>
    <row r="56" spans="1:36">
      <c r="B56" s="222" t="str">
        <f>Processes!D14</f>
        <v>T-CAR-ICE_E8500</v>
      </c>
      <c r="C56" s="222" t="s">
        <v>805</v>
      </c>
      <c r="D56" s="222" t="s">
        <v>712</v>
      </c>
      <c r="E56" s="220">
        <f>N95</f>
        <v>1.49201152283105</v>
      </c>
      <c r="F56" s="220">
        <f t="shared" si="33"/>
        <v>1.49201152283105</v>
      </c>
      <c r="G56" s="220">
        <f t="shared" si="32"/>
        <v>1.49201152283105</v>
      </c>
      <c r="H56" s="220">
        <f t="shared" si="32"/>
        <v>1.49201152283105</v>
      </c>
      <c r="I56" s="220">
        <f t="shared" si="32"/>
        <v>1.49201152283105</v>
      </c>
      <c r="J56" s="220">
        <f t="shared" si="32"/>
        <v>1.49201152283105</v>
      </c>
      <c r="K56" s="220">
        <f t="shared" si="32"/>
        <v>1.49201152283105</v>
      </c>
      <c r="L56" s="220">
        <f t="shared" si="32"/>
        <v>1.49201152283105</v>
      </c>
      <c r="M56" s="220">
        <f t="shared" si="32"/>
        <v>1.49201152283105</v>
      </c>
      <c r="N56" s="220">
        <f t="shared" si="32"/>
        <v>1.49201152283105</v>
      </c>
      <c r="O56" s="220">
        <f t="shared" si="32"/>
        <v>1.49201152283105</v>
      </c>
      <c r="P56" s="220">
        <f t="shared" si="32"/>
        <v>1.49201152283105</v>
      </c>
      <c r="Q56" s="220">
        <f t="shared" si="32"/>
        <v>1.49201152283105</v>
      </c>
      <c r="R56" s="220">
        <f t="shared" si="32"/>
        <v>1.49201152283105</v>
      </c>
      <c r="S56" s="220">
        <f t="shared" si="32"/>
        <v>1.49201152283105</v>
      </c>
      <c r="T56" s="220">
        <f t="shared" si="32"/>
        <v>1.49201152283105</v>
      </c>
      <c r="U56" s="220">
        <f t="shared" si="32"/>
        <v>1.49201152283105</v>
      </c>
      <c r="V56" s="220">
        <f t="shared" si="32"/>
        <v>1.49201152283105</v>
      </c>
      <c r="W56" s="220">
        <f t="shared" si="32"/>
        <v>1.49201152283105</v>
      </c>
      <c r="X56" s="220">
        <f t="shared" si="32"/>
        <v>1.49201152283105</v>
      </c>
      <c r="Y56" s="220">
        <f t="shared" si="32"/>
        <v>1.49201152283105</v>
      </c>
      <c r="Z56" s="220">
        <f t="shared" si="32"/>
        <v>1.49201152283105</v>
      </c>
      <c r="AA56" s="220">
        <f t="shared" si="32"/>
        <v>1.49201152283105</v>
      </c>
      <c r="AB56" s="220">
        <f t="shared" si="32"/>
        <v>1.49201152283105</v>
      </c>
      <c r="AC56" s="220">
        <f t="shared" si="32"/>
        <v>1.49201152283105</v>
      </c>
      <c r="AD56" s="220">
        <f t="shared" si="32"/>
        <v>1.49201152283105</v>
      </c>
      <c r="AE56" s="220">
        <f t="shared" si="32"/>
        <v>1.49201152283105</v>
      </c>
    </row>
    <row r="57" spans="1:36">
      <c r="B57" s="222" t="str">
        <f>Processes!D15</f>
        <v>T-CAR-HEV_GSL00</v>
      </c>
      <c r="C57" s="222" t="s">
        <v>805</v>
      </c>
      <c r="D57" s="222" t="s">
        <v>712</v>
      </c>
      <c r="E57" s="220">
        <f>N95</f>
        <v>1.49201152283105</v>
      </c>
      <c r="F57" s="220">
        <f>E57</f>
        <v>1.49201152283105</v>
      </c>
      <c r="G57" s="220">
        <f t="shared" si="32"/>
        <v>1.49201152283105</v>
      </c>
      <c r="H57" s="220">
        <f t="shared" si="32"/>
        <v>1.49201152283105</v>
      </c>
      <c r="I57" s="220">
        <f t="shared" si="32"/>
        <v>1.49201152283105</v>
      </c>
      <c r="J57" s="220">
        <f t="shared" si="32"/>
        <v>1.49201152283105</v>
      </c>
      <c r="K57" s="220">
        <f t="shared" si="32"/>
        <v>1.49201152283105</v>
      </c>
      <c r="L57" s="220">
        <f t="shared" si="32"/>
        <v>1.49201152283105</v>
      </c>
      <c r="M57" s="220">
        <f t="shared" si="32"/>
        <v>1.49201152283105</v>
      </c>
      <c r="N57" s="220">
        <f t="shared" si="32"/>
        <v>1.49201152283105</v>
      </c>
      <c r="O57" s="220">
        <f t="shared" si="32"/>
        <v>1.49201152283105</v>
      </c>
      <c r="P57" s="220">
        <f t="shared" si="32"/>
        <v>1.49201152283105</v>
      </c>
      <c r="Q57" s="220">
        <f t="shared" si="32"/>
        <v>1.49201152283105</v>
      </c>
      <c r="R57" s="220">
        <f t="shared" si="32"/>
        <v>1.49201152283105</v>
      </c>
      <c r="S57" s="220">
        <f t="shared" si="32"/>
        <v>1.49201152283105</v>
      </c>
      <c r="T57" s="220">
        <f t="shared" si="32"/>
        <v>1.49201152283105</v>
      </c>
      <c r="U57" s="220">
        <f t="shared" si="32"/>
        <v>1.49201152283105</v>
      </c>
      <c r="V57" s="220">
        <f t="shared" si="32"/>
        <v>1.49201152283105</v>
      </c>
      <c r="W57" s="220">
        <f t="shared" si="32"/>
        <v>1.49201152283105</v>
      </c>
      <c r="X57" s="220">
        <f t="shared" si="32"/>
        <v>1.49201152283105</v>
      </c>
      <c r="Y57" s="220">
        <f t="shared" si="32"/>
        <v>1.49201152283105</v>
      </c>
      <c r="Z57" s="220">
        <f t="shared" si="32"/>
        <v>1.49201152283105</v>
      </c>
      <c r="AA57" s="220">
        <f t="shared" si="32"/>
        <v>1.49201152283105</v>
      </c>
      <c r="AB57" s="220">
        <f t="shared" si="32"/>
        <v>1.49201152283105</v>
      </c>
      <c r="AC57" s="220">
        <f t="shared" si="32"/>
        <v>1.49201152283105</v>
      </c>
      <c r="AD57" s="220">
        <f t="shared" si="32"/>
        <v>1.49201152283105</v>
      </c>
      <c r="AE57" s="220">
        <f t="shared" si="32"/>
        <v>1.49201152283105</v>
      </c>
    </row>
    <row r="58" spans="1:36" s="201" customFormat="1">
      <c r="A58" s="548"/>
      <c r="B58" s="222" t="str">
        <f>Processes!D16</f>
        <v>T-CAR-HEV_DST00</v>
      </c>
      <c r="C58" s="222" t="s">
        <v>805</v>
      </c>
      <c r="D58" s="222" t="s">
        <v>712</v>
      </c>
      <c r="E58" s="220">
        <f>N95</f>
        <v>1.49201152283105</v>
      </c>
      <c r="F58" s="220">
        <f>E58</f>
        <v>1.49201152283105</v>
      </c>
      <c r="G58" s="220">
        <f t="shared" ref="G58:AE58" si="34">F58</f>
        <v>1.49201152283105</v>
      </c>
      <c r="H58" s="220">
        <f t="shared" si="34"/>
        <v>1.49201152283105</v>
      </c>
      <c r="I58" s="220">
        <f t="shared" si="34"/>
        <v>1.49201152283105</v>
      </c>
      <c r="J58" s="220">
        <f t="shared" si="34"/>
        <v>1.49201152283105</v>
      </c>
      <c r="K58" s="220">
        <f t="shared" si="34"/>
        <v>1.49201152283105</v>
      </c>
      <c r="L58" s="220">
        <f t="shared" si="34"/>
        <v>1.49201152283105</v>
      </c>
      <c r="M58" s="220">
        <f t="shared" si="34"/>
        <v>1.49201152283105</v>
      </c>
      <c r="N58" s="220">
        <f t="shared" si="34"/>
        <v>1.49201152283105</v>
      </c>
      <c r="O58" s="220">
        <f t="shared" si="34"/>
        <v>1.49201152283105</v>
      </c>
      <c r="P58" s="220">
        <f t="shared" si="34"/>
        <v>1.49201152283105</v>
      </c>
      <c r="Q58" s="220">
        <f t="shared" si="34"/>
        <v>1.49201152283105</v>
      </c>
      <c r="R58" s="220">
        <f t="shared" si="34"/>
        <v>1.49201152283105</v>
      </c>
      <c r="S58" s="220">
        <f t="shared" si="34"/>
        <v>1.49201152283105</v>
      </c>
      <c r="T58" s="220">
        <f t="shared" si="34"/>
        <v>1.49201152283105</v>
      </c>
      <c r="U58" s="220">
        <f t="shared" si="34"/>
        <v>1.49201152283105</v>
      </c>
      <c r="V58" s="220">
        <f t="shared" si="34"/>
        <v>1.49201152283105</v>
      </c>
      <c r="W58" s="220">
        <f t="shared" si="34"/>
        <v>1.49201152283105</v>
      </c>
      <c r="X58" s="220">
        <f t="shared" si="34"/>
        <v>1.49201152283105</v>
      </c>
      <c r="Y58" s="220">
        <f t="shared" si="34"/>
        <v>1.49201152283105</v>
      </c>
      <c r="Z58" s="220">
        <f t="shared" si="34"/>
        <v>1.49201152283105</v>
      </c>
      <c r="AA58" s="220">
        <f t="shared" si="34"/>
        <v>1.49201152283105</v>
      </c>
      <c r="AB58" s="220">
        <f t="shared" si="34"/>
        <v>1.49201152283105</v>
      </c>
      <c r="AC58" s="220">
        <f t="shared" si="34"/>
        <v>1.49201152283105</v>
      </c>
      <c r="AD58" s="220">
        <f t="shared" si="34"/>
        <v>1.49201152283105</v>
      </c>
      <c r="AE58" s="220">
        <f t="shared" si="34"/>
        <v>1.49201152283105</v>
      </c>
    </row>
    <row r="59" spans="1:36">
      <c r="B59" s="222" t="str">
        <f>Processes!D17</f>
        <v>T-CAR-PHEV_GSL00</v>
      </c>
      <c r="C59" s="222" t="s">
        <v>805</v>
      </c>
      <c r="D59" s="222" t="s">
        <v>712</v>
      </c>
      <c r="E59" s="220">
        <f>N95</f>
        <v>1.49201152283105</v>
      </c>
      <c r="F59" s="220">
        <f t="shared" si="33"/>
        <v>1.49201152283105</v>
      </c>
      <c r="G59" s="220">
        <f t="shared" si="32"/>
        <v>1.49201152283105</v>
      </c>
      <c r="H59" s="220">
        <f t="shared" si="32"/>
        <v>1.49201152283105</v>
      </c>
      <c r="I59" s="220">
        <f t="shared" si="32"/>
        <v>1.49201152283105</v>
      </c>
      <c r="J59" s="220">
        <f t="shared" si="32"/>
        <v>1.49201152283105</v>
      </c>
      <c r="K59" s="220">
        <f t="shared" si="32"/>
        <v>1.49201152283105</v>
      </c>
      <c r="L59" s="220">
        <f t="shared" si="32"/>
        <v>1.49201152283105</v>
      </c>
      <c r="M59" s="220">
        <f t="shared" si="32"/>
        <v>1.49201152283105</v>
      </c>
      <c r="N59" s="220">
        <f t="shared" si="32"/>
        <v>1.49201152283105</v>
      </c>
      <c r="O59" s="220">
        <f t="shared" si="32"/>
        <v>1.49201152283105</v>
      </c>
      <c r="P59" s="220">
        <f t="shared" si="32"/>
        <v>1.49201152283105</v>
      </c>
      <c r="Q59" s="220">
        <f t="shared" si="32"/>
        <v>1.49201152283105</v>
      </c>
      <c r="R59" s="220">
        <f t="shared" si="32"/>
        <v>1.49201152283105</v>
      </c>
      <c r="S59" s="220">
        <f t="shared" si="32"/>
        <v>1.49201152283105</v>
      </c>
      <c r="T59" s="220">
        <f t="shared" si="32"/>
        <v>1.49201152283105</v>
      </c>
      <c r="U59" s="220">
        <f t="shared" si="32"/>
        <v>1.49201152283105</v>
      </c>
      <c r="V59" s="220">
        <f t="shared" si="32"/>
        <v>1.49201152283105</v>
      </c>
      <c r="W59" s="220">
        <f t="shared" si="32"/>
        <v>1.49201152283105</v>
      </c>
      <c r="X59" s="220">
        <f t="shared" si="32"/>
        <v>1.49201152283105</v>
      </c>
      <c r="Y59" s="220">
        <f t="shared" si="32"/>
        <v>1.49201152283105</v>
      </c>
      <c r="Z59" s="220">
        <f t="shared" si="32"/>
        <v>1.49201152283105</v>
      </c>
      <c r="AA59" s="220">
        <f t="shared" si="32"/>
        <v>1.49201152283105</v>
      </c>
      <c r="AB59" s="220">
        <f t="shared" si="32"/>
        <v>1.49201152283105</v>
      </c>
      <c r="AC59" s="220">
        <f t="shared" si="32"/>
        <v>1.49201152283105</v>
      </c>
      <c r="AD59" s="220">
        <f t="shared" si="32"/>
        <v>1.49201152283105</v>
      </c>
      <c r="AE59" s="220">
        <f t="shared" si="32"/>
        <v>1.49201152283105</v>
      </c>
    </row>
    <row r="60" spans="1:36">
      <c r="B60" s="222" t="str">
        <f>Processes!D18</f>
        <v>T-CAR-PHEV_DST00</v>
      </c>
      <c r="C60" s="222" t="s">
        <v>805</v>
      </c>
      <c r="D60" s="222" t="s">
        <v>712</v>
      </c>
      <c r="E60" s="220">
        <f>N95</f>
        <v>1.49201152283105</v>
      </c>
      <c r="F60" s="220">
        <f t="shared" si="33"/>
        <v>1.49201152283105</v>
      </c>
      <c r="G60" s="220">
        <f t="shared" si="32"/>
        <v>1.49201152283105</v>
      </c>
      <c r="H60" s="220">
        <f t="shared" si="32"/>
        <v>1.49201152283105</v>
      </c>
      <c r="I60" s="220">
        <f t="shared" si="32"/>
        <v>1.49201152283105</v>
      </c>
      <c r="J60" s="220">
        <f t="shared" si="32"/>
        <v>1.49201152283105</v>
      </c>
      <c r="K60" s="220">
        <f t="shared" si="32"/>
        <v>1.49201152283105</v>
      </c>
      <c r="L60" s="220">
        <f t="shared" si="32"/>
        <v>1.49201152283105</v>
      </c>
      <c r="M60" s="220">
        <f t="shared" si="32"/>
        <v>1.49201152283105</v>
      </c>
      <c r="N60" s="220">
        <f t="shared" si="32"/>
        <v>1.49201152283105</v>
      </c>
      <c r="O60" s="220">
        <f t="shared" si="32"/>
        <v>1.49201152283105</v>
      </c>
      <c r="P60" s="220">
        <f t="shared" si="32"/>
        <v>1.49201152283105</v>
      </c>
      <c r="Q60" s="220">
        <f t="shared" si="32"/>
        <v>1.49201152283105</v>
      </c>
      <c r="R60" s="220">
        <f t="shared" si="32"/>
        <v>1.49201152283105</v>
      </c>
      <c r="S60" s="220">
        <f t="shared" si="32"/>
        <v>1.49201152283105</v>
      </c>
      <c r="T60" s="220">
        <f t="shared" si="32"/>
        <v>1.49201152283105</v>
      </c>
      <c r="U60" s="220">
        <f t="shared" si="32"/>
        <v>1.49201152283105</v>
      </c>
      <c r="V60" s="220">
        <f t="shared" si="32"/>
        <v>1.49201152283105</v>
      </c>
      <c r="W60" s="220">
        <f t="shared" si="32"/>
        <v>1.49201152283105</v>
      </c>
      <c r="X60" s="220">
        <f t="shared" si="32"/>
        <v>1.49201152283105</v>
      </c>
      <c r="Y60" s="220">
        <f t="shared" si="32"/>
        <v>1.49201152283105</v>
      </c>
      <c r="Z60" s="220">
        <f t="shared" si="32"/>
        <v>1.49201152283105</v>
      </c>
      <c r="AA60" s="220">
        <f t="shared" si="32"/>
        <v>1.49201152283105</v>
      </c>
      <c r="AB60" s="220">
        <f t="shared" si="32"/>
        <v>1.49201152283105</v>
      </c>
      <c r="AC60" s="220">
        <f t="shared" si="32"/>
        <v>1.49201152283105</v>
      </c>
      <c r="AD60" s="220">
        <f t="shared" si="32"/>
        <v>1.49201152283105</v>
      </c>
      <c r="AE60" s="220">
        <f t="shared" si="32"/>
        <v>1.49201152283105</v>
      </c>
    </row>
    <row r="61" spans="1:36">
      <c r="B61" s="222" t="str">
        <f>Processes!D19</f>
        <v>T-CAR-BEV_ELC00</v>
      </c>
      <c r="C61" s="222" t="s">
        <v>805</v>
      </c>
      <c r="D61" s="222" t="s">
        <v>712</v>
      </c>
      <c r="E61" s="220">
        <f>N95</f>
        <v>1.49201152283105</v>
      </c>
      <c r="F61" s="220">
        <f t="shared" si="33"/>
        <v>1.49201152283105</v>
      </c>
      <c r="G61" s="220">
        <f t="shared" si="32"/>
        <v>1.49201152283105</v>
      </c>
      <c r="H61" s="220">
        <f t="shared" si="32"/>
        <v>1.49201152283105</v>
      </c>
      <c r="I61" s="220">
        <f t="shared" si="32"/>
        <v>1.49201152283105</v>
      </c>
      <c r="J61" s="220">
        <f t="shared" si="32"/>
        <v>1.49201152283105</v>
      </c>
      <c r="K61" s="220">
        <f t="shared" si="32"/>
        <v>1.49201152283105</v>
      </c>
      <c r="L61" s="220">
        <f t="shared" si="32"/>
        <v>1.49201152283105</v>
      </c>
      <c r="M61" s="220">
        <f t="shared" si="32"/>
        <v>1.49201152283105</v>
      </c>
      <c r="N61" s="220">
        <f t="shared" si="32"/>
        <v>1.49201152283105</v>
      </c>
      <c r="O61" s="220">
        <f t="shared" si="32"/>
        <v>1.49201152283105</v>
      </c>
      <c r="P61" s="220">
        <f t="shared" si="32"/>
        <v>1.49201152283105</v>
      </c>
      <c r="Q61" s="220">
        <f t="shared" si="32"/>
        <v>1.49201152283105</v>
      </c>
      <c r="R61" s="220">
        <f t="shared" si="32"/>
        <v>1.49201152283105</v>
      </c>
      <c r="S61" s="220">
        <f t="shared" si="32"/>
        <v>1.49201152283105</v>
      </c>
      <c r="T61" s="220">
        <f t="shared" si="32"/>
        <v>1.49201152283105</v>
      </c>
      <c r="U61" s="220">
        <f t="shared" si="32"/>
        <v>1.49201152283105</v>
      </c>
      <c r="V61" s="220">
        <f t="shared" si="32"/>
        <v>1.49201152283105</v>
      </c>
      <c r="W61" s="220">
        <f t="shared" si="32"/>
        <v>1.49201152283105</v>
      </c>
      <c r="X61" s="220">
        <f t="shared" si="32"/>
        <v>1.49201152283105</v>
      </c>
      <c r="Y61" s="220">
        <f t="shared" si="32"/>
        <v>1.49201152283105</v>
      </c>
      <c r="Z61" s="220">
        <f t="shared" si="32"/>
        <v>1.49201152283105</v>
      </c>
      <c r="AA61" s="220">
        <f t="shared" si="32"/>
        <v>1.49201152283105</v>
      </c>
      <c r="AB61" s="220">
        <f t="shared" si="32"/>
        <v>1.49201152283105</v>
      </c>
      <c r="AC61" s="220">
        <f t="shared" si="32"/>
        <v>1.49201152283105</v>
      </c>
      <c r="AD61" s="220">
        <f t="shared" si="32"/>
        <v>1.49201152283105</v>
      </c>
      <c r="AE61" s="220">
        <f t="shared" si="32"/>
        <v>1.49201152283105</v>
      </c>
    </row>
    <row r="62" spans="1:36">
      <c r="B62" s="222" t="str">
        <f>Processes!D21</f>
        <v>T-TAX-ICE_GSL00</v>
      </c>
      <c r="C62" s="222" t="s">
        <v>805</v>
      </c>
      <c r="D62" s="222" t="s">
        <v>712</v>
      </c>
      <c r="E62" s="220">
        <f>N95</f>
        <v>1.49201152283105</v>
      </c>
      <c r="F62" s="220">
        <f t="shared" si="33"/>
        <v>1.49201152283105</v>
      </c>
      <c r="G62" s="220">
        <f t="shared" si="32"/>
        <v>1.49201152283105</v>
      </c>
      <c r="H62" s="220">
        <f t="shared" si="32"/>
        <v>1.49201152283105</v>
      </c>
      <c r="I62" s="220">
        <f t="shared" si="32"/>
        <v>1.49201152283105</v>
      </c>
      <c r="J62" s="220">
        <f t="shared" si="32"/>
        <v>1.49201152283105</v>
      </c>
      <c r="K62" s="220">
        <f t="shared" si="32"/>
        <v>1.49201152283105</v>
      </c>
      <c r="L62" s="220">
        <f t="shared" si="32"/>
        <v>1.49201152283105</v>
      </c>
      <c r="M62" s="220">
        <f t="shared" si="32"/>
        <v>1.49201152283105</v>
      </c>
      <c r="N62" s="220">
        <f t="shared" si="32"/>
        <v>1.49201152283105</v>
      </c>
      <c r="O62" s="220">
        <f t="shared" si="32"/>
        <v>1.49201152283105</v>
      </c>
      <c r="P62" s="220">
        <f t="shared" si="32"/>
        <v>1.49201152283105</v>
      </c>
      <c r="Q62" s="220">
        <f t="shared" si="32"/>
        <v>1.49201152283105</v>
      </c>
      <c r="R62" s="220">
        <f t="shared" si="32"/>
        <v>1.49201152283105</v>
      </c>
      <c r="S62" s="220">
        <f t="shared" si="32"/>
        <v>1.49201152283105</v>
      </c>
      <c r="T62" s="220">
        <f t="shared" si="32"/>
        <v>1.49201152283105</v>
      </c>
      <c r="U62" s="220">
        <f t="shared" si="32"/>
        <v>1.49201152283105</v>
      </c>
      <c r="V62" s="220">
        <f t="shared" si="32"/>
        <v>1.49201152283105</v>
      </c>
      <c r="W62" s="220">
        <f t="shared" si="32"/>
        <v>1.49201152283105</v>
      </c>
      <c r="X62" s="220">
        <f t="shared" si="32"/>
        <v>1.49201152283105</v>
      </c>
      <c r="Y62" s="220">
        <f t="shared" si="32"/>
        <v>1.49201152283105</v>
      </c>
      <c r="Z62" s="220">
        <f t="shared" si="32"/>
        <v>1.49201152283105</v>
      </c>
      <c r="AA62" s="220">
        <f t="shared" si="32"/>
        <v>1.49201152283105</v>
      </c>
      <c r="AB62" s="220">
        <f t="shared" si="32"/>
        <v>1.49201152283105</v>
      </c>
      <c r="AC62" s="220">
        <f t="shared" si="32"/>
        <v>1.49201152283105</v>
      </c>
      <c r="AD62" s="220">
        <f t="shared" si="32"/>
        <v>1.49201152283105</v>
      </c>
      <c r="AE62" s="220">
        <f t="shared" si="32"/>
        <v>1.49201152283105</v>
      </c>
    </row>
    <row r="63" spans="1:36">
      <c r="B63" s="222" t="str">
        <f>Processes!D22</f>
        <v>T-TAX-ICE_DST00</v>
      </c>
      <c r="C63" s="222" t="s">
        <v>805</v>
      </c>
      <c r="D63" s="222" t="s">
        <v>712</v>
      </c>
      <c r="E63" s="220">
        <f>N95</f>
        <v>1.49201152283105</v>
      </c>
      <c r="F63" s="220">
        <f t="shared" si="33"/>
        <v>1.49201152283105</v>
      </c>
      <c r="G63" s="220">
        <f t="shared" si="32"/>
        <v>1.49201152283105</v>
      </c>
      <c r="H63" s="220">
        <f t="shared" si="32"/>
        <v>1.49201152283105</v>
      </c>
      <c r="I63" s="220">
        <f t="shared" si="32"/>
        <v>1.49201152283105</v>
      </c>
      <c r="J63" s="220">
        <f t="shared" si="32"/>
        <v>1.49201152283105</v>
      </c>
      <c r="K63" s="220">
        <f t="shared" si="32"/>
        <v>1.49201152283105</v>
      </c>
      <c r="L63" s="220">
        <f t="shared" si="32"/>
        <v>1.49201152283105</v>
      </c>
      <c r="M63" s="220">
        <f t="shared" si="32"/>
        <v>1.49201152283105</v>
      </c>
      <c r="N63" s="220">
        <f t="shared" si="32"/>
        <v>1.49201152283105</v>
      </c>
      <c r="O63" s="220">
        <f t="shared" si="32"/>
        <v>1.49201152283105</v>
      </c>
      <c r="P63" s="220">
        <f t="shared" si="32"/>
        <v>1.49201152283105</v>
      </c>
      <c r="Q63" s="220">
        <f t="shared" si="32"/>
        <v>1.49201152283105</v>
      </c>
      <c r="R63" s="220">
        <f t="shared" si="32"/>
        <v>1.49201152283105</v>
      </c>
      <c r="S63" s="220">
        <f t="shared" si="32"/>
        <v>1.49201152283105</v>
      </c>
      <c r="T63" s="220">
        <f t="shared" si="32"/>
        <v>1.49201152283105</v>
      </c>
      <c r="U63" s="220">
        <f t="shared" si="32"/>
        <v>1.49201152283105</v>
      </c>
      <c r="V63" s="220">
        <f t="shared" si="32"/>
        <v>1.49201152283105</v>
      </c>
      <c r="W63" s="220">
        <f t="shared" si="32"/>
        <v>1.49201152283105</v>
      </c>
      <c r="X63" s="220">
        <f t="shared" si="32"/>
        <v>1.49201152283105</v>
      </c>
      <c r="Y63" s="220">
        <f t="shared" si="32"/>
        <v>1.49201152283105</v>
      </c>
      <c r="Z63" s="220">
        <f t="shared" si="32"/>
        <v>1.49201152283105</v>
      </c>
      <c r="AA63" s="220">
        <f t="shared" si="32"/>
        <v>1.49201152283105</v>
      </c>
      <c r="AB63" s="220">
        <f t="shared" si="32"/>
        <v>1.49201152283105</v>
      </c>
      <c r="AC63" s="220">
        <f t="shared" si="32"/>
        <v>1.49201152283105</v>
      </c>
      <c r="AD63" s="220">
        <f t="shared" si="32"/>
        <v>1.49201152283105</v>
      </c>
      <c r="AE63" s="220">
        <f t="shared" si="32"/>
        <v>1.49201152283105</v>
      </c>
    </row>
    <row r="64" spans="1:36">
      <c r="B64" s="222" t="str">
        <f>Processes!D23</f>
        <v>T-TAX-HEV_GSL00</v>
      </c>
      <c r="C64" s="222" t="s">
        <v>805</v>
      </c>
      <c r="D64" s="222" t="s">
        <v>712</v>
      </c>
      <c r="E64" s="220">
        <f>N95</f>
        <v>1.49201152283105</v>
      </c>
      <c r="F64" s="220">
        <f t="shared" si="33"/>
        <v>1.49201152283105</v>
      </c>
      <c r="G64" s="220">
        <f t="shared" si="32"/>
        <v>1.49201152283105</v>
      </c>
      <c r="H64" s="220">
        <f t="shared" si="32"/>
        <v>1.49201152283105</v>
      </c>
      <c r="I64" s="220">
        <f t="shared" si="32"/>
        <v>1.49201152283105</v>
      </c>
      <c r="J64" s="220">
        <f t="shared" si="32"/>
        <v>1.49201152283105</v>
      </c>
      <c r="K64" s="220">
        <f t="shared" si="32"/>
        <v>1.49201152283105</v>
      </c>
      <c r="L64" s="220">
        <f t="shared" ref="L64:L68" si="35">K64</f>
        <v>1.49201152283105</v>
      </c>
      <c r="M64" s="220">
        <f t="shared" ref="M64:M68" si="36">L64</f>
        <v>1.49201152283105</v>
      </c>
      <c r="N64" s="220">
        <f t="shared" ref="N64:N68" si="37">M64</f>
        <v>1.49201152283105</v>
      </c>
      <c r="O64" s="220">
        <f t="shared" ref="O64:O68" si="38">N64</f>
        <v>1.49201152283105</v>
      </c>
      <c r="P64" s="220">
        <f t="shared" ref="P64:P68" si="39">O64</f>
        <v>1.49201152283105</v>
      </c>
      <c r="Q64" s="220">
        <f t="shared" ref="Q64:Q68" si="40">P64</f>
        <v>1.49201152283105</v>
      </c>
      <c r="R64" s="220">
        <f t="shared" ref="R64:R68" si="41">Q64</f>
        <v>1.49201152283105</v>
      </c>
      <c r="S64" s="220">
        <f t="shared" ref="S64:S68" si="42">R64</f>
        <v>1.49201152283105</v>
      </c>
      <c r="T64" s="220">
        <f t="shared" ref="T64:T68" si="43">S64</f>
        <v>1.49201152283105</v>
      </c>
      <c r="U64" s="220">
        <f t="shared" ref="U64:U68" si="44">T64</f>
        <v>1.49201152283105</v>
      </c>
      <c r="V64" s="220">
        <f t="shared" ref="V64:V68" si="45">U64</f>
        <v>1.49201152283105</v>
      </c>
      <c r="W64" s="220">
        <f t="shared" ref="W64:W68" si="46">V64</f>
        <v>1.49201152283105</v>
      </c>
      <c r="X64" s="220">
        <f t="shared" ref="X64:X68" si="47">W64</f>
        <v>1.49201152283105</v>
      </c>
      <c r="Y64" s="220">
        <f t="shared" ref="Y64:Y68" si="48">X64</f>
        <v>1.49201152283105</v>
      </c>
      <c r="Z64" s="220">
        <f t="shared" ref="Z64:Z68" si="49">Y64</f>
        <v>1.49201152283105</v>
      </c>
      <c r="AA64" s="220">
        <f t="shared" ref="AA64:AA68" si="50">Z64</f>
        <v>1.49201152283105</v>
      </c>
      <c r="AB64" s="220">
        <f t="shared" ref="AB64:AB68" si="51">AA64</f>
        <v>1.49201152283105</v>
      </c>
      <c r="AC64" s="220">
        <f t="shared" ref="AC64:AC68" si="52">AB64</f>
        <v>1.49201152283105</v>
      </c>
      <c r="AD64" s="220">
        <f t="shared" ref="AD64:AD68" si="53">AC64</f>
        <v>1.49201152283105</v>
      </c>
      <c r="AE64" s="220">
        <f t="shared" ref="AE64:AE68" si="54">AD64</f>
        <v>1.49201152283105</v>
      </c>
    </row>
    <row r="65" spans="1:31">
      <c r="B65" s="222" t="str">
        <f>Processes!D25</f>
        <v>T-BUS-ICE_DST00</v>
      </c>
      <c r="C65" s="222" t="s">
        <v>805</v>
      </c>
      <c r="D65" s="222" t="s">
        <v>712</v>
      </c>
      <c r="E65" s="221">
        <v>27.25</v>
      </c>
      <c r="F65" s="220">
        <f t="shared" si="33"/>
        <v>27.25</v>
      </c>
      <c r="G65" s="220">
        <f t="shared" ref="G65" si="55">F65</f>
        <v>27.25</v>
      </c>
      <c r="H65" s="220">
        <f t="shared" ref="H65" si="56">G65</f>
        <v>27.25</v>
      </c>
      <c r="I65" s="220">
        <f t="shared" ref="I65" si="57">H65</f>
        <v>27.25</v>
      </c>
      <c r="J65" s="220">
        <f t="shared" ref="J65:J68" si="58">I65</f>
        <v>27.25</v>
      </c>
      <c r="K65" s="220">
        <f t="shared" ref="K65:K68" si="59">J65</f>
        <v>27.25</v>
      </c>
      <c r="L65" s="220">
        <f t="shared" si="35"/>
        <v>27.25</v>
      </c>
      <c r="M65" s="220">
        <f t="shared" si="36"/>
        <v>27.25</v>
      </c>
      <c r="N65" s="220">
        <f t="shared" si="37"/>
        <v>27.25</v>
      </c>
      <c r="O65" s="220">
        <f t="shared" si="38"/>
        <v>27.25</v>
      </c>
      <c r="P65" s="220">
        <f t="shared" si="39"/>
        <v>27.25</v>
      </c>
      <c r="Q65" s="220">
        <f t="shared" si="40"/>
        <v>27.25</v>
      </c>
      <c r="R65" s="220">
        <f t="shared" si="41"/>
        <v>27.25</v>
      </c>
      <c r="S65" s="220">
        <f t="shared" si="42"/>
        <v>27.25</v>
      </c>
      <c r="T65" s="220">
        <f t="shared" si="43"/>
        <v>27.25</v>
      </c>
      <c r="U65" s="220">
        <f t="shared" si="44"/>
        <v>27.25</v>
      </c>
      <c r="V65" s="220">
        <f t="shared" si="45"/>
        <v>27.25</v>
      </c>
      <c r="W65" s="220">
        <f t="shared" si="46"/>
        <v>27.25</v>
      </c>
      <c r="X65" s="220">
        <f t="shared" si="47"/>
        <v>27.25</v>
      </c>
      <c r="Y65" s="220">
        <f t="shared" si="48"/>
        <v>27.25</v>
      </c>
      <c r="Z65" s="220">
        <f t="shared" si="49"/>
        <v>27.25</v>
      </c>
      <c r="AA65" s="220">
        <f t="shared" si="50"/>
        <v>27.25</v>
      </c>
      <c r="AB65" s="220">
        <f t="shared" si="51"/>
        <v>27.25</v>
      </c>
      <c r="AC65" s="220">
        <f t="shared" si="52"/>
        <v>27.25</v>
      </c>
      <c r="AD65" s="220">
        <f t="shared" si="53"/>
        <v>27.25</v>
      </c>
      <c r="AE65" s="220">
        <f t="shared" si="54"/>
        <v>27.25</v>
      </c>
    </row>
    <row r="66" spans="1:31" s="201" customFormat="1">
      <c r="A66" s="548"/>
      <c r="B66" s="222" t="str">
        <f>Processes!D27</f>
        <v>T-LPT-BEV_ELC00</v>
      </c>
      <c r="C66" s="222" t="s">
        <v>805</v>
      </c>
      <c r="D66" s="222" t="s">
        <v>712</v>
      </c>
      <c r="E66" s="439">
        <f>C113</f>
        <v>78.019401157895544</v>
      </c>
      <c r="F66" s="439">
        <v>0</v>
      </c>
      <c r="G66" s="439">
        <f>E66</f>
        <v>78.019401157895544</v>
      </c>
      <c r="H66" s="439">
        <f>F66</f>
        <v>0</v>
      </c>
      <c r="I66" s="439">
        <f>H66</f>
        <v>0</v>
      </c>
      <c r="J66" s="439">
        <f t="shared" si="58"/>
        <v>0</v>
      </c>
      <c r="K66" s="439">
        <f t="shared" si="59"/>
        <v>0</v>
      </c>
      <c r="L66" s="439">
        <f t="shared" si="35"/>
        <v>0</v>
      </c>
      <c r="M66" s="439">
        <f t="shared" si="36"/>
        <v>0</v>
      </c>
      <c r="N66" s="439">
        <f t="shared" si="37"/>
        <v>0</v>
      </c>
      <c r="O66" s="439">
        <f t="shared" si="38"/>
        <v>0</v>
      </c>
      <c r="P66" s="439">
        <f t="shared" si="39"/>
        <v>0</v>
      </c>
      <c r="Q66" s="439">
        <f t="shared" si="40"/>
        <v>0</v>
      </c>
      <c r="R66" s="439">
        <f t="shared" si="41"/>
        <v>0</v>
      </c>
      <c r="S66" s="439">
        <f t="shared" si="42"/>
        <v>0</v>
      </c>
      <c r="T66" s="439">
        <f t="shared" si="43"/>
        <v>0</v>
      </c>
      <c r="U66" s="439">
        <f t="shared" si="44"/>
        <v>0</v>
      </c>
      <c r="V66" s="439">
        <f t="shared" si="45"/>
        <v>0</v>
      </c>
      <c r="W66" s="439">
        <f t="shared" si="46"/>
        <v>0</v>
      </c>
      <c r="X66" s="439">
        <f t="shared" si="47"/>
        <v>0</v>
      </c>
      <c r="Y66" s="439">
        <f t="shared" si="48"/>
        <v>0</v>
      </c>
      <c r="Z66" s="439">
        <f t="shared" si="49"/>
        <v>0</v>
      </c>
      <c r="AA66" s="439">
        <f t="shared" si="50"/>
        <v>0</v>
      </c>
      <c r="AB66" s="439">
        <f t="shared" si="51"/>
        <v>0</v>
      </c>
      <c r="AC66" s="439">
        <f t="shared" si="52"/>
        <v>0</v>
      </c>
      <c r="AD66" s="439">
        <f t="shared" si="53"/>
        <v>0</v>
      </c>
      <c r="AE66" s="439">
        <f t="shared" si="54"/>
        <v>0</v>
      </c>
    </row>
    <row r="67" spans="1:31" s="201" customFormat="1">
      <c r="A67" s="548"/>
      <c r="B67" s="222" t="str">
        <f>Processes!D28</f>
        <v>T-HPT-BEV_ELC00</v>
      </c>
      <c r="C67" s="222" t="s">
        <v>805</v>
      </c>
      <c r="D67" s="222" t="s">
        <v>712</v>
      </c>
      <c r="E67" s="439">
        <f>E66</f>
        <v>78.019401157895544</v>
      </c>
      <c r="F67" s="439">
        <f>E67</f>
        <v>78.019401157895544</v>
      </c>
      <c r="G67" s="439">
        <f t="shared" ref="G67:I67" si="60">F67</f>
        <v>78.019401157895544</v>
      </c>
      <c r="H67" s="439">
        <f t="shared" si="60"/>
        <v>78.019401157895544</v>
      </c>
      <c r="I67" s="439">
        <f t="shared" si="60"/>
        <v>78.019401157895544</v>
      </c>
      <c r="J67" s="439">
        <f t="shared" si="58"/>
        <v>78.019401157895544</v>
      </c>
      <c r="K67" s="439">
        <f t="shared" si="59"/>
        <v>78.019401157895544</v>
      </c>
      <c r="L67" s="439">
        <f t="shared" si="35"/>
        <v>78.019401157895544</v>
      </c>
      <c r="M67" s="439">
        <f t="shared" si="36"/>
        <v>78.019401157895544</v>
      </c>
      <c r="N67" s="439">
        <f t="shared" si="37"/>
        <v>78.019401157895544</v>
      </c>
      <c r="O67" s="439">
        <f t="shared" si="38"/>
        <v>78.019401157895544</v>
      </c>
      <c r="P67" s="439">
        <f t="shared" si="39"/>
        <v>78.019401157895544</v>
      </c>
      <c r="Q67" s="439">
        <f t="shared" si="40"/>
        <v>78.019401157895544</v>
      </c>
      <c r="R67" s="439">
        <f t="shared" si="41"/>
        <v>78.019401157895544</v>
      </c>
      <c r="S67" s="439">
        <f t="shared" si="42"/>
        <v>78.019401157895544</v>
      </c>
      <c r="T67" s="439">
        <f t="shared" si="43"/>
        <v>78.019401157895544</v>
      </c>
      <c r="U67" s="439">
        <f t="shared" si="44"/>
        <v>78.019401157895544</v>
      </c>
      <c r="V67" s="439">
        <f t="shared" si="45"/>
        <v>78.019401157895544</v>
      </c>
      <c r="W67" s="439">
        <f t="shared" si="46"/>
        <v>78.019401157895544</v>
      </c>
      <c r="X67" s="439">
        <f t="shared" si="47"/>
        <v>78.019401157895544</v>
      </c>
      <c r="Y67" s="439">
        <f t="shared" si="48"/>
        <v>78.019401157895544</v>
      </c>
      <c r="Z67" s="439">
        <f t="shared" si="49"/>
        <v>78.019401157895544</v>
      </c>
      <c r="AA67" s="439">
        <f t="shared" si="50"/>
        <v>78.019401157895544</v>
      </c>
      <c r="AB67" s="439">
        <f t="shared" si="51"/>
        <v>78.019401157895544</v>
      </c>
      <c r="AC67" s="439">
        <f t="shared" si="52"/>
        <v>78.019401157895544</v>
      </c>
      <c r="AD67" s="439">
        <f t="shared" si="53"/>
        <v>78.019401157895544</v>
      </c>
      <c r="AE67" s="439">
        <f t="shared" si="54"/>
        <v>78.019401157895544</v>
      </c>
    </row>
    <row r="68" spans="1:31" s="201" customFormat="1">
      <c r="A68" s="548"/>
      <c r="B68" s="222" t="str">
        <f>Processes!D29</f>
        <v>T-HPT-ICE_DST00</v>
      </c>
      <c r="C68" s="222" t="s">
        <v>805</v>
      </c>
      <c r="D68" s="222" t="s">
        <v>712</v>
      </c>
      <c r="E68" s="439">
        <v>120</v>
      </c>
      <c r="F68" s="439">
        <f>E68</f>
        <v>120</v>
      </c>
      <c r="G68" s="439">
        <f t="shared" ref="G68:I68" si="61">F68</f>
        <v>120</v>
      </c>
      <c r="H68" s="439">
        <f t="shared" si="61"/>
        <v>120</v>
      </c>
      <c r="I68" s="439">
        <f t="shared" si="61"/>
        <v>120</v>
      </c>
      <c r="J68" s="439">
        <f t="shared" si="58"/>
        <v>120</v>
      </c>
      <c r="K68" s="439">
        <f t="shared" si="59"/>
        <v>120</v>
      </c>
      <c r="L68" s="439">
        <f t="shared" si="35"/>
        <v>120</v>
      </c>
      <c r="M68" s="439">
        <f t="shared" si="36"/>
        <v>120</v>
      </c>
      <c r="N68" s="439">
        <f t="shared" si="37"/>
        <v>120</v>
      </c>
      <c r="O68" s="439">
        <f t="shared" si="38"/>
        <v>120</v>
      </c>
      <c r="P68" s="439">
        <f t="shared" si="39"/>
        <v>120</v>
      </c>
      <c r="Q68" s="439">
        <f t="shared" si="40"/>
        <v>120</v>
      </c>
      <c r="R68" s="439">
        <f t="shared" si="41"/>
        <v>120</v>
      </c>
      <c r="S68" s="439">
        <f t="shared" si="42"/>
        <v>120</v>
      </c>
      <c r="T68" s="439">
        <f t="shared" si="43"/>
        <v>120</v>
      </c>
      <c r="U68" s="439">
        <f t="shared" si="44"/>
        <v>120</v>
      </c>
      <c r="V68" s="439">
        <f t="shared" si="45"/>
        <v>120</v>
      </c>
      <c r="W68" s="439">
        <f t="shared" si="46"/>
        <v>120</v>
      </c>
      <c r="X68" s="439">
        <f t="shared" si="47"/>
        <v>120</v>
      </c>
      <c r="Y68" s="439">
        <f t="shared" si="48"/>
        <v>120</v>
      </c>
      <c r="Z68" s="439">
        <f t="shared" si="49"/>
        <v>120</v>
      </c>
      <c r="AA68" s="439">
        <f t="shared" si="50"/>
        <v>120</v>
      </c>
      <c r="AB68" s="439">
        <f t="shared" si="51"/>
        <v>120</v>
      </c>
      <c r="AC68" s="439">
        <f t="shared" si="52"/>
        <v>120</v>
      </c>
      <c r="AD68" s="439">
        <f t="shared" si="53"/>
        <v>120</v>
      </c>
      <c r="AE68" s="439">
        <f t="shared" si="54"/>
        <v>120</v>
      </c>
    </row>
    <row r="69" spans="1:31" s="201" customFormat="1">
      <c r="A69" s="548"/>
      <c r="B69" s="440" t="s">
        <v>715</v>
      </c>
      <c r="C69" s="440"/>
      <c r="D69" s="440"/>
      <c r="E69" s="440"/>
      <c r="F69" s="440"/>
      <c r="G69" s="440"/>
      <c r="H69" s="440"/>
      <c r="I69" s="440"/>
      <c r="J69" s="440"/>
      <c r="K69" s="440"/>
      <c r="L69" s="440"/>
      <c r="M69" s="440"/>
      <c r="N69" s="440"/>
      <c r="O69" s="440"/>
      <c r="P69" s="440"/>
      <c r="Q69" s="440"/>
      <c r="R69" s="440"/>
      <c r="S69" s="440"/>
      <c r="T69" s="440"/>
      <c r="U69" s="440"/>
      <c r="V69" s="440"/>
      <c r="W69" s="440"/>
      <c r="X69" s="440"/>
      <c r="Y69" s="440"/>
      <c r="Z69" s="440"/>
      <c r="AA69" s="440"/>
      <c r="AB69" s="440"/>
      <c r="AC69" s="440"/>
      <c r="AD69" s="440"/>
      <c r="AE69" s="440"/>
    </row>
    <row r="70" spans="1:31">
      <c r="B70" s="222" t="str">
        <f>Processes!D32</f>
        <v>T-LGT-ICE_GSL00</v>
      </c>
      <c r="C70" s="222" t="s">
        <v>805</v>
      </c>
      <c r="D70" s="222" t="s">
        <v>713</v>
      </c>
      <c r="E70" s="543">
        <v>4.2999999999999997E-2</v>
      </c>
      <c r="F70" s="543">
        <f>E70</f>
        <v>4.2999999999999997E-2</v>
      </c>
      <c r="G70" s="543">
        <f t="shared" ref="G70:AE73" si="62">F70</f>
        <v>4.2999999999999997E-2</v>
      </c>
      <c r="H70" s="543">
        <f t="shared" si="62"/>
        <v>4.2999999999999997E-2</v>
      </c>
      <c r="I70" s="543">
        <f t="shared" si="62"/>
        <v>4.2999999999999997E-2</v>
      </c>
      <c r="J70" s="543">
        <f t="shared" si="62"/>
        <v>4.2999999999999997E-2</v>
      </c>
      <c r="K70" s="543">
        <f t="shared" si="62"/>
        <v>4.2999999999999997E-2</v>
      </c>
      <c r="L70" s="543">
        <f t="shared" si="62"/>
        <v>4.2999999999999997E-2</v>
      </c>
      <c r="M70" s="543">
        <f t="shared" si="62"/>
        <v>4.2999999999999997E-2</v>
      </c>
      <c r="N70" s="543">
        <f t="shared" si="62"/>
        <v>4.2999999999999997E-2</v>
      </c>
      <c r="O70" s="543">
        <f t="shared" si="62"/>
        <v>4.2999999999999997E-2</v>
      </c>
      <c r="P70" s="543">
        <f t="shared" si="62"/>
        <v>4.2999999999999997E-2</v>
      </c>
      <c r="Q70" s="543">
        <f t="shared" si="62"/>
        <v>4.2999999999999997E-2</v>
      </c>
      <c r="R70" s="543">
        <f t="shared" si="62"/>
        <v>4.2999999999999997E-2</v>
      </c>
      <c r="S70" s="543">
        <f t="shared" si="62"/>
        <v>4.2999999999999997E-2</v>
      </c>
      <c r="T70" s="543">
        <f t="shared" si="62"/>
        <v>4.2999999999999997E-2</v>
      </c>
      <c r="U70" s="543">
        <f t="shared" si="62"/>
        <v>4.2999999999999997E-2</v>
      </c>
      <c r="V70" s="543">
        <f t="shared" si="62"/>
        <v>4.2999999999999997E-2</v>
      </c>
      <c r="W70" s="543">
        <f t="shared" si="62"/>
        <v>4.2999999999999997E-2</v>
      </c>
      <c r="X70" s="543">
        <f t="shared" si="62"/>
        <v>4.2999999999999997E-2</v>
      </c>
      <c r="Y70" s="543">
        <f t="shared" si="62"/>
        <v>4.2999999999999997E-2</v>
      </c>
      <c r="Z70" s="543">
        <f t="shared" si="62"/>
        <v>4.2999999999999997E-2</v>
      </c>
      <c r="AA70" s="543">
        <f t="shared" si="62"/>
        <v>4.2999999999999997E-2</v>
      </c>
      <c r="AB70" s="543">
        <f t="shared" si="62"/>
        <v>4.2999999999999997E-2</v>
      </c>
      <c r="AC70" s="543">
        <f t="shared" si="62"/>
        <v>4.2999999999999997E-2</v>
      </c>
      <c r="AD70" s="543">
        <f t="shared" si="62"/>
        <v>4.2999999999999997E-2</v>
      </c>
      <c r="AE70" s="543">
        <f t="shared" si="62"/>
        <v>4.2999999999999997E-2</v>
      </c>
    </row>
    <row r="71" spans="1:31" s="429" customFormat="1">
      <c r="A71" s="548"/>
      <c r="B71" s="222" t="str">
        <f>Processes!D33</f>
        <v>T-LGT-ICE_DST00</v>
      </c>
      <c r="C71" s="222" t="s">
        <v>805</v>
      </c>
      <c r="D71" s="222" t="s">
        <v>713</v>
      </c>
      <c r="E71" s="543">
        <v>4.2999999999999997E-2</v>
      </c>
      <c r="F71" s="543">
        <f>E71</f>
        <v>4.2999999999999997E-2</v>
      </c>
      <c r="G71" s="543">
        <f t="shared" ref="F71:U73" si="63">F71</f>
        <v>4.2999999999999997E-2</v>
      </c>
      <c r="H71" s="543">
        <f t="shared" si="63"/>
        <v>4.2999999999999997E-2</v>
      </c>
      <c r="I71" s="543">
        <f t="shared" si="63"/>
        <v>4.2999999999999997E-2</v>
      </c>
      <c r="J71" s="543">
        <f t="shared" si="63"/>
        <v>4.2999999999999997E-2</v>
      </c>
      <c r="K71" s="543">
        <f t="shared" si="63"/>
        <v>4.2999999999999997E-2</v>
      </c>
      <c r="L71" s="543">
        <f t="shared" si="63"/>
        <v>4.2999999999999997E-2</v>
      </c>
      <c r="M71" s="543">
        <f t="shared" si="63"/>
        <v>4.2999999999999997E-2</v>
      </c>
      <c r="N71" s="543">
        <f t="shared" si="63"/>
        <v>4.2999999999999997E-2</v>
      </c>
      <c r="O71" s="543">
        <f t="shared" si="63"/>
        <v>4.2999999999999997E-2</v>
      </c>
      <c r="P71" s="543">
        <f t="shared" si="63"/>
        <v>4.2999999999999997E-2</v>
      </c>
      <c r="Q71" s="543">
        <f t="shared" si="63"/>
        <v>4.2999999999999997E-2</v>
      </c>
      <c r="R71" s="543">
        <f t="shared" si="63"/>
        <v>4.2999999999999997E-2</v>
      </c>
      <c r="S71" s="543">
        <f t="shared" si="63"/>
        <v>4.2999999999999997E-2</v>
      </c>
      <c r="T71" s="543">
        <f t="shared" si="63"/>
        <v>4.2999999999999997E-2</v>
      </c>
      <c r="U71" s="543">
        <f t="shared" si="63"/>
        <v>4.2999999999999997E-2</v>
      </c>
      <c r="V71" s="543">
        <f t="shared" si="62"/>
        <v>4.2999999999999997E-2</v>
      </c>
      <c r="W71" s="543">
        <f t="shared" si="62"/>
        <v>4.2999999999999997E-2</v>
      </c>
      <c r="X71" s="543">
        <f t="shared" si="62"/>
        <v>4.2999999999999997E-2</v>
      </c>
      <c r="Y71" s="543">
        <f t="shared" si="62"/>
        <v>4.2999999999999997E-2</v>
      </c>
      <c r="Z71" s="543">
        <f t="shared" si="62"/>
        <v>4.2999999999999997E-2</v>
      </c>
      <c r="AA71" s="543">
        <f t="shared" si="62"/>
        <v>4.2999999999999997E-2</v>
      </c>
      <c r="AB71" s="543">
        <f t="shared" si="62"/>
        <v>4.2999999999999997E-2</v>
      </c>
      <c r="AC71" s="543">
        <f t="shared" si="62"/>
        <v>4.2999999999999997E-2</v>
      </c>
      <c r="AD71" s="543">
        <f t="shared" si="62"/>
        <v>4.2999999999999997E-2</v>
      </c>
      <c r="AE71" s="543">
        <f t="shared" si="62"/>
        <v>4.2999999999999997E-2</v>
      </c>
    </row>
    <row r="72" spans="1:31" s="429" customFormat="1">
      <c r="A72" s="548"/>
      <c r="B72" s="222" t="str">
        <f>Processes!D34</f>
        <v>T-MGT-ICE_DST00</v>
      </c>
      <c r="C72" s="222" t="s">
        <v>805</v>
      </c>
      <c r="D72" s="222" t="s">
        <v>713</v>
      </c>
      <c r="E72" s="543">
        <v>3.5129999999999999</v>
      </c>
      <c r="F72" s="543">
        <f t="shared" si="63"/>
        <v>3.5129999999999999</v>
      </c>
      <c r="G72" s="543">
        <f t="shared" si="62"/>
        <v>3.5129999999999999</v>
      </c>
      <c r="H72" s="543">
        <f t="shared" si="62"/>
        <v>3.5129999999999999</v>
      </c>
      <c r="I72" s="543">
        <f t="shared" si="62"/>
        <v>3.5129999999999999</v>
      </c>
      <c r="J72" s="543">
        <f t="shared" si="62"/>
        <v>3.5129999999999999</v>
      </c>
      <c r="K72" s="543">
        <f t="shared" si="62"/>
        <v>3.5129999999999999</v>
      </c>
      <c r="L72" s="543">
        <f t="shared" si="62"/>
        <v>3.5129999999999999</v>
      </c>
      <c r="M72" s="543">
        <f t="shared" si="62"/>
        <v>3.5129999999999999</v>
      </c>
      <c r="N72" s="543">
        <f t="shared" si="62"/>
        <v>3.5129999999999999</v>
      </c>
      <c r="O72" s="543">
        <f t="shared" si="62"/>
        <v>3.5129999999999999</v>
      </c>
      <c r="P72" s="543">
        <f t="shared" si="62"/>
        <v>3.5129999999999999</v>
      </c>
      <c r="Q72" s="543">
        <f t="shared" si="62"/>
        <v>3.5129999999999999</v>
      </c>
      <c r="R72" s="543">
        <f t="shared" si="62"/>
        <v>3.5129999999999999</v>
      </c>
      <c r="S72" s="543">
        <f t="shared" si="62"/>
        <v>3.5129999999999999</v>
      </c>
      <c r="T72" s="543">
        <f t="shared" si="62"/>
        <v>3.5129999999999999</v>
      </c>
      <c r="U72" s="543">
        <f t="shared" si="62"/>
        <v>3.5129999999999999</v>
      </c>
      <c r="V72" s="543">
        <f t="shared" si="62"/>
        <v>3.5129999999999999</v>
      </c>
      <c r="W72" s="543">
        <f t="shared" si="62"/>
        <v>3.5129999999999999</v>
      </c>
      <c r="X72" s="543">
        <f t="shared" si="62"/>
        <v>3.5129999999999999</v>
      </c>
      <c r="Y72" s="543">
        <f t="shared" si="62"/>
        <v>3.5129999999999999</v>
      </c>
      <c r="Z72" s="543">
        <f t="shared" si="62"/>
        <v>3.5129999999999999</v>
      </c>
      <c r="AA72" s="543">
        <f t="shared" si="62"/>
        <v>3.5129999999999999</v>
      </c>
      <c r="AB72" s="543">
        <f t="shared" si="62"/>
        <v>3.5129999999999999</v>
      </c>
      <c r="AC72" s="543">
        <f t="shared" si="62"/>
        <v>3.5129999999999999</v>
      </c>
      <c r="AD72" s="543">
        <f t="shared" si="62"/>
        <v>3.5129999999999999</v>
      </c>
      <c r="AE72" s="543">
        <f t="shared" si="62"/>
        <v>3.5129999999999999</v>
      </c>
    </row>
    <row r="73" spans="1:31" s="201" customFormat="1">
      <c r="A73" s="548"/>
      <c r="B73" s="235" t="str">
        <f>Processes!D35</f>
        <v>T-HGT-ICE_DST00</v>
      </c>
      <c r="C73" s="222" t="s">
        <v>805</v>
      </c>
      <c r="D73" s="235" t="s">
        <v>713</v>
      </c>
      <c r="E73" s="515">
        <v>9.1679999999999993</v>
      </c>
      <c r="F73" s="543">
        <f t="shared" si="63"/>
        <v>9.1679999999999993</v>
      </c>
      <c r="G73" s="543">
        <f t="shared" si="62"/>
        <v>9.1679999999999993</v>
      </c>
      <c r="H73" s="543">
        <f t="shared" si="62"/>
        <v>9.1679999999999993</v>
      </c>
      <c r="I73" s="543">
        <f t="shared" si="62"/>
        <v>9.1679999999999993</v>
      </c>
      <c r="J73" s="543">
        <f t="shared" si="62"/>
        <v>9.1679999999999993</v>
      </c>
      <c r="K73" s="543">
        <f t="shared" si="62"/>
        <v>9.1679999999999993</v>
      </c>
      <c r="L73" s="543">
        <f t="shared" si="62"/>
        <v>9.1679999999999993</v>
      </c>
      <c r="M73" s="543">
        <f t="shared" si="62"/>
        <v>9.1679999999999993</v>
      </c>
      <c r="N73" s="543">
        <f t="shared" si="62"/>
        <v>9.1679999999999993</v>
      </c>
      <c r="O73" s="543">
        <f t="shared" si="62"/>
        <v>9.1679999999999993</v>
      </c>
      <c r="P73" s="543">
        <f t="shared" si="62"/>
        <v>9.1679999999999993</v>
      </c>
      <c r="Q73" s="543">
        <f t="shared" si="62"/>
        <v>9.1679999999999993</v>
      </c>
      <c r="R73" s="543">
        <f t="shared" si="62"/>
        <v>9.1679999999999993</v>
      </c>
      <c r="S73" s="543">
        <f t="shared" si="62"/>
        <v>9.1679999999999993</v>
      </c>
      <c r="T73" s="543">
        <f t="shared" si="62"/>
        <v>9.1679999999999993</v>
      </c>
      <c r="U73" s="543">
        <f t="shared" si="62"/>
        <v>9.1679999999999993</v>
      </c>
      <c r="V73" s="543">
        <f t="shared" si="62"/>
        <v>9.1679999999999993</v>
      </c>
      <c r="W73" s="543">
        <f t="shared" si="62"/>
        <v>9.1679999999999993</v>
      </c>
      <c r="X73" s="543">
        <f t="shared" si="62"/>
        <v>9.1679999999999993</v>
      </c>
      <c r="Y73" s="543">
        <f t="shared" si="62"/>
        <v>9.1679999999999993</v>
      </c>
      <c r="Z73" s="543">
        <f t="shared" si="62"/>
        <v>9.1679999999999993</v>
      </c>
      <c r="AA73" s="543">
        <f t="shared" si="62"/>
        <v>9.1679999999999993</v>
      </c>
      <c r="AB73" s="543">
        <f t="shared" si="62"/>
        <v>9.1679999999999993</v>
      </c>
      <c r="AC73" s="543">
        <f t="shared" si="62"/>
        <v>9.1679999999999993</v>
      </c>
      <c r="AD73" s="543">
        <f t="shared" si="62"/>
        <v>9.1679999999999993</v>
      </c>
      <c r="AE73" s="543">
        <f t="shared" si="62"/>
        <v>9.1679999999999993</v>
      </c>
    </row>
    <row r="74" spans="1:31" s="201" customFormat="1">
      <c r="A74" s="548"/>
      <c r="B74" s="238" t="str">
        <f>Processes!D36</f>
        <v>T-GTR-ICE_DST00</v>
      </c>
      <c r="C74" s="238" t="s">
        <v>805</v>
      </c>
      <c r="D74" s="238" t="s">
        <v>713</v>
      </c>
      <c r="E74" s="546">
        <v>164.83335026928157</v>
      </c>
      <c r="F74" s="547">
        <f t="shared" ref="F74" si="64">E74</f>
        <v>164.83335026928157</v>
      </c>
      <c r="G74" s="547">
        <f t="shared" ref="G74:AE74" si="65">F74</f>
        <v>164.83335026928157</v>
      </c>
      <c r="H74" s="547">
        <f t="shared" si="65"/>
        <v>164.83335026928157</v>
      </c>
      <c r="I74" s="547">
        <f t="shared" si="65"/>
        <v>164.83335026928157</v>
      </c>
      <c r="J74" s="547">
        <f t="shared" si="65"/>
        <v>164.83335026928157</v>
      </c>
      <c r="K74" s="547">
        <f t="shared" si="65"/>
        <v>164.83335026928157</v>
      </c>
      <c r="L74" s="547">
        <f t="shared" si="65"/>
        <v>164.83335026928157</v>
      </c>
      <c r="M74" s="547">
        <f t="shared" si="65"/>
        <v>164.83335026928157</v>
      </c>
      <c r="N74" s="547">
        <f t="shared" si="65"/>
        <v>164.83335026928157</v>
      </c>
      <c r="O74" s="547">
        <f t="shared" si="65"/>
        <v>164.83335026928157</v>
      </c>
      <c r="P74" s="547">
        <f t="shared" si="65"/>
        <v>164.83335026928157</v>
      </c>
      <c r="Q74" s="547">
        <f t="shared" si="65"/>
        <v>164.83335026928157</v>
      </c>
      <c r="R74" s="547">
        <f t="shared" si="65"/>
        <v>164.83335026928157</v>
      </c>
      <c r="S74" s="547">
        <f t="shared" si="65"/>
        <v>164.83335026928157</v>
      </c>
      <c r="T74" s="547">
        <f t="shared" si="65"/>
        <v>164.83335026928157</v>
      </c>
      <c r="U74" s="547">
        <f t="shared" si="65"/>
        <v>164.83335026928157</v>
      </c>
      <c r="V74" s="547">
        <f t="shared" si="65"/>
        <v>164.83335026928157</v>
      </c>
      <c r="W74" s="547">
        <f t="shared" si="65"/>
        <v>164.83335026928157</v>
      </c>
      <c r="X74" s="547">
        <f t="shared" si="65"/>
        <v>164.83335026928157</v>
      </c>
      <c r="Y74" s="547">
        <f t="shared" si="65"/>
        <v>164.83335026928157</v>
      </c>
      <c r="Z74" s="547">
        <f t="shared" si="65"/>
        <v>164.83335026928157</v>
      </c>
      <c r="AA74" s="547">
        <f t="shared" si="65"/>
        <v>164.83335026928157</v>
      </c>
      <c r="AB74" s="547">
        <f t="shared" si="65"/>
        <v>164.83335026928157</v>
      </c>
      <c r="AC74" s="547">
        <f t="shared" si="65"/>
        <v>164.83335026928157</v>
      </c>
      <c r="AD74" s="547">
        <f t="shared" si="65"/>
        <v>164.83335026928157</v>
      </c>
      <c r="AE74" s="547">
        <f t="shared" si="65"/>
        <v>164.83335026928157</v>
      </c>
    </row>
    <row r="75" spans="1:31" s="201" customFormat="1">
      <c r="A75" s="548"/>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548"/>
      <c r="B80" s="201" t="s">
        <v>780</v>
      </c>
    </row>
    <row r="81" spans="1:31" s="201" customFormat="1">
      <c r="A81" s="548"/>
    </row>
    <row r="82" spans="1:31" s="201" customFormat="1">
      <c r="A82" s="548"/>
    </row>
    <row r="83" spans="1:31" s="201" customFormat="1">
      <c r="A83" s="548"/>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548"/>
    </row>
    <row r="85" spans="1:31" s="201" customFormat="1">
      <c r="A85" s="548"/>
    </row>
    <row r="86" spans="1:31" s="201" customFormat="1">
      <c r="A86" s="548"/>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3" t="s">
        <v>14</v>
      </c>
      <c r="E92" s="293"/>
      <c r="F92" s="293"/>
      <c r="G92" s="293"/>
      <c r="H92" s="294" t="s">
        <v>15</v>
      </c>
      <c r="I92" s="295"/>
      <c r="J92" s="295"/>
      <c r="K92" s="296"/>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878" t="s">
        <v>9</v>
      </c>
      <c r="C96" s="186" t="s">
        <v>443</v>
      </c>
      <c r="D96" s="128">
        <v>1.24</v>
      </c>
      <c r="E96" s="128">
        <v>1.25</v>
      </c>
      <c r="F96" s="128">
        <v>1.26</v>
      </c>
      <c r="G96" s="128">
        <v>1.26</v>
      </c>
      <c r="H96" s="128">
        <v>1.33</v>
      </c>
      <c r="I96" s="128">
        <v>1.34</v>
      </c>
      <c r="J96" s="128">
        <v>1.38</v>
      </c>
      <c r="K96" s="128">
        <v>1.38</v>
      </c>
      <c r="L96" s="201"/>
      <c r="M96" s="201"/>
      <c r="N96" s="190"/>
    </row>
    <row r="97" spans="2:14">
      <c r="B97" s="878"/>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878" t="s">
        <v>10</v>
      </c>
      <c r="C98" s="186" t="s">
        <v>443</v>
      </c>
      <c r="D98" s="128">
        <v>1.21</v>
      </c>
      <c r="E98" s="128">
        <v>1.22</v>
      </c>
      <c r="F98" s="128">
        <v>1.23</v>
      </c>
      <c r="G98" s="128">
        <v>1.23</v>
      </c>
      <c r="H98" s="128">
        <v>1.2</v>
      </c>
      <c r="I98" s="128">
        <v>1.23</v>
      </c>
      <c r="J98" s="128">
        <v>1.22</v>
      </c>
      <c r="K98" s="128">
        <v>1.22</v>
      </c>
      <c r="L98" s="201"/>
      <c r="M98" s="201"/>
      <c r="N98" s="190"/>
    </row>
    <row r="99" spans="2:14">
      <c r="B99" s="878"/>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878" t="s">
        <v>11</v>
      </c>
      <c r="C100" s="186" t="s">
        <v>443</v>
      </c>
      <c r="D100" s="128">
        <v>1.64</v>
      </c>
      <c r="E100" s="128">
        <v>1.65</v>
      </c>
      <c r="F100" s="128">
        <v>1.66</v>
      </c>
      <c r="G100" s="128">
        <v>1.68</v>
      </c>
      <c r="H100" s="128">
        <v>1.7</v>
      </c>
      <c r="I100" s="128">
        <v>1.83</v>
      </c>
      <c r="J100" s="128">
        <v>1.85</v>
      </c>
      <c r="K100" s="128">
        <v>1.85</v>
      </c>
      <c r="L100" s="201"/>
      <c r="M100" s="201"/>
      <c r="N100" s="190"/>
    </row>
    <row r="101" spans="2:14">
      <c r="B101" s="878"/>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8"/>
      <c r="C110" s="348" t="s">
        <v>778</v>
      </c>
      <c r="E110" s="187"/>
    </row>
    <row r="111" spans="2:14">
      <c r="B111" s="111" t="s">
        <v>26</v>
      </c>
      <c r="C111" s="225">
        <f>Demands!B172+Demands!C172</f>
        <v>4065479</v>
      </c>
      <c r="E111" s="187"/>
    </row>
    <row r="112" spans="2:14">
      <c r="B112" s="111" t="s">
        <v>34</v>
      </c>
      <c r="C112" s="225">
        <f>Demands!B173+Demands!C173</f>
        <v>317186237</v>
      </c>
      <c r="E112" s="187"/>
    </row>
    <row r="113" spans="2:5">
      <c r="B113" s="238" t="s">
        <v>779</v>
      </c>
      <c r="C113" s="349">
        <f>C112/C111</f>
        <v>78.019401157895544</v>
      </c>
      <c r="E113" s="187"/>
    </row>
    <row r="114" spans="2:5">
      <c r="B114" s="240" t="s">
        <v>584</v>
      </c>
      <c r="C114" s="240"/>
      <c r="E114" s="187"/>
    </row>
  </sheetData>
  <mergeCells count="4">
    <mergeCell ref="B96:B97"/>
    <mergeCell ref="B98:B99"/>
    <mergeCell ref="B100:B101"/>
    <mergeCell ref="B3:E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706"/>
  <sheetViews>
    <sheetView zoomScale="80" zoomScaleNormal="80" workbookViewId="0">
      <selection activeCell="B706" sqref="B706"/>
    </sheetView>
  </sheetViews>
  <sheetFormatPr defaultRowHeight="14.4"/>
  <cols>
    <col min="1" max="1" width="9.109375" style="548"/>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548"/>
      <c r="B5" s="201" t="str">
        <f>Processes!D6</f>
        <v>T-WLK_WLK</v>
      </c>
      <c r="C5" s="201" t="s">
        <v>925</v>
      </c>
      <c r="D5" s="201" t="s">
        <v>817</v>
      </c>
      <c r="E5" s="850">
        <v>1500</v>
      </c>
      <c r="F5" s="850">
        <v>1500</v>
      </c>
      <c r="G5" s="850">
        <v>1500</v>
      </c>
      <c r="H5" s="850">
        <v>1500</v>
      </c>
      <c r="I5" s="850">
        <v>1500</v>
      </c>
      <c r="J5" s="850">
        <v>1500</v>
      </c>
      <c r="K5" s="850">
        <v>1500</v>
      </c>
      <c r="L5" s="850">
        <v>1500</v>
      </c>
      <c r="M5" s="850">
        <v>1500</v>
      </c>
      <c r="N5" s="850">
        <v>1500</v>
      </c>
      <c r="O5" s="850">
        <v>1500</v>
      </c>
      <c r="P5" s="850">
        <v>1500</v>
      </c>
      <c r="Q5" s="850">
        <v>1500</v>
      </c>
      <c r="R5" s="850">
        <v>1500</v>
      </c>
      <c r="S5" s="850">
        <v>1500</v>
      </c>
      <c r="T5" s="850">
        <v>1500</v>
      </c>
      <c r="U5" s="850">
        <v>1500</v>
      </c>
      <c r="V5" s="850">
        <v>1500</v>
      </c>
      <c r="W5" s="850">
        <v>1500</v>
      </c>
      <c r="X5" s="850">
        <v>1500</v>
      </c>
      <c r="Y5" s="850">
        <v>1500</v>
      </c>
      <c r="Z5" s="850">
        <v>1500</v>
      </c>
      <c r="AA5" s="850">
        <v>1500</v>
      </c>
      <c r="AB5" s="850">
        <v>1500</v>
      </c>
      <c r="AC5" s="850">
        <v>1500</v>
      </c>
      <c r="AD5" s="850">
        <v>1500</v>
      </c>
      <c r="AE5" s="850">
        <v>1500</v>
      </c>
    </row>
    <row r="6" spans="1:32" s="201" customFormat="1">
      <c r="A6" s="548"/>
      <c r="B6" s="201" t="str">
        <f>Processes!D7</f>
        <v>T-CYC_CYC</v>
      </c>
      <c r="C6" s="201" t="s">
        <v>925</v>
      </c>
      <c r="D6" s="201" t="s">
        <v>817</v>
      </c>
      <c r="E6" s="850">
        <v>1500</v>
      </c>
      <c r="F6" s="850">
        <v>1500</v>
      </c>
      <c r="G6" s="850">
        <v>1500</v>
      </c>
      <c r="H6" s="850">
        <v>1500</v>
      </c>
      <c r="I6" s="850">
        <v>1500</v>
      </c>
      <c r="J6" s="850">
        <v>1500</v>
      </c>
      <c r="K6" s="850">
        <v>1500</v>
      </c>
      <c r="L6" s="850">
        <v>1500</v>
      </c>
      <c r="M6" s="850">
        <v>1500</v>
      </c>
      <c r="N6" s="850">
        <v>1500</v>
      </c>
      <c r="O6" s="850">
        <v>1500</v>
      </c>
      <c r="P6" s="850">
        <v>1500</v>
      </c>
      <c r="Q6" s="850">
        <v>1500</v>
      </c>
      <c r="R6" s="850">
        <v>1500</v>
      </c>
      <c r="S6" s="850">
        <v>1500</v>
      </c>
      <c r="T6" s="850">
        <v>1500</v>
      </c>
      <c r="U6" s="850">
        <v>1500</v>
      </c>
      <c r="V6" s="850">
        <v>1500</v>
      </c>
      <c r="W6" s="850">
        <v>1500</v>
      </c>
      <c r="X6" s="850">
        <v>1500</v>
      </c>
      <c r="Y6" s="850">
        <v>1500</v>
      </c>
      <c r="Z6" s="850">
        <v>1500</v>
      </c>
      <c r="AA6" s="850">
        <v>1500</v>
      </c>
      <c r="AB6" s="850">
        <v>1500</v>
      </c>
      <c r="AC6" s="850">
        <v>1500</v>
      </c>
      <c r="AD6" s="850">
        <v>1500</v>
      </c>
      <c r="AE6" s="850">
        <v>1500</v>
      </c>
    </row>
    <row r="7" spans="1:32">
      <c r="B7" s="190" t="str">
        <f>Processes!D9</f>
        <v>T-MOT-ICE_GSL00</v>
      </c>
      <c r="C7" s="201" t="s">
        <v>925</v>
      </c>
      <c r="D7" t="s">
        <v>817</v>
      </c>
      <c r="E7" s="850">
        <v>587.97955123032</v>
      </c>
      <c r="F7" s="850">
        <v>587.97955123032</v>
      </c>
      <c r="G7" s="850">
        <v>587.97955123032</v>
      </c>
      <c r="H7" s="850">
        <v>587.97955123032</v>
      </c>
      <c r="I7" s="850">
        <v>587.97955123032</v>
      </c>
      <c r="J7" s="850">
        <v>587.97955123032</v>
      </c>
      <c r="K7" s="850">
        <v>587.97955123032</v>
      </c>
      <c r="L7" s="850">
        <v>587.97955123032</v>
      </c>
      <c r="M7" s="850">
        <v>587.97955123032</v>
      </c>
      <c r="N7" s="850">
        <v>587.97955123032</v>
      </c>
      <c r="O7" s="850">
        <v>587.97955123032</v>
      </c>
      <c r="P7" s="850">
        <v>587.97955123032</v>
      </c>
      <c r="Q7" s="850">
        <v>587.97955123032</v>
      </c>
      <c r="R7" s="850">
        <v>587.97955123032</v>
      </c>
      <c r="S7" s="850">
        <v>587.97955123032</v>
      </c>
      <c r="T7" s="850">
        <v>587.97955123032</v>
      </c>
      <c r="U7" s="850">
        <v>587.97955123032</v>
      </c>
      <c r="V7" s="850">
        <v>587.97955123032</v>
      </c>
      <c r="W7" s="850">
        <v>587.97955123032</v>
      </c>
      <c r="X7" s="850">
        <v>587.97955123032</v>
      </c>
      <c r="Y7" s="850">
        <v>587.97955123032</v>
      </c>
      <c r="Z7" s="850">
        <v>587.97955123032</v>
      </c>
      <c r="AA7" s="850">
        <v>587.97955123032</v>
      </c>
      <c r="AB7" s="850">
        <v>587.97955123032</v>
      </c>
      <c r="AC7" s="850">
        <v>587.97955123032</v>
      </c>
      <c r="AD7" s="850">
        <v>587.97955123032</v>
      </c>
      <c r="AE7" s="850">
        <v>587.97955123032</v>
      </c>
      <c r="AF7" s="190"/>
    </row>
    <row r="8" spans="1:32">
      <c r="B8" t="str">
        <f>Processes!D11</f>
        <v>T-CAR-ICE_GSL00</v>
      </c>
      <c r="C8" s="201" t="s">
        <v>925</v>
      </c>
      <c r="D8" s="201" t="s">
        <v>817</v>
      </c>
      <c r="E8" s="118">
        <f>D137/(1+'On-Road Fac.'!$D$5)</f>
        <v>405.14416823643177</v>
      </c>
      <c r="F8" s="118">
        <f>E137/(1+'On-Road Fac.'!$D$5)</f>
        <v>405.70409228380652</v>
      </c>
      <c r="G8" s="118">
        <f>F137/(1+'On-Road Fac.'!$D$5)</f>
        <v>403.99737632467736</v>
      </c>
      <c r="H8" s="118">
        <f>G137/(1+'On-Road Fac.'!$D$5)</f>
        <v>405.71807180728723</v>
      </c>
      <c r="I8" s="118">
        <f>H137/(1+'On-Road Fac.'!$D$5)</f>
        <v>406.70346127162156</v>
      </c>
      <c r="J8" s="118">
        <f>I137/(1+'On-Road Fac.'!$D$5)</f>
        <v>406.03167524263552</v>
      </c>
      <c r="K8" s="118">
        <f>J137/(1+'On-Road Fac.'!$D$5)</f>
        <v>406.23967204072534</v>
      </c>
      <c r="L8" s="118">
        <f>K137/(1+'On-Road Fac.'!$D$5)</f>
        <v>408.86919176091578</v>
      </c>
      <c r="M8" s="118">
        <f>L137/(1+'On-Road Fac.'!$D$5)</f>
        <v>405.16014683437373</v>
      </c>
      <c r="N8" s="118">
        <f>M137/(1+'On-Road Fac.'!$D$5)</f>
        <v>406.54432148718843</v>
      </c>
      <c r="O8" s="118">
        <f>N137/(1+'On-Road Fac.'!$D$5)</f>
        <v>406.43409321723107</v>
      </c>
      <c r="P8" s="118">
        <f>O137/(1+'On-Road Fac.'!$D$5)</f>
        <v>407.18634837372315</v>
      </c>
      <c r="Q8" s="118">
        <f>P137/(1+'On-Road Fac.'!$D$5)</f>
        <v>404.64931332480404</v>
      </c>
      <c r="R8" s="118">
        <f>Q137/(1+'On-Road Fac.'!$D$5)</f>
        <v>404.68959503037689</v>
      </c>
      <c r="S8" s="118">
        <f>R137/(1+'On-Road Fac.'!$D$5)</f>
        <v>405.50611545573889</v>
      </c>
      <c r="T8" s="118">
        <f>S137/(1+'On-Road Fac.'!$D$5)</f>
        <v>404.13646501906982</v>
      </c>
      <c r="U8" s="118">
        <f>T137/(1+'On-Road Fac.'!$D$5)</f>
        <v>405.25112002626832</v>
      </c>
      <c r="V8" s="118">
        <f>U137/(1+'On-Road Fac.'!$D$5)</f>
        <v>405.68782696320199</v>
      </c>
      <c r="W8" s="118">
        <f>V137/(1+'On-Road Fac.'!$D$5)</f>
        <v>407.49457262163605</v>
      </c>
      <c r="X8" s="118">
        <f>W137/(1+'On-Road Fac.'!$D$5)</f>
        <v>403.65614016220536</v>
      </c>
      <c r="Y8" s="118">
        <f>X137/(1+'On-Road Fac.'!$D$5)</f>
        <v>406.52118602942761</v>
      </c>
      <c r="Z8" s="118">
        <f>Y137/(1+'On-Road Fac.'!$D$5)</f>
        <v>404.49540240841583</v>
      </c>
      <c r="AA8" s="118">
        <f>Z137/(1+'On-Road Fac.'!$D$5)</f>
        <v>409.87826316569948</v>
      </c>
      <c r="AB8" s="118">
        <f>AA137/(1+'On-Road Fac.'!$D$5)</f>
        <v>406.11443447575624</v>
      </c>
      <c r="AC8" s="118">
        <f>AB137/(1+'On-Road Fac.'!$D$5)</f>
        <v>406.09598546341471</v>
      </c>
      <c r="AD8" s="118">
        <f>AC137/(1+'On-Road Fac.'!$D$5)</f>
        <v>406.05450988523148</v>
      </c>
      <c r="AE8" s="118">
        <f>AD137/(1+'On-Road Fac.'!$D$5)</f>
        <v>405.88150665853289</v>
      </c>
      <c r="AF8" s="190"/>
    </row>
    <row r="9" spans="1:32">
      <c r="B9" s="190" t="str">
        <f>Processes!D12</f>
        <v>T-CAR-ICE_DST00</v>
      </c>
      <c r="C9" s="201" t="s">
        <v>925</v>
      </c>
      <c r="D9" s="201" t="s">
        <v>817</v>
      </c>
      <c r="E9" s="118">
        <f>D183/(1+'On-Road Fac.'!$D$5)</f>
        <v>435.28116997420369</v>
      </c>
      <c r="F9" s="118">
        <f>E183/(1+'On-Road Fac.'!$D$5)</f>
        <v>435.68137731760913</v>
      </c>
      <c r="G9" s="118">
        <f>F183/(1+'On-Road Fac.'!$D$5)</f>
        <v>431.12990634064664</v>
      </c>
      <c r="H9" s="118">
        <f>G183/(1+'On-Road Fac.'!$D$5)</f>
        <v>434.87246828918546</v>
      </c>
      <c r="I9" s="118">
        <f>H183/(1+'On-Road Fac.'!$D$5)</f>
        <v>437.46197204127674</v>
      </c>
      <c r="J9" s="118">
        <f>I183/(1+'On-Road Fac.'!$D$5)</f>
        <v>436.82533897248464</v>
      </c>
      <c r="K9" s="118">
        <f>J183/(1+'On-Road Fac.'!$D$5)</f>
        <v>433.37570366548664</v>
      </c>
      <c r="L9" s="118">
        <f>K183/(1+'On-Road Fac.'!$D$5)</f>
        <v>438.58680667037055</v>
      </c>
      <c r="M9" s="118">
        <f>L183/(1+'On-Road Fac.'!$D$5)</f>
        <v>435.12327110464662</v>
      </c>
      <c r="N9" s="118">
        <f>M183/(1+'On-Road Fac.'!$D$5)</f>
        <v>438.36058585439019</v>
      </c>
      <c r="O9" s="118">
        <f>N183/(1+'On-Road Fac.'!$D$5)</f>
        <v>436.4502404464435</v>
      </c>
      <c r="P9" s="118">
        <f>O183/(1+'On-Road Fac.'!$D$5)</f>
        <v>438.15831884500614</v>
      </c>
      <c r="Q9" s="118">
        <f>P183/(1+'On-Road Fac.'!$D$5)</f>
        <v>432.56072360069282</v>
      </c>
      <c r="R9" s="118">
        <f>Q183/(1+'On-Road Fac.'!$D$5)</f>
        <v>438.24439164293227</v>
      </c>
      <c r="S9" s="118">
        <f>R183/(1+'On-Road Fac.'!$D$5)</f>
        <v>437.29970570673368</v>
      </c>
      <c r="T9" s="118">
        <f>S183/(1+'On-Road Fac.'!$D$5)</f>
        <v>436.47964644940635</v>
      </c>
      <c r="U9" s="118">
        <f>T183/(1+'On-Road Fac.'!$D$5)</f>
        <v>437.18279984087201</v>
      </c>
      <c r="V9" s="118">
        <f>U183/(1+'On-Road Fac.'!$D$5)</f>
        <v>436.52053494368209</v>
      </c>
      <c r="W9" s="118">
        <f>V183/(1+'On-Road Fac.'!$D$5)</f>
        <v>437.59518745048291</v>
      </c>
      <c r="X9" s="118">
        <f>W183/(1+'On-Road Fac.'!$D$5)</f>
        <v>433.97310412994631</v>
      </c>
      <c r="Y9" s="118">
        <f>X183/(1+'On-Road Fac.'!$D$5)</f>
        <v>435.05960814351897</v>
      </c>
      <c r="Z9" s="118">
        <f>Y183/(1+'On-Road Fac.'!$D$5)</f>
        <v>434.39110178668426</v>
      </c>
      <c r="AA9" s="118">
        <f>Z183/(1+'On-Road Fac.'!$D$5)</f>
        <v>439.50150370213777</v>
      </c>
      <c r="AB9" s="118">
        <f>AA183/(1+'On-Road Fac.'!$D$5)</f>
        <v>434.76610783253608</v>
      </c>
      <c r="AC9" s="118">
        <f>AB183/(1+'On-Road Fac.'!$D$5)</f>
        <v>436.5175781866111</v>
      </c>
      <c r="AD9" s="118">
        <f>AC183/(1+'On-Road Fac.'!$D$5)</f>
        <v>437.12376857346396</v>
      </c>
      <c r="AE9" s="118">
        <f>AD183/(1+'On-Road Fac.'!$D$5)</f>
        <v>434.68775899154275</v>
      </c>
      <c r="AF9" s="190"/>
    </row>
    <row r="10" spans="1:32">
      <c r="B10" s="190" t="str">
        <f>Processes!D13</f>
        <v>T-CAR-ICE_DF00</v>
      </c>
      <c r="C10" s="201" t="s">
        <v>925</v>
      </c>
      <c r="D10" s="201" t="s">
        <v>817</v>
      </c>
      <c r="E10" s="118">
        <f>D231/(1+'On-Road Fac.'!$D$5)</f>
        <v>346.42546952946822</v>
      </c>
      <c r="F10" s="118">
        <f>E231/(1+'On-Road Fac.'!$D$5)</f>
        <v>346.42546952946822</v>
      </c>
      <c r="G10" s="118">
        <f>F231/(1+'On-Road Fac.'!$D$5)</f>
        <v>356.92116208134138</v>
      </c>
      <c r="H10" s="118">
        <f>G231/(1+'On-Road Fac.'!$D$5)</f>
        <v>346.42546952946822</v>
      </c>
      <c r="I10" s="118">
        <f>H231/(1+'On-Road Fac.'!$D$5)</f>
        <v>346.42546952946822</v>
      </c>
      <c r="J10" s="118">
        <f>I231/(1+'On-Road Fac.'!$D$5)</f>
        <v>346.42546952946822</v>
      </c>
      <c r="K10" s="118">
        <f>J231/(1+'On-Road Fac.'!$D$5)</f>
        <v>313.6230093836574</v>
      </c>
      <c r="L10" s="118">
        <f>K231/(1+'On-Road Fac.'!$D$5)</f>
        <v>346.42546952946822</v>
      </c>
      <c r="M10" s="118">
        <f>L231/(1+'On-Road Fac.'!$D$5)</f>
        <v>316.324667374645</v>
      </c>
      <c r="N10" s="118">
        <f>M231/(1+'On-Road Fac.'!$D$5)</f>
        <v>328.31515728369328</v>
      </c>
      <c r="O10" s="118">
        <f>N231/(1+'On-Road Fac.'!$D$5)</f>
        <v>346.42546952946822</v>
      </c>
      <c r="P10" s="118">
        <f>O231/(1+'On-Road Fac.'!$D$5)</f>
        <v>306.83097781910516</v>
      </c>
      <c r="Q10" s="118">
        <f>P231/(1+'On-Road Fac.'!$D$5)</f>
        <v>364.82558929179396</v>
      </c>
      <c r="R10" s="118">
        <f>Q231/(1+'On-Road Fac.'!$D$5)</f>
        <v>346.42546952946822</v>
      </c>
      <c r="S10" s="118">
        <f>R231/(1+'On-Road Fac.'!$D$5)</f>
        <v>337.83519026083707</v>
      </c>
      <c r="T10" s="118">
        <f>S231/(1+'On-Road Fac.'!$D$5)</f>
        <v>354.24735781365808</v>
      </c>
      <c r="U10" s="118">
        <f>T231/(1+'On-Road Fac.'!$D$5)</f>
        <v>356.62771663978873</v>
      </c>
      <c r="V10" s="118">
        <f>U231/(1+'On-Road Fac.'!$D$5)</f>
        <v>346.42546952946822</v>
      </c>
      <c r="W10" s="118">
        <f>V231/(1+'On-Road Fac.'!$D$5)</f>
        <v>346.42546952946822</v>
      </c>
      <c r="X10" s="118">
        <f>W231/(1+'On-Road Fac.'!$D$5)</f>
        <v>345.12014220119158</v>
      </c>
      <c r="Y10" s="118">
        <f>X231/(1+'On-Road Fac.'!$D$5)</f>
        <v>346.42546952946822</v>
      </c>
      <c r="Z10" s="118">
        <f>Y231/(1+'On-Road Fac.'!$D$5)</f>
        <v>346.42546952946822</v>
      </c>
      <c r="AA10" s="118">
        <f>Z231/(1+'On-Road Fac.'!$D$5)</f>
        <v>346.42546952946822</v>
      </c>
      <c r="AB10" s="118">
        <f>AA231/(1+'On-Road Fac.'!$D$5)</f>
        <v>346.42546952946822</v>
      </c>
      <c r="AC10" s="118">
        <f>AB231/(1+'On-Road Fac.'!$D$5)</f>
        <v>346.42546952946822</v>
      </c>
      <c r="AD10" s="118">
        <f>AC231/(1+'On-Road Fac.'!$D$5)</f>
        <v>353.74970289794538</v>
      </c>
      <c r="AE10" s="118">
        <f>AD231/(1+'On-Road Fac.'!$D$5)</f>
        <v>346.42546952946822</v>
      </c>
      <c r="AF10" s="190"/>
    </row>
    <row r="11" spans="1:32">
      <c r="B11" s="190" t="str">
        <f>Processes!D14</f>
        <v>T-CAR-ICE_E8500</v>
      </c>
      <c r="C11" s="201" t="s">
        <v>925</v>
      </c>
      <c r="D11" s="201" t="s">
        <v>817</v>
      </c>
      <c r="E11" s="118">
        <f>D280/(1+'On-Road Fac.'!$D$5)</f>
        <v>414.96671483785497</v>
      </c>
      <c r="F11" s="118">
        <f>E280/(1+'On-Road Fac.'!$D$5)</f>
        <v>420.11336576060239</v>
      </c>
      <c r="G11" s="118">
        <f>F280/(1+'On-Road Fac.'!$D$5)</f>
        <v>409.91964243223504</v>
      </c>
      <c r="H11" s="118">
        <f>G280/(1+'On-Road Fac.'!$D$5)</f>
        <v>420.96104427040677</v>
      </c>
      <c r="I11" s="118">
        <f>H280/(1+'On-Road Fac.'!$D$5)</f>
        <v>419.47774256432695</v>
      </c>
      <c r="J11" s="118">
        <f>I280/(1+'On-Road Fac.'!$D$5)</f>
        <v>417.59928366979068</v>
      </c>
      <c r="K11" s="118">
        <f>J280/(1+'On-Road Fac.'!$D$5)</f>
        <v>416.06107672777193</v>
      </c>
      <c r="L11" s="118">
        <f>K280/(1+'On-Road Fac.'!$D$5)</f>
        <v>423.30918885696349</v>
      </c>
      <c r="M11" s="118">
        <f>L280/(1+'On-Road Fac.'!$D$5)</f>
        <v>405.0300595694253</v>
      </c>
      <c r="N11" s="118">
        <f>M280/(1+'On-Road Fac.'!$D$5)</f>
        <v>425.188165357532</v>
      </c>
      <c r="O11" s="118">
        <f>N280/(1+'On-Road Fac.'!$D$5)</f>
        <v>417.32291967721653</v>
      </c>
      <c r="P11" s="118">
        <f>O280/(1+'On-Road Fac.'!$D$5)</f>
        <v>426.66355626596567</v>
      </c>
      <c r="Q11" s="118">
        <f>P280/(1+'On-Road Fac.'!$D$5)</f>
        <v>424.49102044988729</v>
      </c>
      <c r="R11" s="118">
        <f>Q280/(1+'On-Road Fac.'!$D$5)</f>
        <v>417.70817686631074</v>
      </c>
      <c r="S11" s="118">
        <f>R280/(1+'On-Road Fac.'!$D$5)</f>
        <v>416.94826702277555</v>
      </c>
      <c r="T11" s="118">
        <f>S280/(1+'On-Road Fac.'!$D$5)</f>
        <v>411.38752524194899</v>
      </c>
      <c r="U11" s="118">
        <f>T280/(1+'On-Road Fac.'!$D$5)</f>
        <v>421.23501670793587</v>
      </c>
      <c r="V11" s="118">
        <f>U280/(1+'On-Road Fac.'!$D$5)</f>
        <v>425.49680158337799</v>
      </c>
      <c r="W11" s="118">
        <f>V280/(1+'On-Road Fac.'!$D$5)</f>
        <v>417.30399948813414</v>
      </c>
      <c r="X11" s="118">
        <f>W280/(1+'On-Road Fac.'!$D$5)</f>
        <v>406.60180735532811</v>
      </c>
      <c r="Y11" s="118">
        <f>X280/(1+'On-Road Fac.'!$D$5)</f>
        <v>420.16401988019129</v>
      </c>
      <c r="Z11" s="118">
        <f>Y280/(1+'On-Road Fac.'!$D$5)</f>
        <v>423.57869590041156</v>
      </c>
      <c r="AA11" s="118">
        <f>Z280/(1+'On-Road Fac.'!$D$5)</f>
        <v>421.49217568193484</v>
      </c>
      <c r="AB11" s="118">
        <f>AA280/(1+'On-Road Fac.'!$D$5)</f>
        <v>423.4521650766884</v>
      </c>
      <c r="AC11" s="118">
        <f>AB280/(1+'On-Road Fac.'!$D$5)</f>
        <v>426.19820514383485</v>
      </c>
      <c r="AD11" s="118">
        <f>AC280/(1+'On-Road Fac.'!$D$5)</f>
        <v>423.30288486897183</v>
      </c>
      <c r="AE11" s="118">
        <f>AD280/(1+'On-Road Fac.'!$D$5)</f>
        <v>422.30989715167726</v>
      </c>
      <c r="AF11" s="190"/>
    </row>
    <row r="12" spans="1:32">
      <c r="B12" s="190" t="str">
        <f>Processes!D15</f>
        <v>T-CAR-HEV_GSL00</v>
      </c>
      <c r="C12" s="201" t="s">
        <v>925</v>
      </c>
      <c r="D12" s="201" t="s">
        <v>817</v>
      </c>
      <c r="E12" s="118">
        <f>D328/(1+'On-Road Fac.'!$D$5)</f>
        <v>487.30496436285102</v>
      </c>
      <c r="F12" s="118">
        <f>E328/(1+'On-Road Fac.'!$D$5)</f>
        <v>487.99562401870338</v>
      </c>
      <c r="G12" s="118">
        <f>F328/(1+'On-Road Fac.'!$D$5)</f>
        <v>488.36951409300991</v>
      </c>
      <c r="H12" s="118">
        <f>G328/(1+'On-Road Fac.'!$D$5)</f>
        <v>489.06911069650101</v>
      </c>
      <c r="I12" s="118">
        <f>H328/(1+'On-Road Fac.'!$D$5)</f>
        <v>489.69692593099558</v>
      </c>
      <c r="J12" s="118">
        <f>I328/(1+'On-Road Fac.'!$D$5)</f>
        <v>493.02699501969931</v>
      </c>
      <c r="K12" s="118">
        <f>J328/(1+'On-Road Fac.'!$D$5)</f>
        <v>491.13557900150994</v>
      </c>
      <c r="L12" s="118">
        <f>K328/(1+'On-Road Fac.'!$D$5)</f>
        <v>487.62642343137918</v>
      </c>
      <c r="M12" s="118">
        <f>L328/(1+'On-Road Fac.'!$D$5)</f>
        <v>485.77879797556989</v>
      </c>
      <c r="N12" s="118">
        <f>M328/(1+'On-Road Fac.'!$D$5)</f>
        <v>488.95606334996853</v>
      </c>
      <c r="O12" s="118">
        <f>N328/(1+'On-Road Fac.'!$D$5)</f>
        <v>491.05534179848866</v>
      </c>
      <c r="P12" s="118">
        <f>O328/(1+'On-Road Fac.'!$D$5)</f>
        <v>491.36195028476715</v>
      </c>
      <c r="Q12" s="118">
        <f>P328/(1+'On-Road Fac.'!$D$5)</f>
        <v>492.35360153427888</v>
      </c>
      <c r="R12" s="118">
        <f>Q328/(1+'On-Road Fac.'!$D$5)</f>
        <v>490.49628079603173</v>
      </c>
      <c r="S12" s="118">
        <f>R328/(1+'On-Road Fac.'!$D$5)</f>
        <v>484.36770438577958</v>
      </c>
      <c r="T12" s="118">
        <f>S328/(1+'On-Road Fac.'!$D$5)</f>
        <v>483.75049699227822</v>
      </c>
      <c r="U12" s="118">
        <f>T328/(1+'On-Road Fac.'!$D$5)</f>
        <v>489.46087811192785</v>
      </c>
      <c r="V12" s="118">
        <f>U328/(1+'On-Road Fac.'!$D$5)</f>
        <v>496.26614882546056</v>
      </c>
      <c r="W12" s="118">
        <f>V328/(1+'On-Road Fac.'!$D$5)</f>
        <v>490.96836957192193</v>
      </c>
      <c r="X12" s="118">
        <f>W328/(1+'On-Road Fac.'!$D$5)</f>
        <v>486.03086546286454</v>
      </c>
      <c r="Y12" s="118">
        <f>X328/(1+'On-Road Fac.'!$D$5)</f>
        <v>495.32292590930382</v>
      </c>
      <c r="Z12" s="118">
        <f>Y328/(1+'On-Road Fac.'!$D$5)</f>
        <v>493.17287658406769</v>
      </c>
      <c r="AA12" s="118">
        <f>Z328/(1+'On-Road Fac.'!$D$5)</f>
        <v>491.60419704579755</v>
      </c>
      <c r="AB12" s="118">
        <f>AA328/(1+'On-Road Fac.'!$D$5)</f>
        <v>484.3269036120314</v>
      </c>
      <c r="AC12" s="118">
        <f>AB328/(1+'On-Road Fac.'!$D$5)</f>
        <v>488.56276999543934</v>
      </c>
      <c r="AD12" s="118">
        <f>AC328/(1+'On-Road Fac.'!$D$5)</f>
        <v>491.4628871340156</v>
      </c>
      <c r="AE12" s="118">
        <f>AD328/(1+'On-Road Fac.'!$D$5)</f>
        <v>486.85490241710806</v>
      </c>
      <c r="AF12" s="190"/>
    </row>
    <row r="13" spans="1:32" s="201" customFormat="1">
      <c r="A13" s="548"/>
      <c r="B13" s="201" t="str">
        <f>Processes!D16</f>
        <v>T-CAR-HEV_DST00</v>
      </c>
      <c r="C13" s="201" t="s">
        <v>925</v>
      </c>
      <c r="D13" s="201" t="s">
        <v>817</v>
      </c>
      <c r="E13" s="118">
        <f>D376/(1+'On-Road Fac.'!$D$5)</f>
        <v>492.55495178372917</v>
      </c>
      <c r="F13" s="118">
        <f>E376/(1+'On-Road Fac.'!$D$5)</f>
        <v>491.80710230897688</v>
      </c>
      <c r="G13" s="118">
        <f>F376/(1+'On-Road Fac.'!$D$5)</f>
        <v>492.42630105027416</v>
      </c>
      <c r="H13" s="118">
        <f>G376/(1+'On-Road Fac.'!$D$5)</f>
        <v>499.37028520156093</v>
      </c>
      <c r="I13" s="118">
        <f>H376/(1+'On-Road Fac.'!$D$5)</f>
        <v>494.91148459495184</v>
      </c>
      <c r="J13" s="118">
        <f>I376/(1+'On-Road Fac.'!$D$5)</f>
        <v>490.53491018804414</v>
      </c>
      <c r="K13" s="118">
        <f>J376/(1+'On-Road Fac.'!$D$5)</f>
        <v>484.68400082583696</v>
      </c>
      <c r="L13" s="118">
        <f>K376/(1+'On-Road Fac.'!$D$5)</f>
        <v>490.53491018804414</v>
      </c>
      <c r="M13" s="118">
        <f>L376/(1+'On-Road Fac.'!$D$5)</f>
        <v>487.14226526289264</v>
      </c>
      <c r="N13" s="118">
        <f>M376/(1+'On-Road Fac.'!$D$5)</f>
        <v>481.81057637269379</v>
      </c>
      <c r="O13" s="118">
        <f>N376/(1+'On-Road Fac.'!$D$5)</f>
        <v>502.73163071559514</v>
      </c>
      <c r="P13" s="118">
        <f>O376/(1+'On-Road Fac.'!$D$5)</f>
        <v>495.01664079990093</v>
      </c>
      <c r="Q13" s="118">
        <f>P376/(1+'On-Road Fac.'!$D$5)</f>
        <v>485.87716185167784</v>
      </c>
      <c r="R13" s="118">
        <f>Q376/(1+'On-Road Fac.'!$D$5)</f>
        <v>498.16765610214054</v>
      </c>
      <c r="S13" s="118">
        <f>R376/(1+'On-Road Fac.'!$D$5)</f>
        <v>496.74252871240014</v>
      </c>
      <c r="T13" s="118">
        <f>S376/(1+'On-Road Fac.'!$D$5)</f>
        <v>486.13360389957603</v>
      </c>
      <c r="U13" s="118">
        <f>T376/(1+'On-Road Fac.'!$D$5)</f>
        <v>481.81057637269379</v>
      </c>
      <c r="V13" s="118">
        <f>U376/(1+'On-Road Fac.'!$D$5)</f>
        <v>499.58102043092367</v>
      </c>
      <c r="W13" s="118">
        <f>V376/(1+'On-Road Fac.'!$D$5)</f>
        <v>498.16765610214054</v>
      </c>
      <c r="X13" s="118">
        <f>W376/(1+'On-Road Fac.'!$D$5)</f>
        <v>490.31836414710631</v>
      </c>
      <c r="Y13" s="118">
        <f>X376/(1+'On-Road Fac.'!$D$5)</f>
        <v>486.13360389957603</v>
      </c>
      <c r="Z13" s="118">
        <f>Y376/(1+'On-Road Fac.'!$D$5)</f>
        <v>481.81057637269379</v>
      </c>
      <c r="AA13" s="118">
        <f>Z376/(1+'On-Road Fac.'!$D$5)</f>
        <v>501.26173443444543</v>
      </c>
      <c r="AB13" s="118">
        <f>AA376/(1+'On-Road Fac.'!$D$5)</f>
        <v>506.23776711077056</v>
      </c>
      <c r="AC13" s="118">
        <f>AB376/(1+'On-Road Fac.'!$D$5)</f>
        <v>502.80620391542016</v>
      </c>
      <c r="AD13" s="118">
        <f>AC376/(1+'On-Road Fac.'!$D$5)</f>
        <v>530.18844807257176</v>
      </c>
      <c r="AE13" s="118">
        <f>AD376/(1+'On-Road Fac.'!$D$5)</f>
        <v>492.88355138112877</v>
      </c>
    </row>
    <row r="14" spans="1:32">
      <c r="B14" s="190" t="str">
        <f>Processes!D17</f>
        <v>T-CAR-PHEV_GSL00</v>
      </c>
      <c r="C14" s="201" t="s">
        <v>925</v>
      </c>
      <c r="D14" s="201" t="s">
        <v>817</v>
      </c>
      <c r="E14" s="118">
        <f>D424/(1+'On-Road Fac.'!$D$5)</f>
        <v>640.60354142073538</v>
      </c>
      <c r="F14" s="118">
        <f>E424/(1+'On-Road Fac.'!$D$5)</f>
        <v>654.05503233315869</v>
      </c>
      <c r="G14" s="118">
        <f>F424/(1+'On-Road Fac.'!$D$5)</f>
        <v>640.31103474022063</v>
      </c>
      <c r="H14" s="118">
        <f>G424/(1+'On-Road Fac.'!$D$5)</f>
        <v>648.65711401387512</v>
      </c>
      <c r="I14" s="118">
        <f>H424/(1+'On-Road Fac.'!$D$5)</f>
        <v>639.99952548680687</v>
      </c>
      <c r="J14" s="118">
        <f>I424/(1+'On-Road Fac.'!$D$5)</f>
        <v>637.65878122195852</v>
      </c>
      <c r="K14" s="118">
        <f>J424/(1+'On-Road Fac.'!$D$5)</f>
        <v>646.37011378027864</v>
      </c>
      <c r="L14" s="118">
        <f>K424/(1+'On-Road Fac.'!$D$5)</f>
        <v>639.98747171686466</v>
      </c>
      <c r="M14" s="118">
        <f>L424/(1+'On-Road Fac.'!$D$5)</f>
        <v>651.04243378966828</v>
      </c>
      <c r="N14" s="118">
        <f>M424/(1+'On-Road Fac.'!$D$5)</f>
        <v>640.51115306502049</v>
      </c>
      <c r="O14" s="118">
        <f>N424/(1+'On-Road Fac.'!$D$5)</f>
        <v>644.11792050716372</v>
      </c>
      <c r="P14" s="118">
        <f>O424/(1+'On-Road Fac.'!$D$5)</f>
        <v>640.31896921064845</v>
      </c>
      <c r="Q14" s="118">
        <f>P424/(1+'On-Road Fac.'!$D$5)</f>
        <v>643.94305629598136</v>
      </c>
      <c r="R14" s="118">
        <f>Q424/(1+'On-Road Fac.'!$D$5)</f>
        <v>641.87230901974567</v>
      </c>
      <c r="S14" s="118">
        <f>R424/(1+'On-Road Fac.'!$D$5)</f>
        <v>643.37906895714036</v>
      </c>
      <c r="T14" s="118">
        <f>S424/(1+'On-Road Fac.'!$D$5)</f>
        <v>640.41681864806651</v>
      </c>
      <c r="U14" s="118">
        <f>T424/(1+'On-Road Fac.'!$D$5)</f>
        <v>618.79182575597702</v>
      </c>
      <c r="V14" s="118">
        <f>U424/(1+'On-Road Fac.'!$D$5)</f>
        <v>647.43698974812582</v>
      </c>
      <c r="W14" s="118">
        <f>V424/(1+'On-Road Fac.'!$D$5)</f>
        <v>637.79128837026428</v>
      </c>
      <c r="X14" s="118">
        <f>W424/(1+'On-Road Fac.'!$D$5)</f>
        <v>638.90122612710081</v>
      </c>
      <c r="Y14" s="118">
        <f>X424/(1+'On-Road Fac.'!$D$5)</f>
        <v>655.52562122766005</v>
      </c>
      <c r="Z14" s="118">
        <f>Y424/(1+'On-Road Fac.'!$D$5)</f>
        <v>642.78551006016028</v>
      </c>
      <c r="AA14" s="118">
        <f>Z424/(1+'On-Road Fac.'!$D$5)</f>
        <v>642.11242532421966</v>
      </c>
      <c r="AB14" s="118">
        <f>AA424/(1+'On-Road Fac.'!$D$5)</f>
        <v>637.02485587260264</v>
      </c>
      <c r="AC14" s="118">
        <f>AB424/(1+'On-Road Fac.'!$D$5)</f>
        <v>643.76335765913041</v>
      </c>
      <c r="AD14" s="118">
        <f>AC424/(1+'On-Road Fac.'!$D$5)</f>
        <v>646.65762676027111</v>
      </c>
      <c r="AE14" s="118">
        <f>AD424/(1+'On-Road Fac.'!$D$5)</f>
        <v>641.21298281229565</v>
      </c>
      <c r="AF14" s="190"/>
    </row>
    <row r="15" spans="1:32">
      <c r="B15" s="190" t="str">
        <f>Processes!D18</f>
        <v>T-CAR-PHEV_DST00</v>
      </c>
      <c r="C15" s="201" t="s">
        <v>925</v>
      </c>
      <c r="D15" s="201" t="s">
        <v>817</v>
      </c>
      <c r="E15" s="118">
        <f>D472/(1+'On-Road Fac.'!$D$5)</f>
        <v>632.48823783251896</v>
      </c>
      <c r="F15" s="118">
        <f>E472/(1+'On-Road Fac.'!$D$5)</f>
        <v>346.42546952946822</v>
      </c>
      <c r="G15" s="118">
        <f>F472/(1+'On-Road Fac.'!$D$5)</f>
        <v>637.34452209736469</v>
      </c>
      <c r="H15" s="118">
        <f>G472/(1+'On-Road Fac.'!$D$5)</f>
        <v>628.72419405943629</v>
      </c>
      <c r="I15" s="118">
        <f>H472/(1+'On-Road Fac.'!$D$5)</f>
        <v>346.42546952946822</v>
      </c>
      <c r="J15" s="118">
        <f>I472/(1+'On-Road Fac.'!$D$5)</f>
        <v>346.42546952946822</v>
      </c>
      <c r="K15" s="118">
        <f>J472/(1+'On-Road Fac.'!$D$5)</f>
        <v>346.42546952946822</v>
      </c>
      <c r="L15" s="118">
        <f>K472/(1+'On-Road Fac.'!$D$5)</f>
        <v>346.42546952946822</v>
      </c>
      <c r="M15" s="118">
        <f>L472/(1+'On-Road Fac.'!$D$5)</f>
        <v>346.42546952946822</v>
      </c>
      <c r="N15" s="118">
        <f>M472/(1+'On-Road Fac.'!$D$5)</f>
        <v>346.42546952946822</v>
      </c>
      <c r="O15" s="118">
        <f>N472/(1+'On-Road Fac.'!$D$5)</f>
        <v>346.42546952946822</v>
      </c>
      <c r="P15" s="118">
        <f>O472/(1+'On-Road Fac.'!$D$5)</f>
        <v>346.42546952946822</v>
      </c>
      <c r="Q15" s="118">
        <f>P472/(1+'On-Road Fac.'!$D$5)</f>
        <v>346.42546952946822</v>
      </c>
      <c r="R15" s="118">
        <f>Q472/(1+'On-Road Fac.'!$D$5)</f>
        <v>628.72419405943629</v>
      </c>
      <c r="S15" s="118">
        <f>R472/(1+'On-Road Fac.'!$D$5)</f>
        <v>628.72419405943629</v>
      </c>
      <c r="T15" s="118">
        <f>S472/(1+'On-Road Fac.'!$D$5)</f>
        <v>346.42546952946822</v>
      </c>
      <c r="U15" s="118">
        <f>T472/(1+'On-Road Fac.'!$D$5)</f>
        <v>346.42546952946822</v>
      </c>
      <c r="V15" s="118">
        <f>U472/(1+'On-Road Fac.'!$D$5)</f>
        <v>346.42546952946822</v>
      </c>
      <c r="W15" s="118">
        <f>V472/(1+'On-Road Fac.'!$D$5)</f>
        <v>346.42546952946822</v>
      </c>
      <c r="X15" s="118">
        <f>W472/(1+'On-Road Fac.'!$D$5)</f>
        <v>346.42546952946822</v>
      </c>
      <c r="Y15" s="118">
        <f>X472/(1+'On-Road Fac.'!$D$5)</f>
        <v>346.42546952946822</v>
      </c>
      <c r="Z15" s="118">
        <f>Y472/(1+'On-Road Fac.'!$D$5)</f>
        <v>346.42546952946822</v>
      </c>
      <c r="AA15" s="118">
        <f>Z472/(1+'On-Road Fac.'!$D$5)</f>
        <v>346.42546952946822</v>
      </c>
      <c r="AB15" s="118">
        <f>AA472/(1+'On-Road Fac.'!$D$5)</f>
        <v>346.42546952946822</v>
      </c>
      <c r="AC15" s="118">
        <f>AB472/(1+'On-Road Fac.'!$D$5)</f>
        <v>346.42546952946822</v>
      </c>
      <c r="AD15" s="118">
        <f>AC472/(1+'On-Road Fac.'!$D$5)</f>
        <v>346.42546952946822</v>
      </c>
      <c r="AE15" s="118">
        <f>AD472/(1+'On-Road Fac.'!$D$5)</f>
        <v>346.42546952946822</v>
      </c>
      <c r="AF15" s="190"/>
    </row>
    <row r="16" spans="1:32">
      <c r="B16" s="190" t="str">
        <f>Processes!D19</f>
        <v>T-CAR-BEV_ELC00</v>
      </c>
      <c r="C16" s="201" t="s">
        <v>925</v>
      </c>
      <c r="D16" s="201" t="s">
        <v>817</v>
      </c>
      <c r="E16" s="118">
        <f>D520/(1+'On-Road Fac.'!$D$5)</f>
        <v>1173.2287821328744</v>
      </c>
      <c r="F16" s="118">
        <f>E520/(1+'On-Road Fac.'!$D$5)</f>
        <v>1231.9897183066071</v>
      </c>
      <c r="G16" s="118">
        <f>F520/(1+'On-Road Fac.'!$D$5)</f>
        <v>1172.1267841211363</v>
      </c>
      <c r="H16" s="118">
        <f>G520/(1+'On-Road Fac.'!$D$5)</f>
        <v>1167.3428558666337</v>
      </c>
      <c r="I16" s="118">
        <f>H520/(1+'On-Road Fac.'!$D$5)</f>
        <v>1152.635929071798</v>
      </c>
      <c r="J16" s="118">
        <f>I520/(1+'On-Road Fac.'!$D$5)</f>
        <v>1140.9696847248961</v>
      </c>
      <c r="K16" s="118">
        <f>J520/(1+'On-Road Fac.'!$D$5)</f>
        <v>1204.8628877531571</v>
      </c>
      <c r="L16" s="118">
        <f>K520/(1+'On-Road Fac.'!$D$5)</f>
        <v>1167.7575539058378</v>
      </c>
      <c r="M16" s="118">
        <f>L520/(1+'On-Road Fac.'!$D$5)</f>
        <v>1170.4169455809094</v>
      </c>
      <c r="N16" s="118">
        <f>M520/(1+'On-Road Fac.'!$D$5)</f>
        <v>1237.0464868469317</v>
      </c>
      <c r="O16" s="118">
        <f>N520/(1+'On-Road Fac.'!$D$5)</f>
        <v>1156.3382533854615</v>
      </c>
      <c r="P16" s="118">
        <f>O520/(1+'On-Road Fac.'!$D$5)</f>
        <v>1162.1703795208439</v>
      </c>
      <c r="Q16" s="118">
        <f>P520/(1+'On-Road Fac.'!$D$5)</f>
        <v>1169.7730450059598</v>
      </c>
      <c r="R16" s="118">
        <f>Q520/(1+'On-Road Fac.'!$D$5)</f>
        <v>1179.4477106438494</v>
      </c>
      <c r="S16" s="118">
        <f>R520/(1+'On-Road Fac.'!$D$5)</f>
        <v>1170.2244095064209</v>
      </c>
      <c r="T16" s="118">
        <f>S520/(1+'On-Road Fac.'!$D$5)</f>
        <v>1183.142465558836</v>
      </c>
      <c r="U16" s="118">
        <f>T520/(1+'On-Road Fac.'!$D$5)</f>
        <v>1160.8780175038391</v>
      </c>
      <c r="V16" s="118">
        <f>U520/(1+'On-Road Fac.'!$D$5)</f>
        <v>1172.3683314782265</v>
      </c>
      <c r="W16" s="118">
        <f>V520/(1+'On-Road Fac.'!$D$5)</f>
        <v>1184.1302265409483</v>
      </c>
      <c r="X16" s="118">
        <f>W520/(1+'On-Road Fac.'!$D$5)</f>
        <v>1169.4047507491546</v>
      </c>
      <c r="Y16" s="118">
        <f>X520/(1+'On-Road Fac.'!$D$5)</f>
        <v>1232.5893814443834</v>
      </c>
      <c r="Z16" s="118">
        <f>Y520/(1+'On-Road Fac.'!$D$5)</f>
        <v>1141.3875927280292</v>
      </c>
      <c r="AA16" s="118">
        <f>Z520/(1+'On-Road Fac.'!$D$5)</f>
        <v>1238.1337957445817</v>
      </c>
      <c r="AB16" s="118">
        <f>AA520/(1+'On-Road Fac.'!$D$5)</f>
        <v>1237.0464868469317</v>
      </c>
      <c r="AC16" s="118">
        <f>AB520/(1+'On-Road Fac.'!$D$5)</f>
        <v>1215.9942650500634</v>
      </c>
      <c r="AD16" s="118">
        <f>AC520/(1+'On-Road Fac.'!$D$5)</f>
        <v>1217.4455715077845</v>
      </c>
      <c r="AE16" s="118">
        <f>AD520/(1+'On-Road Fac.'!$D$5)</f>
        <v>1239.1526875019642</v>
      </c>
    </row>
    <row r="17" spans="1:31">
      <c r="B17" s="190" t="str">
        <f>Processes!D21</f>
        <v>T-TAX-ICE_GSL00</v>
      </c>
      <c r="C17" s="201" t="s">
        <v>925</v>
      </c>
      <c r="D17" s="201" t="s">
        <v>817</v>
      </c>
      <c r="E17" s="118">
        <f>D568/(1+'On-Road Fac.'!$D$5)</f>
        <v>380.16954306066924</v>
      </c>
      <c r="F17" s="118">
        <f>E568/(1+'On-Road Fac.'!$D$5)</f>
        <v>354.39129483975012</v>
      </c>
      <c r="G17" s="118">
        <f>F568/(1+'On-Road Fac.'!$D$5)</f>
        <v>382.34696617496132</v>
      </c>
      <c r="H17" s="118">
        <f>G568/(1+'On-Road Fac.'!$D$5)</f>
        <v>381.32982653224337</v>
      </c>
      <c r="I17" s="118">
        <f>H568/(1+'On-Road Fac.'!$D$5)</f>
        <v>376.94540246294929</v>
      </c>
      <c r="J17" s="118">
        <f>I568/(1+'On-Road Fac.'!$D$5)</f>
        <v>372.82795281558617</v>
      </c>
      <c r="K17" s="118">
        <f>J568/(1+'On-Road Fac.'!$D$5)</f>
        <v>341.72330074803892</v>
      </c>
      <c r="L17" s="118">
        <f>K568/(1+'On-Road Fac.'!$D$5)</f>
        <v>373.8597704583849</v>
      </c>
      <c r="M17" s="118">
        <f>L568/(1+'On-Road Fac.'!$D$5)</f>
        <v>374.19559882079403</v>
      </c>
      <c r="N17" s="118">
        <f>M568/(1+'On-Road Fac.'!$D$5)</f>
        <v>359.56111767483395</v>
      </c>
      <c r="O17" s="118">
        <f>N568/(1+'On-Road Fac.'!$D$5)</f>
        <v>379.85109854399502</v>
      </c>
      <c r="P17" s="118">
        <f>O568/(1+'On-Road Fac.'!$D$5)</f>
        <v>373.0939723825345</v>
      </c>
      <c r="Q17" s="118">
        <f>P568/(1+'On-Road Fac.'!$D$5)</f>
        <v>371.43444192771227</v>
      </c>
      <c r="R17" s="118">
        <f>Q568/(1+'On-Road Fac.'!$D$5)</f>
        <v>379.76795320515214</v>
      </c>
      <c r="S17" s="118">
        <f>R568/(1+'On-Road Fac.'!$D$5)</f>
        <v>380.51101807819578</v>
      </c>
      <c r="T17" s="118">
        <f>S568/(1+'On-Road Fac.'!$D$5)</f>
        <v>370.77389710675283</v>
      </c>
      <c r="U17" s="118">
        <f>T568/(1+'On-Road Fac.'!$D$5)</f>
        <v>382.10034899870089</v>
      </c>
      <c r="V17" s="118">
        <f>U568/(1+'On-Road Fac.'!$D$5)</f>
        <v>372.36336506218777</v>
      </c>
      <c r="W17" s="118">
        <f>V568/(1+'On-Road Fac.'!$D$5)</f>
        <v>377.71387808713621</v>
      </c>
      <c r="X17" s="118">
        <f>W568/(1+'On-Road Fac.'!$D$5)</f>
        <v>373.24912875233292</v>
      </c>
      <c r="Y17" s="118">
        <f>X568/(1+'On-Road Fac.'!$D$5)</f>
        <v>380.16954306066924</v>
      </c>
      <c r="Z17" s="118">
        <f>Y568/(1+'On-Road Fac.'!$D$5)</f>
        <v>375.80164735485658</v>
      </c>
      <c r="AA17" s="118">
        <f>Z568/(1+'On-Road Fac.'!$D$5)</f>
        <v>349.92700068852537</v>
      </c>
      <c r="AB17" s="118">
        <f>AA568/(1+'On-Road Fac.'!$D$5)</f>
        <v>378.06019419476127</v>
      </c>
      <c r="AC17" s="118">
        <f>AB568/(1+'On-Road Fac.'!$D$5)</f>
        <v>382.8020220199013</v>
      </c>
      <c r="AD17" s="118">
        <f>AC568/(1+'On-Road Fac.'!$D$5)</f>
        <v>381.17605454681097</v>
      </c>
      <c r="AE17" s="118">
        <f>AD568/(1+'On-Road Fac.'!$D$5)</f>
        <v>345.30230890443545</v>
      </c>
    </row>
    <row r="18" spans="1:31">
      <c r="B18" s="190" t="str">
        <f>Processes!D22</f>
        <v>T-TAX-ICE_DST00</v>
      </c>
      <c r="C18" s="201" t="s">
        <v>925</v>
      </c>
      <c r="D18" s="201" t="s">
        <v>817</v>
      </c>
      <c r="E18" s="118">
        <f>D616/(1+'On-Road Fac.'!$D$5)</f>
        <v>418.24523778353</v>
      </c>
      <c r="F18" s="118">
        <f>E616/(1+'On-Road Fac.'!$D$5)</f>
        <v>417.35102902840782</v>
      </c>
      <c r="G18" s="118">
        <f>F616/(1+'On-Road Fac.'!$D$5)</f>
        <v>423.84506513812613</v>
      </c>
      <c r="H18" s="118">
        <f>G616/(1+'On-Road Fac.'!$D$5)</f>
        <v>417.68252532069192</v>
      </c>
      <c r="I18" s="118">
        <f>H616/(1+'On-Road Fac.'!$D$5)</f>
        <v>420.89355195341642</v>
      </c>
      <c r="J18" s="118">
        <f>I616/(1+'On-Road Fac.'!$D$5)</f>
        <v>424.70572798360223</v>
      </c>
      <c r="K18" s="118">
        <f>J616/(1+'On-Road Fac.'!$D$5)</f>
        <v>411.13831796824093</v>
      </c>
      <c r="L18" s="118">
        <f>K616/(1+'On-Road Fac.'!$D$5)</f>
        <v>413.09356798488182</v>
      </c>
      <c r="M18" s="118">
        <f>L616/(1+'On-Road Fac.'!$D$5)</f>
        <v>417.83782712668193</v>
      </c>
      <c r="N18" s="118">
        <f>M616/(1+'On-Road Fac.'!$D$5)</f>
        <v>405.65275501685795</v>
      </c>
      <c r="O18" s="118">
        <f>N616/(1+'On-Road Fac.'!$D$5)</f>
        <v>417.6491359141682</v>
      </c>
      <c r="P18" s="118">
        <f>O616/(1+'On-Road Fac.'!$D$5)</f>
        <v>412.85986046481651</v>
      </c>
      <c r="Q18" s="118">
        <f>P616/(1+'On-Road Fac.'!$D$5)</f>
        <v>406.45262514758724</v>
      </c>
      <c r="R18" s="118">
        <f>Q616/(1+'On-Road Fac.'!$D$5)</f>
        <v>400.951154620919</v>
      </c>
      <c r="S18" s="118">
        <f>R616/(1+'On-Road Fac.'!$D$5)</f>
        <v>419.35059545813971</v>
      </c>
      <c r="T18" s="118">
        <f>S616/(1+'On-Road Fac.'!$D$5)</f>
        <v>399.96313751653258</v>
      </c>
      <c r="U18" s="118">
        <f>T616/(1+'On-Road Fac.'!$D$5)</f>
        <v>406.43018159014531</v>
      </c>
      <c r="V18" s="118">
        <f>U616/(1+'On-Road Fac.'!$D$5)</f>
        <v>402.37788409370341</v>
      </c>
      <c r="W18" s="118">
        <f>V616/(1+'On-Road Fac.'!$D$5)</f>
        <v>417.66241832180424</v>
      </c>
      <c r="X18" s="118">
        <f>W616/(1+'On-Road Fac.'!$D$5)</f>
        <v>409.81343563868722</v>
      </c>
      <c r="Y18" s="118">
        <f>X616/(1+'On-Road Fac.'!$D$5)</f>
        <v>418.24523778353</v>
      </c>
      <c r="Z18" s="118">
        <f>Y616/(1+'On-Road Fac.'!$D$5)</f>
        <v>406.90302650758213</v>
      </c>
      <c r="AA18" s="118">
        <f>Z616/(1+'On-Road Fac.'!$D$5)</f>
        <v>414.42404362056624</v>
      </c>
      <c r="AB18" s="118">
        <f>AA616/(1+'On-Road Fac.'!$D$5)</f>
        <v>416.40694133851781</v>
      </c>
      <c r="AC18" s="118">
        <f>AB616/(1+'On-Road Fac.'!$D$5)</f>
        <v>416.97454622004005</v>
      </c>
      <c r="AD18" s="118">
        <f>AC616/(1+'On-Road Fac.'!$D$5)</f>
        <v>410.50859774274483</v>
      </c>
      <c r="AE18" s="118">
        <f>AD616/(1+'On-Road Fac.'!$D$5)</f>
        <v>407.83458630990293</v>
      </c>
    </row>
    <row r="19" spans="1:31">
      <c r="B19" s="190" t="str">
        <f>Processes!D23</f>
        <v>T-TAX-HEV_GSL00</v>
      </c>
      <c r="C19" s="201" t="s">
        <v>925</v>
      </c>
      <c r="D19" s="201" t="s">
        <v>817</v>
      </c>
      <c r="E19" s="118">
        <f>D664/(1+'On-Road Fac.'!$D$5)</f>
        <v>493.2131815663169</v>
      </c>
      <c r="F19" s="118">
        <f>E664/(1+'On-Road Fac.'!$D$5)</f>
        <v>482.49903430873485</v>
      </c>
      <c r="G19" s="118">
        <f>F664/(1+'On-Road Fac.'!$D$5)</f>
        <v>493.55512564804246</v>
      </c>
      <c r="H19" s="118">
        <f>G664/(1+'On-Road Fac.'!$D$5)</f>
        <v>493.40332134817419</v>
      </c>
      <c r="I19" s="118">
        <f>H664/(1+'On-Road Fac.'!$D$5)</f>
        <v>437.01804019100189</v>
      </c>
      <c r="J19" s="118">
        <f>I664/(1+'On-Road Fac.'!$D$5)</f>
        <v>502.06759924561578</v>
      </c>
      <c r="K19" s="118">
        <f>J664/(1+'On-Road Fac.'!$D$5)</f>
        <v>493.2131815663169</v>
      </c>
      <c r="L19" s="118">
        <f>K664/(1+'On-Road Fac.'!$D$5)</f>
        <v>478.323500225185</v>
      </c>
      <c r="M19" s="118">
        <f>L664/(1+'On-Road Fac.'!$D$5)</f>
        <v>495.61891153260427</v>
      </c>
      <c r="N19" s="118">
        <f>M664/(1+'On-Road Fac.'!$D$5)</f>
        <v>492.27589454389022</v>
      </c>
      <c r="O19" s="118">
        <f>N664/(1+'On-Road Fac.'!$D$5)</f>
        <v>489.36736026616245</v>
      </c>
      <c r="P19" s="118">
        <f>O664/(1+'On-Road Fac.'!$D$5)</f>
        <v>492.27589454389022</v>
      </c>
      <c r="Q19" s="118">
        <f>P664/(1+'On-Road Fac.'!$D$5)</f>
        <v>486.2130531514332</v>
      </c>
      <c r="R19" s="118">
        <f>Q664/(1+'On-Road Fac.'!$D$5)</f>
        <v>498.74405001309862</v>
      </c>
      <c r="S19" s="118">
        <f>R664/(1+'On-Road Fac.'!$D$5)</f>
        <v>496.79778194196939</v>
      </c>
      <c r="T19" s="118">
        <f>S664/(1+'On-Road Fac.'!$D$5)</f>
        <v>513.32288625945137</v>
      </c>
      <c r="U19" s="118">
        <f>T664/(1+'On-Road Fac.'!$D$5)</f>
        <v>497.71017750157614</v>
      </c>
      <c r="V19" s="118">
        <f>U664/(1+'On-Road Fac.'!$D$5)</f>
        <v>471.5857435087018</v>
      </c>
      <c r="W19" s="118">
        <f>V664/(1+'On-Road Fac.'!$D$5)</f>
        <v>489.74013946395922</v>
      </c>
      <c r="X19" s="118">
        <f>W664/(1+'On-Road Fac.'!$D$5)</f>
        <v>472.55058340540216</v>
      </c>
      <c r="Y19" s="118">
        <f>X664/(1+'On-Road Fac.'!$D$5)</f>
        <v>493.2131815663169</v>
      </c>
      <c r="Z19" s="118">
        <f>Y664/(1+'On-Road Fac.'!$D$5)</f>
        <v>503.70782216956576</v>
      </c>
      <c r="AA19" s="118">
        <f>Z664/(1+'On-Road Fac.'!$D$5)</f>
        <v>493.2131815663169</v>
      </c>
      <c r="AB19" s="118">
        <f>AA664/(1+'On-Road Fac.'!$D$5)</f>
        <v>491.00474309922117</v>
      </c>
      <c r="AC19" s="118">
        <f>AB664/(1+'On-Road Fac.'!$D$5)</f>
        <v>588.85089886923743</v>
      </c>
      <c r="AD19" s="118">
        <f>AC664/(1+'On-Road Fac.'!$D$5)</f>
        <v>492.27589454389022</v>
      </c>
      <c r="AE19" s="118">
        <f>AD664/(1+'On-Road Fac.'!$D$5)</f>
        <v>493.2131815663169</v>
      </c>
    </row>
    <row r="20" spans="1:31">
      <c r="B20" t="str">
        <f>Processes!D25</f>
        <v>T-BUS-ICE_DST00</v>
      </c>
      <c r="C20" s="201" t="s">
        <v>925</v>
      </c>
      <c r="D20" s="201" t="s">
        <v>817</v>
      </c>
      <c r="E20" s="307">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925</v>
      </c>
      <c r="D21" s="201" t="s">
        <v>817</v>
      </c>
      <c r="E21" s="307">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925</v>
      </c>
      <c r="D22" s="201" t="s">
        <v>817</v>
      </c>
      <c r="E22" s="307">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548"/>
      <c r="B23" s="201" t="str">
        <f>Processes!D29</f>
        <v>T-HPT-ICE_DST00</v>
      </c>
      <c r="C23" s="201" t="s">
        <v>925</v>
      </c>
      <c r="D23" s="201" t="s">
        <v>817</v>
      </c>
      <c r="E23" s="307">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548"/>
      <c r="B24" s="201" t="str">
        <f>Processes!D32</f>
        <v>T-LGT-ICE_GSL00</v>
      </c>
      <c r="C24" s="201" t="s">
        <v>925</v>
      </c>
      <c r="D24" s="201" t="s">
        <v>817</v>
      </c>
      <c r="E24" s="307">
        <v>291.2</v>
      </c>
      <c r="F24" s="307">
        <f>E24</f>
        <v>291.2</v>
      </c>
      <c r="G24" s="307">
        <f t="shared" si="1"/>
        <v>291.2</v>
      </c>
      <c r="H24" s="307">
        <f t="shared" si="1"/>
        <v>291.2</v>
      </c>
      <c r="I24" s="307">
        <f t="shared" si="1"/>
        <v>291.2</v>
      </c>
      <c r="J24" s="307">
        <f t="shared" si="1"/>
        <v>291.2</v>
      </c>
      <c r="K24" s="307">
        <f t="shared" si="1"/>
        <v>291.2</v>
      </c>
      <c r="L24" s="307">
        <f t="shared" si="1"/>
        <v>291.2</v>
      </c>
      <c r="M24" s="307">
        <f t="shared" si="1"/>
        <v>291.2</v>
      </c>
      <c r="N24" s="307">
        <f t="shared" si="1"/>
        <v>291.2</v>
      </c>
      <c r="O24" s="307">
        <f t="shared" si="1"/>
        <v>291.2</v>
      </c>
      <c r="P24" s="307">
        <f t="shared" si="1"/>
        <v>291.2</v>
      </c>
      <c r="Q24" s="307">
        <f t="shared" si="1"/>
        <v>291.2</v>
      </c>
      <c r="R24" s="307">
        <f t="shared" si="1"/>
        <v>291.2</v>
      </c>
      <c r="S24" s="307">
        <f t="shared" si="1"/>
        <v>291.2</v>
      </c>
      <c r="T24" s="307">
        <f t="shared" si="1"/>
        <v>291.2</v>
      </c>
      <c r="U24" s="307">
        <f t="shared" si="1"/>
        <v>291.2</v>
      </c>
      <c r="V24" s="307">
        <f t="shared" si="1"/>
        <v>291.2</v>
      </c>
      <c r="W24" s="307">
        <f t="shared" si="1"/>
        <v>291.2</v>
      </c>
      <c r="X24" s="307">
        <f t="shared" si="1"/>
        <v>291.2</v>
      </c>
      <c r="Y24" s="307">
        <f t="shared" si="1"/>
        <v>291.2</v>
      </c>
      <c r="Z24" s="307">
        <f t="shared" si="1"/>
        <v>291.2</v>
      </c>
      <c r="AA24" s="307">
        <f t="shared" si="1"/>
        <v>291.2</v>
      </c>
      <c r="AB24" s="307">
        <f t="shared" si="1"/>
        <v>291.2</v>
      </c>
      <c r="AC24" s="307">
        <f t="shared" si="1"/>
        <v>291.2</v>
      </c>
      <c r="AD24" s="307">
        <f t="shared" si="1"/>
        <v>291.2</v>
      </c>
      <c r="AE24" s="307">
        <f t="shared" si="1"/>
        <v>291.2</v>
      </c>
    </row>
    <row r="25" spans="1:31" s="429" customFormat="1">
      <c r="A25" s="548"/>
      <c r="B25" s="429" t="str">
        <f>Processes!D33</f>
        <v>T-LGT-ICE_DST00</v>
      </c>
      <c r="C25" s="429" t="s">
        <v>925</v>
      </c>
      <c r="D25" s="429" t="s">
        <v>817</v>
      </c>
      <c r="E25" s="307">
        <v>287.08</v>
      </c>
      <c r="F25" s="307">
        <f>E25</f>
        <v>287.08</v>
      </c>
      <c r="G25" s="307">
        <f t="shared" si="1"/>
        <v>287.08</v>
      </c>
      <c r="H25" s="307">
        <f t="shared" si="1"/>
        <v>287.08</v>
      </c>
      <c r="I25" s="307">
        <f t="shared" si="1"/>
        <v>287.08</v>
      </c>
      <c r="J25" s="307">
        <f t="shared" si="1"/>
        <v>287.08</v>
      </c>
      <c r="K25" s="307">
        <f t="shared" si="1"/>
        <v>287.08</v>
      </c>
      <c r="L25" s="307">
        <f t="shared" si="1"/>
        <v>287.08</v>
      </c>
      <c r="M25" s="307">
        <f t="shared" si="1"/>
        <v>287.08</v>
      </c>
      <c r="N25" s="307">
        <f t="shared" si="1"/>
        <v>287.08</v>
      </c>
      <c r="O25" s="307">
        <f t="shared" si="1"/>
        <v>287.08</v>
      </c>
      <c r="P25" s="307">
        <f t="shared" si="1"/>
        <v>287.08</v>
      </c>
      <c r="Q25" s="307">
        <f t="shared" si="1"/>
        <v>287.08</v>
      </c>
      <c r="R25" s="307">
        <f t="shared" si="1"/>
        <v>287.08</v>
      </c>
      <c r="S25" s="307">
        <f t="shared" si="1"/>
        <v>287.08</v>
      </c>
      <c r="T25" s="307">
        <f t="shared" si="1"/>
        <v>287.08</v>
      </c>
      <c r="U25" s="307">
        <f t="shared" si="1"/>
        <v>287.08</v>
      </c>
      <c r="V25" s="307">
        <f t="shared" si="1"/>
        <v>287.08</v>
      </c>
      <c r="W25" s="307">
        <f t="shared" si="1"/>
        <v>287.08</v>
      </c>
      <c r="X25" s="307">
        <f t="shared" si="1"/>
        <v>287.08</v>
      </c>
      <c r="Y25" s="307">
        <f t="shared" si="1"/>
        <v>287.08</v>
      </c>
      <c r="Z25" s="307">
        <f t="shared" si="1"/>
        <v>287.08</v>
      </c>
      <c r="AA25" s="307">
        <f t="shared" si="1"/>
        <v>287.08</v>
      </c>
      <c r="AB25" s="307">
        <f t="shared" si="1"/>
        <v>287.08</v>
      </c>
      <c r="AC25" s="307">
        <f t="shared" si="1"/>
        <v>287.08</v>
      </c>
      <c r="AD25" s="307">
        <f t="shared" si="1"/>
        <v>287.08</v>
      </c>
      <c r="AE25" s="307">
        <f t="shared" si="1"/>
        <v>287.08</v>
      </c>
    </row>
    <row r="26" spans="1:31" s="429" customFormat="1">
      <c r="A26" s="548"/>
      <c r="B26" s="429" t="str">
        <f>Processes!D34</f>
        <v>T-MGT-ICE_DST00</v>
      </c>
      <c r="C26" s="429" t="s">
        <v>925</v>
      </c>
      <c r="D26" s="429" t="s">
        <v>817</v>
      </c>
      <c r="E26" s="307">
        <v>180.1</v>
      </c>
      <c r="F26" s="307">
        <f>E26</f>
        <v>180.1</v>
      </c>
      <c r="G26" s="307">
        <f t="shared" si="1"/>
        <v>180.1</v>
      </c>
      <c r="H26" s="307">
        <f t="shared" si="1"/>
        <v>180.1</v>
      </c>
      <c r="I26" s="307">
        <f t="shared" si="1"/>
        <v>180.1</v>
      </c>
      <c r="J26" s="307">
        <f t="shared" si="1"/>
        <v>180.1</v>
      </c>
      <c r="K26" s="307">
        <f t="shared" si="1"/>
        <v>180.1</v>
      </c>
      <c r="L26" s="307">
        <f t="shared" si="1"/>
        <v>180.1</v>
      </c>
      <c r="M26" s="307">
        <f t="shared" si="1"/>
        <v>180.1</v>
      </c>
      <c r="N26" s="307">
        <f t="shared" si="1"/>
        <v>180.1</v>
      </c>
      <c r="O26" s="307">
        <f t="shared" si="1"/>
        <v>180.1</v>
      </c>
      <c r="P26" s="307">
        <f t="shared" si="1"/>
        <v>180.1</v>
      </c>
      <c r="Q26" s="307">
        <f t="shared" si="1"/>
        <v>180.1</v>
      </c>
      <c r="R26" s="307">
        <f t="shared" si="1"/>
        <v>180.1</v>
      </c>
      <c r="S26" s="307">
        <f t="shared" si="1"/>
        <v>180.1</v>
      </c>
      <c r="T26" s="307">
        <f t="shared" si="1"/>
        <v>180.1</v>
      </c>
      <c r="U26" s="307">
        <f t="shared" si="1"/>
        <v>180.1</v>
      </c>
      <c r="V26" s="307">
        <f t="shared" si="1"/>
        <v>180.1</v>
      </c>
      <c r="W26" s="307">
        <f t="shared" si="1"/>
        <v>180.1</v>
      </c>
      <c r="X26" s="307">
        <f t="shared" si="1"/>
        <v>180.1</v>
      </c>
      <c r="Y26" s="307">
        <f t="shared" si="1"/>
        <v>180.1</v>
      </c>
      <c r="Z26" s="307">
        <f t="shared" si="1"/>
        <v>180.1</v>
      </c>
      <c r="AA26" s="307">
        <f t="shared" si="1"/>
        <v>180.1</v>
      </c>
      <c r="AB26" s="307">
        <f t="shared" si="1"/>
        <v>180.1</v>
      </c>
      <c r="AC26" s="307">
        <f t="shared" si="1"/>
        <v>180.1</v>
      </c>
      <c r="AD26" s="307">
        <f t="shared" si="1"/>
        <v>180.1</v>
      </c>
      <c r="AE26" s="307">
        <f t="shared" si="1"/>
        <v>180.1</v>
      </c>
    </row>
    <row r="27" spans="1:31" s="201" customFormat="1">
      <c r="A27" s="548"/>
      <c r="B27" s="201" t="str">
        <f>Processes!D35</f>
        <v>T-HGT-ICE_DST00</v>
      </c>
      <c r="C27" s="201" t="s">
        <v>925</v>
      </c>
      <c r="D27" s="201" t="s">
        <v>817</v>
      </c>
      <c r="E27" s="307">
        <v>165.45</v>
      </c>
      <c r="F27" s="307">
        <f t="shared" ref="F27:U28" si="2">E27</f>
        <v>165.45</v>
      </c>
      <c r="G27" s="307">
        <f t="shared" si="2"/>
        <v>165.45</v>
      </c>
      <c r="H27" s="307">
        <f t="shared" si="2"/>
        <v>165.45</v>
      </c>
      <c r="I27" s="307">
        <f t="shared" si="2"/>
        <v>165.45</v>
      </c>
      <c r="J27" s="307">
        <f t="shared" si="2"/>
        <v>165.45</v>
      </c>
      <c r="K27" s="307">
        <f t="shared" si="2"/>
        <v>165.45</v>
      </c>
      <c r="L27" s="307">
        <f t="shared" si="2"/>
        <v>165.45</v>
      </c>
      <c r="M27" s="307">
        <f t="shared" si="2"/>
        <v>165.45</v>
      </c>
      <c r="N27" s="307">
        <f t="shared" si="2"/>
        <v>165.45</v>
      </c>
      <c r="O27" s="307">
        <f t="shared" si="2"/>
        <v>165.45</v>
      </c>
      <c r="P27" s="307">
        <f t="shared" si="2"/>
        <v>165.45</v>
      </c>
      <c r="Q27" s="307">
        <f t="shared" si="2"/>
        <v>165.45</v>
      </c>
      <c r="R27" s="307">
        <f t="shared" si="2"/>
        <v>165.45</v>
      </c>
      <c r="S27" s="307">
        <f t="shared" si="2"/>
        <v>165.45</v>
      </c>
      <c r="T27" s="307">
        <f t="shared" si="2"/>
        <v>165.45</v>
      </c>
      <c r="U27" s="307">
        <f t="shared" si="2"/>
        <v>165.45</v>
      </c>
      <c r="V27" s="307">
        <f t="shared" si="1"/>
        <v>165.45</v>
      </c>
      <c r="W27" s="307">
        <f t="shared" si="1"/>
        <v>165.45</v>
      </c>
      <c r="X27" s="307">
        <f t="shared" si="1"/>
        <v>165.45</v>
      </c>
      <c r="Y27" s="307">
        <f t="shared" si="1"/>
        <v>165.45</v>
      </c>
      <c r="Z27" s="307">
        <f t="shared" si="1"/>
        <v>165.45</v>
      </c>
      <c r="AA27" s="307">
        <f t="shared" si="1"/>
        <v>165.45</v>
      </c>
      <c r="AB27" s="307">
        <f t="shared" si="1"/>
        <v>165.45</v>
      </c>
      <c r="AC27" s="307">
        <f t="shared" si="1"/>
        <v>165.45</v>
      </c>
      <c r="AD27" s="307">
        <f t="shared" si="1"/>
        <v>165.45</v>
      </c>
      <c r="AE27" s="307">
        <f t="shared" si="1"/>
        <v>165.45</v>
      </c>
    </row>
    <row r="28" spans="1:31" s="201" customFormat="1">
      <c r="A28" s="548"/>
      <c r="B28" s="201" t="str">
        <f>Processes!D36</f>
        <v>T-GTR-ICE_DST00</v>
      </c>
      <c r="C28" s="201" t="s">
        <v>925</v>
      </c>
      <c r="D28" s="201" t="s">
        <v>817</v>
      </c>
      <c r="E28" s="308">
        <v>4.7112409841113401</v>
      </c>
      <c r="F28" s="307">
        <f t="shared" si="2"/>
        <v>4.7112409841113401</v>
      </c>
      <c r="G28" s="307">
        <f t="shared" si="1"/>
        <v>4.7112409841113401</v>
      </c>
      <c r="H28" s="307">
        <f t="shared" si="1"/>
        <v>4.7112409841113401</v>
      </c>
      <c r="I28" s="307">
        <f t="shared" si="1"/>
        <v>4.7112409841113401</v>
      </c>
      <c r="J28" s="307">
        <f t="shared" si="1"/>
        <v>4.7112409841113401</v>
      </c>
      <c r="K28" s="307">
        <f t="shared" si="1"/>
        <v>4.7112409841113401</v>
      </c>
      <c r="L28" s="307">
        <f t="shared" si="1"/>
        <v>4.7112409841113401</v>
      </c>
      <c r="M28" s="307">
        <f t="shared" si="1"/>
        <v>4.7112409841113401</v>
      </c>
      <c r="N28" s="307">
        <f t="shared" si="1"/>
        <v>4.7112409841113401</v>
      </c>
      <c r="O28" s="307">
        <f t="shared" si="1"/>
        <v>4.7112409841113401</v>
      </c>
      <c r="P28" s="307">
        <f t="shared" si="1"/>
        <v>4.7112409841113401</v>
      </c>
      <c r="Q28" s="307">
        <f t="shared" si="1"/>
        <v>4.7112409841113401</v>
      </c>
      <c r="R28" s="307">
        <f t="shared" si="1"/>
        <v>4.7112409841113401</v>
      </c>
      <c r="S28" s="307">
        <f t="shared" si="1"/>
        <v>4.7112409841113401</v>
      </c>
      <c r="T28" s="307">
        <f t="shared" si="1"/>
        <v>4.7112409841113401</v>
      </c>
      <c r="U28" s="307">
        <f t="shared" si="1"/>
        <v>4.7112409841113401</v>
      </c>
      <c r="V28" s="307">
        <f t="shared" si="1"/>
        <v>4.7112409841113401</v>
      </c>
      <c r="W28" s="307">
        <f t="shared" si="1"/>
        <v>4.7112409841113401</v>
      </c>
      <c r="X28" s="307">
        <f t="shared" si="1"/>
        <v>4.7112409841113401</v>
      </c>
      <c r="Y28" s="307">
        <f t="shared" si="1"/>
        <v>4.7112409841113401</v>
      </c>
      <c r="Z28" s="307">
        <f t="shared" si="1"/>
        <v>4.7112409841113401</v>
      </c>
      <c r="AA28" s="307">
        <f t="shared" si="1"/>
        <v>4.7112409841113401</v>
      </c>
      <c r="AB28" s="307">
        <f t="shared" si="1"/>
        <v>4.7112409841113401</v>
      </c>
      <c r="AC28" s="307">
        <f t="shared" si="1"/>
        <v>4.7112409841113401</v>
      </c>
      <c r="AD28" s="307">
        <f t="shared" si="1"/>
        <v>4.7112409841113401</v>
      </c>
      <c r="AE28" s="307">
        <f t="shared" si="1"/>
        <v>4.7112409841113401</v>
      </c>
    </row>
    <row r="29" spans="1:31" s="201" customFormat="1">
      <c r="A29" s="548"/>
      <c r="B29" s="201" t="str">
        <f>Processes!D38</f>
        <v>T-TUR_CON00</v>
      </c>
      <c r="C29" s="201" t="s">
        <v>17</v>
      </c>
      <c r="D29" s="201" t="s">
        <v>817</v>
      </c>
      <c r="E29" s="850">
        <v>1</v>
      </c>
      <c r="F29" s="850">
        <v>1</v>
      </c>
      <c r="G29" s="850">
        <v>1</v>
      </c>
      <c r="H29" s="850">
        <v>1</v>
      </c>
      <c r="I29" s="850">
        <v>1</v>
      </c>
      <c r="J29" s="850">
        <v>1</v>
      </c>
      <c r="K29" s="850">
        <v>1</v>
      </c>
      <c r="L29" s="850">
        <v>1</v>
      </c>
      <c r="M29" s="850">
        <v>1</v>
      </c>
      <c r="N29" s="850">
        <v>1</v>
      </c>
      <c r="O29" s="850">
        <v>1</v>
      </c>
      <c r="P29" s="850">
        <v>1</v>
      </c>
      <c r="Q29" s="850">
        <v>1</v>
      </c>
      <c r="R29" s="850">
        <v>1</v>
      </c>
      <c r="S29" s="850">
        <v>1</v>
      </c>
      <c r="T29" s="850">
        <v>1</v>
      </c>
      <c r="U29" s="850">
        <v>1</v>
      </c>
      <c r="V29" s="850">
        <v>1</v>
      </c>
      <c r="W29" s="850">
        <v>1</v>
      </c>
      <c r="X29" s="850">
        <v>1</v>
      </c>
      <c r="Y29" s="850">
        <v>1</v>
      </c>
      <c r="Z29" s="850">
        <v>1</v>
      </c>
      <c r="AA29" s="850">
        <v>1</v>
      </c>
      <c r="AB29" s="850">
        <v>1</v>
      </c>
      <c r="AC29" s="850">
        <v>1</v>
      </c>
      <c r="AD29" s="850">
        <v>1</v>
      </c>
      <c r="AE29" s="850">
        <v>1</v>
      </c>
    </row>
    <row r="30" spans="1:31" s="201" customFormat="1">
      <c r="A30" s="548"/>
      <c r="B30" s="201" t="str">
        <f>Processes!D39</f>
        <v>T-NAV_CON00</v>
      </c>
      <c r="C30" s="201" t="s">
        <v>17</v>
      </c>
      <c r="D30" s="201" t="s">
        <v>817</v>
      </c>
      <c r="E30" s="850">
        <v>1</v>
      </c>
      <c r="F30" s="850">
        <v>1</v>
      </c>
      <c r="G30" s="850">
        <v>1</v>
      </c>
      <c r="H30" s="850">
        <v>1</v>
      </c>
      <c r="I30" s="850">
        <v>1</v>
      </c>
      <c r="J30" s="850">
        <v>1</v>
      </c>
      <c r="K30" s="850">
        <v>1</v>
      </c>
      <c r="L30" s="850">
        <v>1</v>
      </c>
      <c r="M30" s="850">
        <v>1</v>
      </c>
      <c r="N30" s="850">
        <v>1</v>
      </c>
      <c r="O30" s="850">
        <v>1</v>
      </c>
      <c r="P30" s="850">
        <v>1</v>
      </c>
      <c r="Q30" s="850">
        <v>1</v>
      </c>
      <c r="R30" s="850">
        <v>1</v>
      </c>
      <c r="S30" s="850">
        <v>1</v>
      </c>
      <c r="T30" s="850">
        <v>1</v>
      </c>
      <c r="U30" s="850">
        <v>1</v>
      </c>
      <c r="V30" s="850">
        <v>1</v>
      </c>
      <c r="W30" s="850">
        <v>1</v>
      </c>
      <c r="X30" s="850">
        <v>1</v>
      </c>
      <c r="Y30" s="850">
        <v>1</v>
      </c>
      <c r="Z30" s="850">
        <v>1</v>
      </c>
      <c r="AA30" s="850">
        <v>1</v>
      </c>
      <c r="AB30" s="850">
        <v>1</v>
      </c>
      <c r="AC30" s="850">
        <v>1</v>
      </c>
      <c r="AD30" s="850">
        <v>1</v>
      </c>
      <c r="AE30" s="850">
        <v>1</v>
      </c>
    </row>
    <row r="31" spans="1:31" s="201" customFormat="1">
      <c r="A31" s="548"/>
      <c r="B31" s="201" t="str">
        <f>Processes!D40</f>
        <v>T-OTH_CON00</v>
      </c>
      <c r="C31" s="201" t="s">
        <v>17</v>
      </c>
      <c r="D31" s="201" t="s">
        <v>817</v>
      </c>
      <c r="E31" s="850">
        <v>1</v>
      </c>
      <c r="F31" s="850">
        <v>1</v>
      </c>
      <c r="G31" s="850">
        <v>1</v>
      </c>
      <c r="H31" s="850">
        <v>1</v>
      </c>
      <c r="I31" s="850">
        <v>1</v>
      </c>
      <c r="J31" s="850">
        <v>1</v>
      </c>
      <c r="K31" s="850">
        <v>1</v>
      </c>
      <c r="L31" s="850">
        <v>1</v>
      </c>
      <c r="M31" s="850">
        <v>1</v>
      </c>
      <c r="N31" s="850">
        <v>1</v>
      </c>
      <c r="O31" s="850">
        <v>1</v>
      </c>
      <c r="P31" s="850">
        <v>1</v>
      </c>
      <c r="Q31" s="850">
        <v>1</v>
      </c>
      <c r="R31" s="850">
        <v>1</v>
      </c>
      <c r="S31" s="850">
        <v>1</v>
      </c>
      <c r="T31" s="850">
        <v>1</v>
      </c>
      <c r="U31" s="850">
        <v>1</v>
      </c>
      <c r="V31" s="850">
        <v>1</v>
      </c>
      <c r="W31" s="850">
        <v>1</v>
      </c>
      <c r="X31" s="850">
        <v>1</v>
      </c>
      <c r="Y31" s="850">
        <v>1</v>
      </c>
      <c r="Z31" s="850">
        <v>1</v>
      </c>
      <c r="AA31" s="850">
        <v>1</v>
      </c>
      <c r="AB31" s="850">
        <v>1</v>
      </c>
      <c r="AC31" s="850">
        <v>1</v>
      </c>
      <c r="AD31" s="850">
        <v>1</v>
      </c>
      <c r="AE31" s="850">
        <v>1</v>
      </c>
    </row>
    <row r="32" spans="1:31" s="201" customFormat="1">
      <c r="A32" s="548"/>
      <c r="B32" s="201" t="str">
        <f>Processes!D42</f>
        <v>T-AVI_DOM00</v>
      </c>
      <c r="C32" s="201" t="s">
        <v>17</v>
      </c>
      <c r="D32" s="201" t="s">
        <v>817</v>
      </c>
      <c r="E32" s="850">
        <v>1</v>
      </c>
      <c r="F32" s="850">
        <v>1</v>
      </c>
      <c r="G32" s="850">
        <v>1</v>
      </c>
      <c r="H32" s="850">
        <v>1</v>
      </c>
      <c r="I32" s="850">
        <v>1</v>
      </c>
      <c r="J32" s="850">
        <v>1</v>
      </c>
      <c r="K32" s="850">
        <v>1</v>
      </c>
      <c r="L32" s="850">
        <v>1</v>
      </c>
      <c r="M32" s="850">
        <v>1</v>
      </c>
      <c r="N32" s="850">
        <v>1</v>
      </c>
      <c r="O32" s="850">
        <v>1</v>
      </c>
      <c r="P32" s="850">
        <v>1</v>
      </c>
      <c r="Q32" s="850">
        <v>1</v>
      </c>
      <c r="R32" s="850">
        <v>1</v>
      </c>
      <c r="S32" s="850">
        <v>1</v>
      </c>
      <c r="T32" s="850">
        <v>1</v>
      </c>
      <c r="U32" s="850">
        <v>1</v>
      </c>
      <c r="V32" s="850">
        <v>1</v>
      </c>
      <c r="W32" s="850">
        <v>1</v>
      </c>
      <c r="X32" s="850">
        <v>1</v>
      </c>
      <c r="Y32" s="850">
        <v>1</v>
      </c>
      <c r="Z32" s="850">
        <v>1</v>
      </c>
      <c r="AA32" s="850">
        <v>1</v>
      </c>
      <c r="AB32" s="850">
        <v>1</v>
      </c>
      <c r="AC32" s="850">
        <v>1</v>
      </c>
      <c r="AD32" s="850">
        <v>1</v>
      </c>
      <c r="AE32" s="850">
        <v>1</v>
      </c>
    </row>
    <row r="33" spans="1:32" s="201" customFormat="1">
      <c r="A33" s="548"/>
      <c r="B33" s="200" t="str">
        <f>Processes!D43</f>
        <v>T-AVI_INT00</v>
      </c>
      <c r="C33" s="200" t="s">
        <v>17</v>
      </c>
      <c r="D33" s="200" t="s">
        <v>817</v>
      </c>
      <c r="E33" s="851">
        <v>1</v>
      </c>
      <c r="F33" s="851">
        <v>1</v>
      </c>
      <c r="G33" s="851">
        <v>1</v>
      </c>
      <c r="H33" s="851">
        <v>1</v>
      </c>
      <c r="I33" s="851">
        <v>1</v>
      </c>
      <c r="J33" s="851">
        <v>1</v>
      </c>
      <c r="K33" s="851">
        <v>1</v>
      </c>
      <c r="L33" s="851">
        <v>1</v>
      </c>
      <c r="M33" s="851">
        <v>1</v>
      </c>
      <c r="N33" s="851">
        <v>1</v>
      </c>
      <c r="O33" s="851">
        <v>1</v>
      </c>
      <c r="P33" s="851">
        <v>1</v>
      </c>
      <c r="Q33" s="851">
        <v>1</v>
      </c>
      <c r="R33" s="851">
        <v>1</v>
      </c>
      <c r="S33" s="851">
        <v>1</v>
      </c>
      <c r="T33" s="851">
        <v>1</v>
      </c>
      <c r="U33" s="851">
        <v>1</v>
      </c>
      <c r="V33" s="851">
        <v>1</v>
      </c>
      <c r="W33" s="851">
        <v>1</v>
      </c>
      <c r="X33" s="851">
        <v>1</v>
      </c>
      <c r="Y33" s="851">
        <v>1</v>
      </c>
      <c r="Z33" s="851">
        <v>1</v>
      </c>
      <c r="AA33" s="851">
        <v>1</v>
      </c>
      <c r="AB33" s="851">
        <v>1</v>
      </c>
      <c r="AC33" s="851">
        <v>1</v>
      </c>
      <c r="AD33" s="851">
        <v>1</v>
      </c>
      <c r="AE33" s="851">
        <v>1</v>
      </c>
    </row>
    <row r="34" spans="1:32">
      <c r="B34" s="28" t="s">
        <v>774</v>
      </c>
    </row>
    <row r="35" spans="1:32" s="201" customFormat="1">
      <c r="A35" s="548"/>
      <c r="B35" s="28"/>
    </row>
    <row r="36" spans="1:32" s="201" customFormat="1">
      <c r="A36" s="548"/>
      <c r="B36" s="28"/>
    </row>
    <row r="37" spans="1:32" s="201" customFormat="1">
      <c r="A37" s="548"/>
      <c r="B37" s="28"/>
    </row>
    <row r="38" spans="1:32" s="201" customFormat="1">
      <c r="A38" s="548"/>
      <c r="D38" s="195" t="s">
        <v>75</v>
      </c>
    </row>
    <row r="39" spans="1:32" s="201" customFormat="1" ht="15" thickBot="1">
      <c r="A39" s="548"/>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548"/>
      <c r="B40" s="201" t="str">
        <f t="shared" ref="B40:D40" si="4">B5</f>
        <v>T-WLK_WLK</v>
      </c>
      <c r="C40" s="201" t="s">
        <v>820</v>
      </c>
      <c r="D40" s="429"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548"/>
      <c r="B41" s="201" t="str">
        <f t="shared" ref="B41:D41" si="6">B6</f>
        <v>T-CYC_CYC</v>
      </c>
      <c r="C41" s="201" t="s">
        <v>820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548"/>
      <c r="B42" s="201" t="str">
        <f t="shared" ref="B42:B59" si="8">B7</f>
        <v>T-MOT-ICE_GSL00</v>
      </c>
      <c r="C42" s="201" t="s">
        <v>820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548"/>
      <c r="B43" s="201" t="str">
        <f t="shared" si="8"/>
        <v>T-CAR-ICE_GSL00</v>
      </c>
      <c r="C43" s="201" t="s">
        <v>820</v>
      </c>
      <c r="D43" s="201" t="str">
        <f t="shared" si="9"/>
        <v>EFFICIENCY</v>
      </c>
      <c r="E43" s="11">
        <f t="shared" ref="E43:AE43" si="11">E8/1000</f>
        <v>0.40514416823643179</v>
      </c>
      <c r="F43" s="11">
        <f t="shared" si="11"/>
        <v>0.40570409228380649</v>
      </c>
      <c r="G43" s="11">
        <f t="shared" si="11"/>
        <v>0.40399737632467736</v>
      </c>
      <c r="H43" s="11">
        <f t="shared" si="11"/>
        <v>0.40571807180728725</v>
      </c>
      <c r="I43" s="11">
        <f t="shared" si="11"/>
        <v>0.40670346127162155</v>
      </c>
      <c r="J43" s="11">
        <f t="shared" si="11"/>
        <v>0.4060316752426355</v>
      </c>
      <c r="K43" s="11">
        <f t="shared" si="11"/>
        <v>0.40623967204072536</v>
      </c>
      <c r="L43" s="11">
        <f t="shared" si="11"/>
        <v>0.4088691917609158</v>
      </c>
      <c r="M43" s="11">
        <f t="shared" si="11"/>
        <v>0.40516014683437374</v>
      </c>
      <c r="N43" s="11">
        <f t="shared" si="11"/>
        <v>0.40654432148718844</v>
      </c>
      <c r="O43" s="11">
        <f t="shared" si="11"/>
        <v>0.40643409321723106</v>
      </c>
      <c r="P43" s="11">
        <f t="shared" si="11"/>
        <v>0.40718634837372314</v>
      </c>
      <c r="Q43" s="11">
        <f t="shared" si="11"/>
        <v>0.40464931332480403</v>
      </c>
      <c r="R43" s="11">
        <f t="shared" si="11"/>
        <v>0.40468959503037688</v>
      </c>
      <c r="S43" s="11">
        <f t="shared" si="11"/>
        <v>0.40550611545573889</v>
      </c>
      <c r="T43" s="11">
        <f t="shared" si="11"/>
        <v>0.4041364650190698</v>
      </c>
      <c r="U43" s="11">
        <f t="shared" si="11"/>
        <v>0.40525112002626834</v>
      </c>
      <c r="V43" s="11">
        <f t="shared" si="11"/>
        <v>0.40568782696320199</v>
      </c>
      <c r="W43" s="11">
        <f t="shared" si="11"/>
        <v>0.40749457262163608</v>
      </c>
      <c r="X43" s="11">
        <f t="shared" si="11"/>
        <v>0.40365614016220536</v>
      </c>
      <c r="Y43" s="11">
        <f t="shared" si="11"/>
        <v>0.40652118602942761</v>
      </c>
      <c r="Z43" s="11">
        <f t="shared" si="11"/>
        <v>0.40449540240841581</v>
      </c>
      <c r="AA43" s="11">
        <f t="shared" si="11"/>
        <v>0.40987826316569947</v>
      </c>
      <c r="AB43" s="11">
        <f t="shared" si="11"/>
        <v>0.40611443447575624</v>
      </c>
      <c r="AC43" s="11">
        <f t="shared" si="11"/>
        <v>0.40609598546341469</v>
      </c>
      <c r="AD43" s="11">
        <f t="shared" si="11"/>
        <v>0.40605450988523151</v>
      </c>
      <c r="AE43" s="11">
        <f t="shared" si="11"/>
        <v>0.4058815066585329</v>
      </c>
      <c r="AF43" s="11"/>
    </row>
    <row r="44" spans="1:32" s="201" customFormat="1">
      <c r="A44" s="548"/>
      <c r="B44" s="201" t="str">
        <f t="shared" si="8"/>
        <v>T-CAR-ICE_DST00</v>
      </c>
      <c r="C44" s="201" t="s">
        <v>820</v>
      </c>
      <c r="D44" s="201" t="str">
        <f t="shared" si="9"/>
        <v>EFFICIENCY</v>
      </c>
      <c r="E44" s="11">
        <f t="shared" ref="E44:AE44" si="12">E9/1000</f>
        <v>0.43528116997420369</v>
      </c>
      <c r="F44" s="11">
        <f t="shared" si="12"/>
        <v>0.43568137731760914</v>
      </c>
      <c r="G44" s="11">
        <f t="shared" si="12"/>
        <v>0.43112990634064663</v>
      </c>
      <c r="H44" s="11">
        <f t="shared" si="12"/>
        <v>0.43487246828918547</v>
      </c>
      <c r="I44" s="11">
        <f t="shared" si="12"/>
        <v>0.43746197204127674</v>
      </c>
      <c r="J44" s="11">
        <f t="shared" si="12"/>
        <v>0.43682533897248466</v>
      </c>
      <c r="K44" s="11">
        <f t="shared" si="12"/>
        <v>0.43337570366548667</v>
      </c>
      <c r="L44" s="11">
        <f t="shared" si="12"/>
        <v>0.43858680667037053</v>
      </c>
      <c r="M44" s="11">
        <f t="shared" si="12"/>
        <v>0.4351232711046466</v>
      </c>
      <c r="N44" s="11">
        <f t="shared" si="12"/>
        <v>0.43836058585439019</v>
      </c>
      <c r="O44" s="11">
        <f t="shared" si="12"/>
        <v>0.43645024044644348</v>
      </c>
      <c r="P44" s="11">
        <f t="shared" si="12"/>
        <v>0.43815831884500611</v>
      </c>
      <c r="Q44" s="11">
        <f t="shared" si="12"/>
        <v>0.43256072360069281</v>
      </c>
      <c r="R44" s="11">
        <f t="shared" si="12"/>
        <v>0.43824439164293227</v>
      </c>
      <c r="S44" s="11">
        <f t="shared" si="12"/>
        <v>0.43729970570673365</v>
      </c>
      <c r="T44" s="11">
        <f t="shared" si="12"/>
        <v>0.43647964644940634</v>
      </c>
      <c r="U44" s="11">
        <f t="shared" si="12"/>
        <v>0.43718279984087199</v>
      </c>
      <c r="V44" s="11">
        <f t="shared" si="12"/>
        <v>0.43652053494368209</v>
      </c>
      <c r="W44" s="11">
        <f t="shared" si="12"/>
        <v>0.43759518745048293</v>
      </c>
      <c r="X44" s="11">
        <f t="shared" si="12"/>
        <v>0.43397310412994633</v>
      </c>
      <c r="Y44" s="11">
        <f t="shared" si="12"/>
        <v>0.43505960814351896</v>
      </c>
      <c r="Z44" s="11">
        <f t="shared" si="12"/>
        <v>0.43439110178668427</v>
      </c>
      <c r="AA44" s="11">
        <f t="shared" si="12"/>
        <v>0.43950150370213775</v>
      </c>
      <c r="AB44" s="11">
        <f t="shared" si="12"/>
        <v>0.43476610783253605</v>
      </c>
      <c r="AC44" s="11">
        <f t="shared" si="12"/>
        <v>0.43651757818661108</v>
      </c>
      <c r="AD44" s="11">
        <f t="shared" si="12"/>
        <v>0.43712376857346397</v>
      </c>
      <c r="AE44" s="11">
        <f t="shared" si="12"/>
        <v>0.43468775899154277</v>
      </c>
    </row>
    <row r="45" spans="1:32" s="201" customFormat="1">
      <c r="A45" s="548"/>
      <c r="B45" s="201" t="str">
        <f t="shared" si="8"/>
        <v>T-CAR-ICE_DF00</v>
      </c>
      <c r="C45" s="201" t="s">
        <v>820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548"/>
      <c r="B46" s="201" t="str">
        <f t="shared" si="8"/>
        <v>T-CAR-ICE_E8500</v>
      </c>
      <c r="C46" s="201" t="s">
        <v>820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548"/>
      <c r="B47" s="201" t="str">
        <f t="shared" si="8"/>
        <v>T-CAR-HEV_GSL00</v>
      </c>
      <c r="C47" s="201" t="s">
        <v>820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548"/>
      <c r="B48" s="201" t="str">
        <f t="shared" si="8"/>
        <v>T-CAR-HEV_DST00</v>
      </c>
      <c r="C48" s="201" t="s">
        <v>820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548"/>
      <c r="B49" s="201" t="str">
        <f t="shared" si="8"/>
        <v>T-CAR-PHEV_GSL00</v>
      </c>
      <c r="C49" s="201" t="s">
        <v>820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548"/>
      <c r="B50" s="201" t="str">
        <f t="shared" si="8"/>
        <v>T-CAR-PHEV_DST00</v>
      </c>
      <c r="C50" s="201" t="s">
        <v>820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548"/>
      <c r="B51" s="201" t="str">
        <f t="shared" si="8"/>
        <v>T-CAR-BEV_ELC00</v>
      </c>
      <c r="C51" s="201" t="s">
        <v>820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548"/>
      <c r="B52" s="201" t="str">
        <f t="shared" si="8"/>
        <v>T-TAX-ICE_GSL00</v>
      </c>
      <c r="C52" s="201" t="s">
        <v>820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548"/>
      <c r="B53" s="201" t="str">
        <f t="shared" si="8"/>
        <v>T-TAX-ICE_DST00</v>
      </c>
      <c r="C53" s="201" t="s">
        <v>820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548"/>
      <c r="B54" s="201" t="str">
        <f t="shared" si="8"/>
        <v>T-TAX-HEV_GSL00</v>
      </c>
      <c r="C54" s="201" t="s">
        <v>820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548"/>
      <c r="B55" s="201" t="str">
        <f t="shared" si="8"/>
        <v>T-BUS-ICE_DST00</v>
      </c>
      <c r="C55" s="201" t="s">
        <v>820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548"/>
      <c r="B56" s="201" t="str">
        <f t="shared" si="8"/>
        <v>T-LPT-BEV_ELC00</v>
      </c>
      <c r="C56" s="201" t="s">
        <v>820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548"/>
      <c r="B57" s="201" t="str">
        <f t="shared" si="8"/>
        <v>T-HPT-BEV_ELC00</v>
      </c>
      <c r="C57" s="201" t="s">
        <v>820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548"/>
      <c r="B58" s="201" t="str">
        <f t="shared" si="8"/>
        <v>T-HPT-ICE_DST00</v>
      </c>
      <c r="C58" s="201" t="s">
        <v>820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548"/>
      <c r="B59" s="201" t="str">
        <f t="shared" si="8"/>
        <v>T-LGT-ICE_GSL00</v>
      </c>
      <c r="C59" s="429" t="s">
        <v>820</v>
      </c>
      <c r="D59" s="201" t="str">
        <f t="shared" si="9"/>
        <v>EFFICIENCY</v>
      </c>
      <c r="E59" s="11">
        <f t="shared" ref="E59:T63" si="27">E24/1000</f>
        <v>0.29120000000000001</v>
      </c>
      <c r="F59" s="11">
        <f t="shared" si="27"/>
        <v>0.29120000000000001</v>
      </c>
      <c r="G59" s="11">
        <f t="shared" si="27"/>
        <v>0.29120000000000001</v>
      </c>
      <c r="H59" s="11">
        <f t="shared" si="27"/>
        <v>0.29120000000000001</v>
      </c>
      <c r="I59" s="11">
        <f t="shared" si="27"/>
        <v>0.29120000000000001</v>
      </c>
      <c r="J59" s="11">
        <f t="shared" si="27"/>
        <v>0.29120000000000001</v>
      </c>
      <c r="K59" s="11">
        <f t="shared" si="27"/>
        <v>0.29120000000000001</v>
      </c>
      <c r="L59" s="11">
        <f t="shared" si="27"/>
        <v>0.29120000000000001</v>
      </c>
      <c r="M59" s="11">
        <f t="shared" si="27"/>
        <v>0.29120000000000001</v>
      </c>
      <c r="N59" s="11">
        <f t="shared" si="27"/>
        <v>0.29120000000000001</v>
      </c>
      <c r="O59" s="11">
        <f t="shared" si="27"/>
        <v>0.29120000000000001</v>
      </c>
      <c r="P59" s="11">
        <f t="shared" si="27"/>
        <v>0.29120000000000001</v>
      </c>
      <c r="Q59" s="11">
        <f t="shared" si="27"/>
        <v>0.29120000000000001</v>
      </c>
      <c r="R59" s="11">
        <f t="shared" si="27"/>
        <v>0.29120000000000001</v>
      </c>
      <c r="S59" s="11">
        <f t="shared" si="27"/>
        <v>0.29120000000000001</v>
      </c>
      <c r="T59" s="11">
        <f t="shared" si="27"/>
        <v>0.29120000000000001</v>
      </c>
      <c r="U59" s="11">
        <f t="shared" si="26"/>
        <v>0.29120000000000001</v>
      </c>
      <c r="V59" s="11">
        <f t="shared" si="26"/>
        <v>0.29120000000000001</v>
      </c>
      <c r="W59" s="11">
        <f t="shared" si="26"/>
        <v>0.29120000000000001</v>
      </c>
      <c r="X59" s="11">
        <f t="shared" si="26"/>
        <v>0.29120000000000001</v>
      </c>
      <c r="Y59" s="11">
        <f t="shared" si="26"/>
        <v>0.29120000000000001</v>
      </c>
      <c r="Z59" s="11">
        <f t="shared" si="26"/>
        <v>0.29120000000000001</v>
      </c>
      <c r="AA59" s="11">
        <f t="shared" si="26"/>
        <v>0.29120000000000001</v>
      </c>
      <c r="AB59" s="11">
        <f t="shared" si="26"/>
        <v>0.29120000000000001</v>
      </c>
      <c r="AC59" s="11">
        <f t="shared" si="26"/>
        <v>0.29120000000000001</v>
      </c>
      <c r="AD59" s="11">
        <f t="shared" si="26"/>
        <v>0.29120000000000001</v>
      </c>
      <c r="AE59" s="11">
        <f t="shared" si="26"/>
        <v>0.29120000000000001</v>
      </c>
    </row>
    <row r="60" spans="1:31" s="429" customFormat="1">
      <c r="A60" s="548"/>
      <c r="B60" s="429" t="str">
        <f t="shared" ref="B60:B61" si="28">B25</f>
        <v>T-LGT-ICE_DST00</v>
      </c>
      <c r="C60" s="429" t="s">
        <v>820</v>
      </c>
      <c r="D60" s="429" t="str">
        <f t="shared" ref="D60:D61" si="29">D25</f>
        <v>EFFICIENCY</v>
      </c>
      <c r="E60" s="11">
        <f t="shared" si="27"/>
        <v>0.28708</v>
      </c>
      <c r="F60" s="11">
        <f t="shared" si="26"/>
        <v>0.28708</v>
      </c>
      <c r="G60" s="11">
        <f t="shared" si="26"/>
        <v>0.28708</v>
      </c>
      <c r="H60" s="11">
        <f t="shared" si="26"/>
        <v>0.28708</v>
      </c>
      <c r="I60" s="11">
        <f t="shared" si="26"/>
        <v>0.28708</v>
      </c>
      <c r="J60" s="11">
        <f t="shared" si="26"/>
        <v>0.28708</v>
      </c>
      <c r="K60" s="11">
        <f t="shared" si="26"/>
        <v>0.28708</v>
      </c>
      <c r="L60" s="11">
        <f t="shared" si="26"/>
        <v>0.28708</v>
      </c>
      <c r="M60" s="11">
        <f t="shared" si="26"/>
        <v>0.28708</v>
      </c>
      <c r="N60" s="11">
        <f t="shared" si="26"/>
        <v>0.28708</v>
      </c>
      <c r="O60" s="11">
        <f t="shared" si="26"/>
        <v>0.28708</v>
      </c>
      <c r="P60" s="11">
        <f t="shared" si="26"/>
        <v>0.28708</v>
      </c>
      <c r="Q60" s="11">
        <f t="shared" si="26"/>
        <v>0.28708</v>
      </c>
      <c r="R60" s="11">
        <f t="shared" si="26"/>
        <v>0.28708</v>
      </c>
      <c r="S60" s="11">
        <f t="shared" si="26"/>
        <v>0.28708</v>
      </c>
      <c r="T60" s="11">
        <f t="shared" si="26"/>
        <v>0.28708</v>
      </c>
      <c r="U60" s="11">
        <f t="shared" si="26"/>
        <v>0.28708</v>
      </c>
      <c r="V60" s="11">
        <f t="shared" si="26"/>
        <v>0.28708</v>
      </c>
      <c r="W60" s="11">
        <f t="shared" si="26"/>
        <v>0.28708</v>
      </c>
      <c r="X60" s="11">
        <f t="shared" si="26"/>
        <v>0.28708</v>
      </c>
      <c r="Y60" s="11">
        <f t="shared" si="26"/>
        <v>0.28708</v>
      </c>
      <c r="Z60" s="11">
        <f t="shared" si="26"/>
        <v>0.28708</v>
      </c>
      <c r="AA60" s="11">
        <f t="shared" si="26"/>
        <v>0.28708</v>
      </c>
      <c r="AB60" s="11">
        <f t="shared" si="26"/>
        <v>0.28708</v>
      </c>
      <c r="AC60" s="11">
        <f t="shared" si="26"/>
        <v>0.28708</v>
      </c>
      <c r="AD60" s="11">
        <f t="shared" si="26"/>
        <v>0.28708</v>
      </c>
      <c r="AE60" s="11">
        <f t="shared" si="26"/>
        <v>0.28708</v>
      </c>
    </row>
    <row r="61" spans="1:31" s="429" customFormat="1">
      <c r="A61" s="548"/>
      <c r="B61" s="429" t="str">
        <f t="shared" si="28"/>
        <v>T-MGT-ICE_DST00</v>
      </c>
      <c r="C61" s="429" t="s">
        <v>820</v>
      </c>
      <c r="D61" s="429" t="str">
        <f t="shared" si="29"/>
        <v>EFFICIENCY</v>
      </c>
      <c r="E61" s="11">
        <f t="shared" si="27"/>
        <v>0.18009999999999998</v>
      </c>
      <c r="F61" s="11">
        <f t="shared" si="26"/>
        <v>0.18009999999999998</v>
      </c>
      <c r="G61" s="11">
        <f t="shared" si="26"/>
        <v>0.18009999999999998</v>
      </c>
      <c r="H61" s="11">
        <f t="shared" si="26"/>
        <v>0.18009999999999998</v>
      </c>
      <c r="I61" s="11">
        <f t="shared" si="26"/>
        <v>0.18009999999999998</v>
      </c>
      <c r="J61" s="11">
        <f t="shared" si="26"/>
        <v>0.18009999999999998</v>
      </c>
      <c r="K61" s="11">
        <f t="shared" si="26"/>
        <v>0.18009999999999998</v>
      </c>
      <c r="L61" s="11">
        <f t="shared" si="26"/>
        <v>0.18009999999999998</v>
      </c>
      <c r="M61" s="11">
        <f t="shared" si="26"/>
        <v>0.18009999999999998</v>
      </c>
      <c r="N61" s="11">
        <f t="shared" si="26"/>
        <v>0.18009999999999998</v>
      </c>
      <c r="O61" s="11">
        <f t="shared" si="26"/>
        <v>0.18009999999999998</v>
      </c>
      <c r="P61" s="11">
        <f t="shared" si="26"/>
        <v>0.18009999999999998</v>
      </c>
      <c r="Q61" s="11">
        <f t="shared" si="26"/>
        <v>0.18009999999999998</v>
      </c>
      <c r="R61" s="11">
        <f t="shared" si="26"/>
        <v>0.18009999999999998</v>
      </c>
      <c r="S61" s="11">
        <f t="shared" si="26"/>
        <v>0.18009999999999998</v>
      </c>
      <c r="T61" s="11">
        <f t="shared" si="26"/>
        <v>0.18009999999999998</v>
      </c>
      <c r="U61" s="11">
        <f t="shared" si="26"/>
        <v>0.18009999999999998</v>
      </c>
      <c r="V61" s="11">
        <f t="shared" si="26"/>
        <v>0.18009999999999998</v>
      </c>
      <c r="W61" s="11">
        <f t="shared" si="26"/>
        <v>0.18009999999999998</v>
      </c>
      <c r="X61" s="11">
        <f t="shared" si="26"/>
        <v>0.18009999999999998</v>
      </c>
      <c r="Y61" s="11">
        <f t="shared" si="26"/>
        <v>0.18009999999999998</v>
      </c>
      <c r="Z61" s="11">
        <f t="shared" si="26"/>
        <v>0.18009999999999998</v>
      </c>
      <c r="AA61" s="11">
        <f t="shared" si="26"/>
        <v>0.18009999999999998</v>
      </c>
      <c r="AB61" s="11">
        <f t="shared" si="26"/>
        <v>0.18009999999999998</v>
      </c>
      <c r="AC61" s="11">
        <f t="shared" si="26"/>
        <v>0.18009999999999998</v>
      </c>
      <c r="AD61" s="11">
        <f t="shared" si="26"/>
        <v>0.18009999999999998</v>
      </c>
      <c r="AE61" s="11">
        <f t="shared" si="26"/>
        <v>0.18009999999999998</v>
      </c>
    </row>
    <row r="62" spans="1:31" s="201" customFormat="1">
      <c r="A62" s="548"/>
      <c r="B62" s="201" t="str">
        <f t="shared" ref="B62:B68" si="30">B27</f>
        <v>T-HGT-ICE_DST00</v>
      </c>
      <c r="C62" s="429" t="s">
        <v>820</v>
      </c>
      <c r="D62" s="201" t="str">
        <f t="shared" ref="D62:D68" si="31">D27</f>
        <v>EFFICIENCY</v>
      </c>
      <c r="E62" s="11">
        <f t="shared" si="27"/>
        <v>0.16544999999999999</v>
      </c>
      <c r="F62" s="11">
        <f t="shared" si="26"/>
        <v>0.16544999999999999</v>
      </c>
      <c r="G62" s="11">
        <f t="shared" si="26"/>
        <v>0.16544999999999999</v>
      </c>
      <c r="H62" s="11">
        <f t="shared" si="26"/>
        <v>0.16544999999999999</v>
      </c>
      <c r="I62" s="11">
        <f t="shared" si="26"/>
        <v>0.16544999999999999</v>
      </c>
      <c r="J62" s="11">
        <f t="shared" si="26"/>
        <v>0.16544999999999999</v>
      </c>
      <c r="K62" s="11">
        <f t="shared" si="26"/>
        <v>0.16544999999999999</v>
      </c>
      <c r="L62" s="11">
        <f t="shared" si="26"/>
        <v>0.16544999999999999</v>
      </c>
      <c r="M62" s="11">
        <f t="shared" si="26"/>
        <v>0.16544999999999999</v>
      </c>
      <c r="N62" s="11">
        <f t="shared" si="26"/>
        <v>0.16544999999999999</v>
      </c>
      <c r="O62" s="11">
        <f t="shared" si="26"/>
        <v>0.16544999999999999</v>
      </c>
      <c r="P62" s="11">
        <f t="shared" si="26"/>
        <v>0.16544999999999999</v>
      </c>
      <c r="Q62" s="11">
        <f t="shared" si="26"/>
        <v>0.16544999999999999</v>
      </c>
      <c r="R62" s="11">
        <f t="shared" si="26"/>
        <v>0.16544999999999999</v>
      </c>
      <c r="S62" s="11">
        <f t="shared" si="26"/>
        <v>0.16544999999999999</v>
      </c>
      <c r="T62" s="11">
        <f t="shared" si="26"/>
        <v>0.16544999999999999</v>
      </c>
      <c r="U62" s="11">
        <f t="shared" si="26"/>
        <v>0.16544999999999999</v>
      </c>
      <c r="V62" s="11">
        <f t="shared" si="26"/>
        <v>0.16544999999999999</v>
      </c>
      <c r="W62" s="11">
        <f t="shared" si="26"/>
        <v>0.16544999999999999</v>
      </c>
      <c r="X62" s="11">
        <f t="shared" si="26"/>
        <v>0.16544999999999999</v>
      </c>
      <c r="Y62" s="11">
        <f t="shared" si="26"/>
        <v>0.16544999999999999</v>
      </c>
      <c r="Z62" s="11">
        <f t="shared" si="26"/>
        <v>0.16544999999999999</v>
      </c>
      <c r="AA62" s="11">
        <f t="shared" si="26"/>
        <v>0.16544999999999999</v>
      </c>
      <c r="AB62" s="11">
        <f t="shared" si="26"/>
        <v>0.16544999999999999</v>
      </c>
      <c r="AC62" s="11">
        <f t="shared" si="26"/>
        <v>0.16544999999999999</v>
      </c>
      <c r="AD62" s="11">
        <f t="shared" si="26"/>
        <v>0.16544999999999999</v>
      </c>
      <c r="AE62" s="11">
        <f t="shared" si="26"/>
        <v>0.16544999999999999</v>
      </c>
    </row>
    <row r="63" spans="1:31" s="201" customFormat="1">
      <c r="A63" s="548"/>
      <c r="B63" s="201" t="str">
        <f t="shared" si="30"/>
        <v>T-GTR-ICE_DST00</v>
      </c>
      <c r="C63" s="429" t="s">
        <v>820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548"/>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548"/>
      <c r="B65" s="201" t="str">
        <f t="shared" si="30"/>
        <v>T-NAV_CON00</v>
      </c>
      <c r="C65" s="429"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548"/>
      <c r="B66" s="201" t="str">
        <f t="shared" si="30"/>
        <v>T-OTH_CON00</v>
      </c>
      <c r="C66" s="429"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548"/>
      <c r="B67" s="2" t="str">
        <f t="shared" si="30"/>
        <v>T-AVI_DOM00</v>
      </c>
      <c r="C67" s="429"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548"/>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548"/>
      <c r="B69" s="28" t="s">
        <v>774</v>
      </c>
    </row>
    <row r="70" spans="1:31" s="201" customFormat="1">
      <c r="A70" s="548"/>
      <c r="B70" s="28"/>
    </row>
    <row r="71" spans="1:31" s="201" customFormat="1">
      <c r="A71" s="548"/>
      <c r="B71" s="28"/>
    </row>
    <row r="72" spans="1:31" s="201" customFormat="1">
      <c r="A72" s="548"/>
      <c r="B72" s="28"/>
    </row>
    <row r="73" spans="1:31" s="201" customFormat="1">
      <c r="A73" s="548"/>
      <c r="B73" s="28"/>
    </row>
    <row r="74" spans="1:31" s="201" customFormat="1">
      <c r="A74" s="548"/>
      <c r="B74" s="28"/>
    </row>
    <row r="75" spans="1:31" s="201" customFormat="1">
      <c r="A75" s="548"/>
      <c r="B75" s="28"/>
    </row>
    <row r="76" spans="1:31" s="201" customFormat="1">
      <c r="A76" s="548"/>
      <c r="B76" s="28"/>
    </row>
    <row r="77" spans="1:31" s="201" customFormat="1">
      <c r="A77" s="548"/>
      <c r="B77" s="28"/>
    </row>
    <row r="78" spans="1:31" s="201" customFormat="1">
      <c r="A78" s="548"/>
      <c r="B78" s="28"/>
    </row>
    <row r="79" spans="1:31" s="201" customFormat="1">
      <c r="A79" s="548"/>
      <c r="B79" s="28"/>
    </row>
    <row r="80" spans="1:31" s="201" customFormat="1">
      <c r="A80" s="548"/>
      <c r="B80" s="28"/>
    </row>
    <row r="81" spans="1:30" s="201" customFormat="1">
      <c r="A81" s="548"/>
      <c r="B81" s="28"/>
    </row>
    <row r="82" spans="1:30" s="201" customFormat="1">
      <c r="A82" s="548"/>
      <c r="B82" s="28"/>
    </row>
    <row r="83" spans="1:30" s="201" customFormat="1">
      <c r="A83" s="548"/>
      <c r="B83" s="28"/>
    </row>
    <row r="84" spans="1:30" s="201" customFormat="1">
      <c r="A84" s="548"/>
      <c r="B84" s="28"/>
    </row>
    <row r="85" spans="1:30" s="201" customFormat="1">
      <c r="A85" s="548"/>
      <c r="B85" s="28"/>
    </row>
    <row r="86" spans="1:30" s="201" customFormat="1">
      <c r="A86" s="548"/>
      <c r="B86" s="28"/>
    </row>
    <row r="87" spans="1:30" s="201" customFormat="1">
      <c r="A87" s="548"/>
      <c r="B87" s="28"/>
    </row>
    <row r="88" spans="1:30" s="201" customFormat="1">
      <c r="A88" s="548"/>
      <c r="B88" s="28"/>
    </row>
    <row r="89" spans="1:30" s="201" customFormat="1">
      <c r="A89" s="548"/>
      <c r="B89" s="28"/>
    </row>
    <row r="90" spans="1:30">
      <c r="B90" s="28"/>
      <c r="C90" s="203"/>
    </row>
    <row r="92" spans="1:30">
      <c r="B92" s="190"/>
      <c r="D92" s="190"/>
      <c r="E92" s="190"/>
      <c r="F92" s="190"/>
      <c r="G92" s="190"/>
      <c r="H92" s="190"/>
      <c r="I92" s="190"/>
      <c r="J92" s="190"/>
      <c r="K92" s="190"/>
      <c r="L92" s="190"/>
      <c r="M92" s="190"/>
    </row>
    <row r="93" spans="1:30">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row>
    <row r="94" spans="1:30" ht="15.6">
      <c r="B94" s="167" t="s">
        <v>589</v>
      </c>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30">
      <c r="B95" s="114" t="s">
        <v>588</v>
      </c>
      <c r="C95" s="114" t="s">
        <v>63</v>
      </c>
      <c r="D95" s="114" t="str">
        <f>Regions!C3</f>
        <v>IE</v>
      </c>
      <c r="E95" s="114" t="str">
        <f>Regions!E3</f>
        <v>IE-CW</v>
      </c>
      <c r="F95" s="114" t="str">
        <f>Regions!F3</f>
        <v>IE-D</v>
      </c>
      <c r="G95" s="114" t="str">
        <f>Regions!G3</f>
        <v>IE-KE</v>
      </c>
      <c r="H95" s="114" t="str">
        <f>Regions!H3</f>
        <v>IE-KK</v>
      </c>
      <c r="I95" s="114" t="str">
        <f>Regions!I3</f>
        <v>IE-LS</v>
      </c>
      <c r="J95" s="114" t="str">
        <f>Regions!J3</f>
        <v>IE-LD</v>
      </c>
      <c r="K95" s="114" t="str">
        <f>Regions!K3</f>
        <v>IE-LH</v>
      </c>
      <c r="L95" s="114" t="str">
        <f>Regions!L3</f>
        <v>IE-MH</v>
      </c>
      <c r="M95" s="114" t="str">
        <f>Regions!M3</f>
        <v>IE-OY</v>
      </c>
      <c r="N95" s="114" t="str">
        <f>Regions!N3</f>
        <v>IE-WH</v>
      </c>
      <c r="O95" s="114" t="str">
        <f>Regions!O3</f>
        <v>IE-WX</v>
      </c>
      <c r="P95" s="114" t="str">
        <f>Regions!P3</f>
        <v>IE-WW</v>
      </c>
      <c r="Q95" s="114" t="str">
        <f>Regions!Q3</f>
        <v>IE-CE</v>
      </c>
      <c r="R95" s="114" t="str">
        <f>Regions!R3</f>
        <v>IE-CO</v>
      </c>
      <c r="S95" s="114" t="str">
        <f>Regions!S3</f>
        <v>IE-KY</v>
      </c>
      <c r="T95" s="114" t="str">
        <f>Regions!T3</f>
        <v>IE-LK</v>
      </c>
      <c r="U95" s="114" t="str">
        <f>Regions!U3</f>
        <v>IE-TA</v>
      </c>
      <c r="V95" s="114" t="str">
        <f>Regions!V3</f>
        <v>IE-WD</v>
      </c>
      <c r="W95" s="114" t="str">
        <f>Regions!W3</f>
        <v>IE-G</v>
      </c>
      <c r="X95" s="114" t="str">
        <f>Regions!X3</f>
        <v>IE-LM</v>
      </c>
      <c r="Y95" s="114" t="str">
        <f>Regions!Y3</f>
        <v>IE-MO</v>
      </c>
      <c r="Z95" s="114" t="str">
        <f>Regions!Z3</f>
        <v>IE-RN</v>
      </c>
      <c r="AA95" s="114" t="str">
        <f>Regions!AA3</f>
        <v>IE-SO</v>
      </c>
      <c r="AB95" s="114" t="str">
        <f>Regions!AB3</f>
        <v>IE-CN</v>
      </c>
      <c r="AC95" s="114" t="str">
        <f>Regions!AC3</f>
        <v>IE-DL</v>
      </c>
      <c r="AD95" s="114" t="str">
        <f>Regions!AD3</f>
        <v>IE-MN</v>
      </c>
    </row>
    <row r="96" spans="1:30">
      <c r="B96" s="201" t="s">
        <v>332</v>
      </c>
      <c r="C96" s="201" t="s">
        <v>516</v>
      </c>
      <c r="D96" s="36">
        <f>SUM(E96:AD96)</f>
        <v>146343</v>
      </c>
      <c r="E96" s="36">
        <v>1607</v>
      </c>
      <c r="F96" s="36">
        <v>44721</v>
      </c>
      <c r="G96" s="36">
        <v>6850</v>
      </c>
      <c r="H96" s="36">
        <v>2837</v>
      </c>
      <c r="I96" s="36">
        <v>1998</v>
      </c>
      <c r="J96" s="36">
        <v>1009</v>
      </c>
      <c r="K96" s="36">
        <v>3827</v>
      </c>
      <c r="L96" s="36">
        <v>4898</v>
      </c>
      <c r="M96" s="36">
        <v>2107</v>
      </c>
      <c r="N96" s="36">
        <v>2345</v>
      </c>
      <c r="O96" s="36">
        <v>4866</v>
      </c>
      <c r="P96" s="36">
        <v>4832</v>
      </c>
      <c r="Q96" s="36">
        <v>3493</v>
      </c>
      <c r="R96" s="36">
        <v>19213</v>
      </c>
      <c r="S96" s="36">
        <v>4426</v>
      </c>
      <c r="T96" s="36">
        <v>6145</v>
      </c>
      <c r="U96" s="36">
        <v>4872</v>
      </c>
      <c r="V96" s="36">
        <v>4732</v>
      </c>
      <c r="W96" s="36">
        <v>6394</v>
      </c>
      <c r="X96" s="36">
        <v>815</v>
      </c>
      <c r="Y96" s="36">
        <v>3469</v>
      </c>
      <c r="Z96" s="36">
        <v>2304</v>
      </c>
      <c r="AA96" s="36">
        <v>1939</v>
      </c>
      <c r="AB96" s="36">
        <v>1752</v>
      </c>
      <c r="AC96" s="36">
        <v>3704</v>
      </c>
      <c r="AD96" s="36">
        <v>1188</v>
      </c>
    </row>
    <row r="97" spans="1:30">
      <c r="B97" s="201" t="s">
        <v>333</v>
      </c>
      <c r="C97" s="201" t="s">
        <v>516</v>
      </c>
      <c r="D97" s="36">
        <f t="shared" ref="D97:D102" si="37">SUM(E97:AD97)</f>
        <v>138644</v>
      </c>
      <c r="E97" s="36">
        <v>1575</v>
      </c>
      <c r="F97" s="36">
        <v>45979</v>
      </c>
      <c r="G97" s="36">
        <v>7239</v>
      </c>
      <c r="H97" s="36">
        <v>2645</v>
      </c>
      <c r="I97" s="36">
        <v>1765</v>
      </c>
      <c r="J97" s="36">
        <v>750</v>
      </c>
      <c r="K97" s="36">
        <v>3753</v>
      </c>
      <c r="L97" s="36">
        <v>5568</v>
      </c>
      <c r="M97" s="36">
        <v>1704</v>
      </c>
      <c r="N97" s="36">
        <v>2156</v>
      </c>
      <c r="O97" s="36">
        <v>4670</v>
      </c>
      <c r="P97" s="36">
        <v>5405</v>
      </c>
      <c r="Q97" s="36">
        <v>3113</v>
      </c>
      <c r="R97" s="36">
        <v>16804</v>
      </c>
      <c r="S97" s="36">
        <v>3960</v>
      </c>
      <c r="T97" s="36">
        <v>5289</v>
      </c>
      <c r="U97" s="36">
        <v>4174</v>
      </c>
      <c r="V97" s="36">
        <v>4277</v>
      </c>
      <c r="W97" s="36">
        <v>5661</v>
      </c>
      <c r="X97" s="36">
        <v>703</v>
      </c>
      <c r="Y97" s="36">
        <v>2451</v>
      </c>
      <c r="Z97" s="36">
        <v>2122</v>
      </c>
      <c r="AA97" s="36">
        <v>1563</v>
      </c>
      <c r="AB97" s="36">
        <v>1437</v>
      </c>
      <c r="AC97" s="36">
        <v>2783</v>
      </c>
      <c r="AD97" s="36">
        <v>1098</v>
      </c>
    </row>
    <row r="98" spans="1:30">
      <c r="B98" s="201" t="s">
        <v>334</v>
      </c>
      <c r="C98" s="201" t="s">
        <v>516</v>
      </c>
      <c r="D98" s="36">
        <f t="shared" si="37"/>
        <v>393926</v>
      </c>
      <c r="E98" s="36">
        <v>4799</v>
      </c>
      <c r="F98" s="36">
        <v>114073</v>
      </c>
      <c r="G98" s="36">
        <v>17645</v>
      </c>
      <c r="H98" s="36">
        <v>7527</v>
      </c>
      <c r="I98" s="36">
        <v>5289</v>
      </c>
      <c r="J98" s="36">
        <v>2507</v>
      </c>
      <c r="K98" s="36">
        <v>8301</v>
      </c>
      <c r="L98" s="36">
        <v>13858</v>
      </c>
      <c r="M98" s="36">
        <v>5188</v>
      </c>
      <c r="N98" s="36">
        <v>6162</v>
      </c>
      <c r="O98" s="36">
        <v>12455</v>
      </c>
      <c r="P98" s="36">
        <v>12664</v>
      </c>
      <c r="Q98" s="36">
        <v>10503</v>
      </c>
      <c r="R98" s="36">
        <v>53424</v>
      </c>
      <c r="S98" s="36">
        <v>14158</v>
      </c>
      <c r="T98" s="36">
        <v>17767</v>
      </c>
      <c r="U98" s="36">
        <v>13508</v>
      </c>
      <c r="V98" s="36">
        <v>11369</v>
      </c>
      <c r="W98" s="36">
        <v>20494</v>
      </c>
      <c r="X98" s="36">
        <v>2238</v>
      </c>
      <c r="Y98" s="36">
        <v>10618</v>
      </c>
      <c r="Z98" s="36">
        <v>5050</v>
      </c>
      <c r="AA98" s="36">
        <v>5309</v>
      </c>
      <c r="AB98" s="36">
        <v>4593</v>
      </c>
      <c r="AC98" s="36">
        <v>10671</v>
      </c>
      <c r="AD98" s="36">
        <v>3756</v>
      </c>
    </row>
    <row r="99" spans="1:30">
      <c r="B99" s="201" t="s">
        <v>335</v>
      </c>
      <c r="C99" s="201" t="s">
        <v>516</v>
      </c>
      <c r="D99" s="36">
        <f t="shared" si="37"/>
        <v>172596</v>
      </c>
      <c r="E99" s="36">
        <v>1951</v>
      </c>
      <c r="F99" s="36">
        <v>55508</v>
      </c>
      <c r="G99" s="36">
        <v>8154</v>
      </c>
      <c r="H99" s="36">
        <v>2985</v>
      </c>
      <c r="I99" s="36">
        <v>2300</v>
      </c>
      <c r="J99" s="36">
        <v>1073</v>
      </c>
      <c r="K99" s="36">
        <v>3207</v>
      </c>
      <c r="L99" s="36">
        <v>6291</v>
      </c>
      <c r="M99" s="36">
        <v>2287</v>
      </c>
      <c r="N99" s="36">
        <v>2559</v>
      </c>
      <c r="O99" s="36">
        <v>4959</v>
      </c>
      <c r="P99" s="36">
        <v>5863</v>
      </c>
      <c r="Q99" s="36">
        <v>4995</v>
      </c>
      <c r="R99" s="36">
        <v>20914</v>
      </c>
      <c r="S99" s="36">
        <v>6504</v>
      </c>
      <c r="T99" s="36">
        <v>7743</v>
      </c>
      <c r="U99" s="36">
        <v>5901</v>
      </c>
      <c r="V99" s="36">
        <v>4686</v>
      </c>
      <c r="W99" s="36">
        <v>8859</v>
      </c>
      <c r="X99" s="36">
        <v>852</v>
      </c>
      <c r="Y99" s="36">
        <v>4100</v>
      </c>
      <c r="Z99" s="36">
        <v>1802</v>
      </c>
      <c r="AA99" s="36">
        <v>2087</v>
      </c>
      <c r="AB99" s="36">
        <v>1974</v>
      </c>
      <c r="AC99" s="36">
        <v>3800</v>
      </c>
      <c r="AD99" s="36">
        <v>1242</v>
      </c>
    </row>
    <row r="100" spans="1:30">
      <c r="B100" s="201" t="s">
        <v>336</v>
      </c>
      <c r="C100" s="201" t="s">
        <v>516</v>
      </c>
      <c r="D100" s="36">
        <f t="shared" si="37"/>
        <v>46276</v>
      </c>
      <c r="E100" s="36">
        <v>459</v>
      </c>
      <c r="F100" s="36">
        <v>17887</v>
      </c>
      <c r="G100" s="36">
        <v>2307</v>
      </c>
      <c r="H100" s="36">
        <v>694</v>
      </c>
      <c r="I100" s="36">
        <v>559</v>
      </c>
      <c r="J100" s="36">
        <v>260</v>
      </c>
      <c r="K100" s="36">
        <v>829</v>
      </c>
      <c r="L100" s="36">
        <v>1859</v>
      </c>
      <c r="M100" s="36">
        <v>525</v>
      </c>
      <c r="N100" s="36">
        <v>628</v>
      </c>
      <c r="O100" s="36">
        <v>1172</v>
      </c>
      <c r="P100" s="36">
        <v>1780</v>
      </c>
      <c r="Q100" s="36">
        <v>1005</v>
      </c>
      <c r="R100" s="36">
        <v>5389</v>
      </c>
      <c r="S100" s="36">
        <v>1402</v>
      </c>
      <c r="T100" s="36">
        <v>1688</v>
      </c>
      <c r="U100" s="36">
        <v>1265</v>
      </c>
      <c r="V100" s="36">
        <v>1114</v>
      </c>
      <c r="W100" s="36">
        <v>2186</v>
      </c>
      <c r="X100" s="36">
        <v>170</v>
      </c>
      <c r="Y100" s="36">
        <v>943</v>
      </c>
      <c r="Z100" s="36">
        <v>347</v>
      </c>
      <c r="AA100" s="36">
        <v>439</v>
      </c>
      <c r="AB100" s="36">
        <v>401</v>
      </c>
      <c r="AC100" s="36">
        <v>688</v>
      </c>
      <c r="AD100" s="36">
        <v>280</v>
      </c>
    </row>
    <row r="101" spans="1:30">
      <c r="B101" s="201" t="s">
        <v>337</v>
      </c>
      <c r="C101" s="201" t="s">
        <v>516</v>
      </c>
      <c r="D101" s="36">
        <f t="shared" si="37"/>
        <v>36748</v>
      </c>
      <c r="E101" s="36">
        <v>328</v>
      </c>
      <c r="F101" s="36">
        <v>15022</v>
      </c>
      <c r="G101" s="36">
        <v>1770</v>
      </c>
      <c r="H101" s="36">
        <v>513</v>
      </c>
      <c r="I101" s="36">
        <v>390</v>
      </c>
      <c r="J101" s="36">
        <v>168</v>
      </c>
      <c r="K101" s="36">
        <v>594</v>
      </c>
      <c r="L101" s="36">
        <v>1300</v>
      </c>
      <c r="M101" s="36">
        <v>355</v>
      </c>
      <c r="N101" s="36">
        <v>458</v>
      </c>
      <c r="O101" s="36">
        <v>891</v>
      </c>
      <c r="P101" s="36">
        <v>1698</v>
      </c>
      <c r="Q101" s="36">
        <v>770</v>
      </c>
      <c r="R101" s="36">
        <v>4295</v>
      </c>
      <c r="S101" s="36">
        <v>1027</v>
      </c>
      <c r="T101" s="36">
        <v>1208</v>
      </c>
      <c r="U101" s="36">
        <v>900</v>
      </c>
      <c r="V101" s="36">
        <v>778</v>
      </c>
      <c r="W101" s="36">
        <v>1712</v>
      </c>
      <c r="X101" s="36">
        <v>147</v>
      </c>
      <c r="Y101" s="36">
        <v>656</v>
      </c>
      <c r="Z101" s="36">
        <v>275</v>
      </c>
      <c r="AA101" s="36">
        <v>340</v>
      </c>
      <c r="AB101" s="36">
        <v>324</v>
      </c>
      <c r="AC101" s="36">
        <v>597</v>
      </c>
      <c r="AD101" s="36">
        <v>232</v>
      </c>
    </row>
    <row r="102" spans="1:30" s="190" customFormat="1">
      <c r="A102" s="548"/>
      <c r="B102" s="201" t="s">
        <v>338</v>
      </c>
      <c r="C102" s="201" t="s">
        <v>516</v>
      </c>
      <c r="D102" s="36">
        <f t="shared" si="37"/>
        <v>12327</v>
      </c>
      <c r="E102" s="36">
        <v>77</v>
      </c>
      <c r="F102" s="36">
        <v>6218</v>
      </c>
      <c r="G102" s="36">
        <v>556</v>
      </c>
      <c r="H102" s="36">
        <v>145</v>
      </c>
      <c r="I102" s="36">
        <v>90</v>
      </c>
      <c r="J102" s="36">
        <v>37</v>
      </c>
      <c r="K102" s="36">
        <v>211</v>
      </c>
      <c r="L102" s="36">
        <v>442</v>
      </c>
      <c r="M102" s="36">
        <v>86</v>
      </c>
      <c r="N102" s="36">
        <v>109</v>
      </c>
      <c r="O102" s="36">
        <v>223</v>
      </c>
      <c r="P102" s="36">
        <v>605</v>
      </c>
      <c r="Q102" s="36">
        <v>178</v>
      </c>
      <c r="R102" s="36">
        <v>1189</v>
      </c>
      <c r="S102" s="36">
        <v>250</v>
      </c>
      <c r="T102" s="36">
        <v>306</v>
      </c>
      <c r="U102" s="36">
        <v>234</v>
      </c>
      <c r="V102" s="36">
        <v>203</v>
      </c>
      <c r="W102" s="36">
        <v>514</v>
      </c>
      <c r="X102" s="36">
        <v>36</v>
      </c>
      <c r="Y102" s="36">
        <v>167</v>
      </c>
      <c r="Z102" s="36">
        <v>71</v>
      </c>
      <c r="AA102" s="36">
        <v>84</v>
      </c>
      <c r="AB102" s="36">
        <v>87</v>
      </c>
      <c r="AC102" s="36">
        <v>155</v>
      </c>
      <c r="AD102" s="36">
        <v>54</v>
      </c>
    </row>
    <row r="103" spans="1:30" s="190" customFormat="1">
      <c r="A103" s="548"/>
      <c r="B103" s="200" t="s">
        <v>16</v>
      </c>
      <c r="C103" s="200" t="s">
        <v>516</v>
      </c>
      <c r="D103" s="246">
        <f>SUM(E103:AD103)</f>
        <v>946860</v>
      </c>
      <c r="E103" s="246">
        <f t="shared" ref="E103:AD103" si="38">SUM(E96:E102)</f>
        <v>10796</v>
      </c>
      <c r="F103" s="246">
        <f t="shared" si="38"/>
        <v>299408</v>
      </c>
      <c r="G103" s="246">
        <f t="shared" si="38"/>
        <v>44521</v>
      </c>
      <c r="H103" s="246">
        <f t="shared" si="38"/>
        <v>17346</v>
      </c>
      <c r="I103" s="246">
        <f t="shared" si="38"/>
        <v>12391</v>
      </c>
      <c r="J103" s="246">
        <f t="shared" si="38"/>
        <v>5804</v>
      </c>
      <c r="K103" s="246">
        <f t="shared" si="38"/>
        <v>20722</v>
      </c>
      <c r="L103" s="246">
        <f t="shared" si="38"/>
        <v>34216</v>
      </c>
      <c r="M103" s="246">
        <f t="shared" si="38"/>
        <v>12252</v>
      </c>
      <c r="N103" s="246">
        <f t="shared" si="38"/>
        <v>14417</v>
      </c>
      <c r="O103" s="246">
        <f t="shared" si="38"/>
        <v>29236</v>
      </c>
      <c r="P103" s="246">
        <f t="shared" si="38"/>
        <v>32847</v>
      </c>
      <c r="Q103" s="246">
        <f t="shared" si="38"/>
        <v>24057</v>
      </c>
      <c r="R103" s="246">
        <f t="shared" si="38"/>
        <v>121228</v>
      </c>
      <c r="S103" s="246">
        <f t="shared" si="38"/>
        <v>31727</v>
      </c>
      <c r="T103" s="246">
        <f t="shared" si="38"/>
        <v>40146</v>
      </c>
      <c r="U103" s="246">
        <f t="shared" si="38"/>
        <v>30854</v>
      </c>
      <c r="V103" s="246">
        <f t="shared" si="38"/>
        <v>27159</v>
      </c>
      <c r="W103" s="246">
        <f t="shared" si="38"/>
        <v>45820</v>
      </c>
      <c r="X103" s="246">
        <f t="shared" si="38"/>
        <v>4961</v>
      </c>
      <c r="Y103" s="246">
        <f t="shared" si="38"/>
        <v>22404</v>
      </c>
      <c r="Z103" s="246">
        <f t="shared" si="38"/>
        <v>11971</v>
      </c>
      <c r="AA103" s="246">
        <f t="shared" si="38"/>
        <v>11761</v>
      </c>
      <c r="AB103" s="246">
        <f t="shared" si="38"/>
        <v>10568</v>
      </c>
      <c r="AC103" s="246">
        <f t="shared" si="38"/>
        <v>22398</v>
      </c>
      <c r="AD103" s="246">
        <f t="shared" si="38"/>
        <v>7850</v>
      </c>
    </row>
    <row r="104" spans="1:30" s="190" customFormat="1">
      <c r="A104" s="548"/>
      <c r="B104" s="201" t="s">
        <v>599</v>
      </c>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spans="1:30">
      <c r="B105" s="190"/>
      <c r="D105" s="201"/>
      <c r="E105" s="190"/>
      <c r="F105" s="190"/>
      <c r="G105" s="190"/>
      <c r="H105" s="190"/>
      <c r="I105" s="190"/>
    </row>
    <row r="106" spans="1:30">
      <c r="B106" s="190"/>
      <c r="D106" s="201"/>
      <c r="E106" s="190"/>
      <c r="F106" s="190"/>
      <c r="G106" s="190"/>
      <c r="H106" s="190"/>
      <c r="I106" s="190"/>
    </row>
    <row r="107" spans="1:30">
      <c r="B107" s="190"/>
      <c r="D107" s="201"/>
      <c r="E107" s="190"/>
      <c r="F107" s="190"/>
      <c r="G107" s="190"/>
      <c r="H107" s="190"/>
      <c r="I107" s="190"/>
    </row>
    <row r="108" spans="1:30" ht="15.6">
      <c r="B108" s="167" t="s">
        <v>590</v>
      </c>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row>
    <row r="109" spans="1:30">
      <c r="B109" s="114" t="s">
        <v>588</v>
      </c>
      <c r="C109" s="114" t="s">
        <v>63</v>
      </c>
      <c r="D109" s="114" t="str">
        <f>D95</f>
        <v>IE</v>
      </c>
      <c r="E109" s="114" t="str">
        <f t="shared" ref="E109:AD109" si="39">E95</f>
        <v>IE-CW</v>
      </c>
      <c r="F109" s="114" t="str">
        <f t="shared" si="39"/>
        <v>IE-D</v>
      </c>
      <c r="G109" s="114" t="str">
        <f t="shared" si="39"/>
        <v>IE-KE</v>
      </c>
      <c r="H109" s="114" t="str">
        <f t="shared" si="39"/>
        <v>IE-KK</v>
      </c>
      <c r="I109" s="114" t="str">
        <f t="shared" si="39"/>
        <v>IE-LS</v>
      </c>
      <c r="J109" s="114" t="str">
        <f t="shared" si="39"/>
        <v>IE-LD</v>
      </c>
      <c r="K109" s="114" t="str">
        <f t="shared" si="39"/>
        <v>IE-LH</v>
      </c>
      <c r="L109" s="114" t="str">
        <f t="shared" si="39"/>
        <v>IE-MH</v>
      </c>
      <c r="M109" s="114" t="str">
        <f t="shared" si="39"/>
        <v>IE-OY</v>
      </c>
      <c r="N109" s="114" t="str">
        <f t="shared" si="39"/>
        <v>IE-WH</v>
      </c>
      <c r="O109" s="114" t="str">
        <f t="shared" si="39"/>
        <v>IE-WX</v>
      </c>
      <c r="P109" s="114" t="str">
        <f t="shared" si="39"/>
        <v>IE-WW</v>
      </c>
      <c r="Q109" s="114" t="str">
        <f t="shared" si="39"/>
        <v>IE-CE</v>
      </c>
      <c r="R109" s="114" t="str">
        <f t="shared" si="39"/>
        <v>IE-CO</v>
      </c>
      <c r="S109" s="114" t="str">
        <f t="shared" si="39"/>
        <v>IE-KY</v>
      </c>
      <c r="T109" s="114" t="str">
        <f t="shared" si="39"/>
        <v>IE-LK</v>
      </c>
      <c r="U109" s="114" t="str">
        <f t="shared" si="39"/>
        <v>IE-TA</v>
      </c>
      <c r="V109" s="114" t="str">
        <f t="shared" si="39"/>
        <v>IE-WD</v>
      </c>
      <c r="W109" s="114" t="str">
        <f t="shared" si="39"/>
        <v>IE-G</v>
      </c>
      <c r="X109" s="114" t="str">
        <f t="shared" si="39"/>
        <v>IE-LM</v>
      </c>
      <c r="Y109" s="114" t="str">
        <f t="shared" si="39"/>
        <v>IE-MO</v>
      </c>
      <c r="Z109" s="114" t="str">
        <f t="shared" si="39"/>
        <v>IE-RN</v>
      </c>
      <c r="AA109" s="114" t="str">
        <f t="shared" si="39"/>
        <v>IE-SO</v>
      </c>
      <c r="AB109" s="114" t="str">
        <f t="shared" si="39"/>
        <v>IE-CN</v>
      </c>
      <c r="AC109" s="114" t="str">
        <f t="shared" si="39"/>
        <v>IE-DL</v>
      </c>
      <c r="AD109" s="114" t="str">
        <f t="shared" si="39"/>
        <v>IE-MN</v>
      </c>
    </row>
    <row r="110" spans="1:30">
      <c r="B110" s="201" t="s">
        <v>332</v>
      </c>
      <c r="C110" s="249" t="s">
        <v>592</v>
      </c>
      <c r="D110" s="35">
        <f t="shared" ref="D110:AD110" si="40">D96/D$103</f>
        <v>0.1545561117799886</v>
      </c>
      <c r="E110" s="35">
        <f t="shared" si="40"/>
        <v>0.14885142645424232</v>
      </c>
      <c r="F110" s="35">
        <f t="shared" si="40"/>
        <v>0.14936474643296105</v>
      </c>
      <c r="G110" s="35">
        <f t="shared" si="40"/>
        <v>0.15385997619101099</v>
      </c>
      <c r="H110" s="35">
        <f t="shared" si="40"/>
        <v>0.16355355701602675</v>
      </c>
      <c r="I110" s="35">
        <f t="shared" si="40"/>
        <v>0.16124606569284158</v>
      </c>
      <c r="J110" s="35">
        <f t="shared" si="40"/>
        <v>0.17384562370778772</v>
      </c>
      <c r="K110" s="35">
        <f t="shared" si="40"/>
        <v>0.18468294566161567</v>
      </c>
      <c r="L110" s="35">
        <f t="shared" si="40"/>
        <v>0.14314940378770166</v>
      </c>
      <c r="M110" s="35">
        <f t="shared" si="40"/>
        <v>0.17197192295135488</v>
      </c>
      <c r="N110" s="35">
        <f t="shared" si="40"/>
        <v>0.16265519872372894</v>
      </c>
      <c r="O110" s="35">
        <f t="shared" si="40"/>
        <v>0.16643863729648378</v>
      </c>
      <c r="P110" s="35">
        <f t="shared" si="40"/>
        <v>0.14710628063445672</v>
      </c>
      <c r="Q110" s="35">
        <f t="shared" si="40"/>
        <v>0.14519682420916988</v>
      </c>
      <c r="R110" s="35">
        <f t="shared" si="40"/>
        <v>0.15848648827003661</v>
      </c>
      <c r="S110" s="35">
        <f t="shared" si="40"/>
        <v>0.13950263182778075</v>
      </c>
      <c r="T110" s="35">
        <f t="shared" si="40"/>
        <v>0.15306630797588802</v>
      </c>
      <c r="U110" s="35">
        <f t="shared" si="40"/>
        <v>0.15790497180268362</v>
      </c>
      <c r="V110" s="35">
        <f t="shared" si="40"/>
        <v>0.17423321919069185</v>
      </c>
      <c r="W110" s="35">
        <f t="shared" si="40"/>
        <v>0.13954604975993015</v>
      </c>
      <c r="X110" s="35">
        <f t="shared" si="40"/>
        <v>0.16428139488006449</v>
      </c>
      <c r="Y110" s="35">
        <f t="shared" si="40"/>
        <v>0.15483842171040885</v>
      </c>
      <c r="Z110" s="35">
        <f t="shared" si="40"/>
        <v>0.192465124049787</v>
      </c>
      <c r="AA110" s="35">
        <f t="shared" si="40"/>
        <v>0.16486693308392145</v>
      </c>
      <c r="AB110" s="35">
        <f t="shared" si="40"/>
        <v>0.16578349735049205</v>
      </c>
      <c r="AC110" s="35">
        <f t="shared" si="40"/>
        <v>0.16537190820608982</v>
      </c>
      <c r="AD110" s="35">
        <f t="shared" si="40"/>
        <v>0.15133757961783439</v>
      </c>
    </row>
    <row r="111" spans="1:30">
      <c r="B111" s="201" t="s">
        <v>333</v>
      </c>
      <c r="C111" s="2" t="s">
        <v>592</v>
      </c>
      <c r="D111" s="35">
        <f t="shared" ref="D111:AD111" si="41">D97/D$103</f>
        <v>0.14642502587499737</v>
      </c>
      <c r="E111" s="35">
        <f t="shared" si="41"/>
        <v>0.14588736569099667</v>
      </c>
      <c r="F111" s="35">
        <f t="shared" si="41"/>
        <v>0.1535663709720515</v>
      </c>
      <c r="G111" s="35">
        <f t="shared" si="41"/>
        <v>0.16259742593382898</v>
      </c>
      <c r="H111" s="35">
        <f t="shared" si="41"/>
        <v>0.15248472270264038</v>
      </c>
      <c r="I111" s="35">
        <f t="shared" si="41"/>
        <v>0.14244209506900168</v>
      </c>
      <c r="J111" s="35">
        <f t="shared" si="41"/>
        <v>0.12922122674017919</v>
      </c>
      <c r="K111" s="35">
        <f t="shared" si="41"/>
        <v>0.18111186178940256</v>
      </c>
      <c r="L111" s="35">
        <f t="shared" si="41"/>
        <v>0.16273088613514144</v>
      </c>
      <c r="M111" s="35">
        <f t="shared" si="41"/>
        <v>0.13907933398628794</v>
      </c>
      <c r="N111" s="35">
        <f t="shared" si="41"/>
        <v>0.14954567524450302</v>
      </c>
      <c r="O111" s="35">
        <f t="shared" si="41"/>
        <v>0.15973457381310713</v>
      </c>
      <c r="P111" s="35">
        <f t="shared" si="41"/>
        <v>0.16455079611532256</v>
      </c>
      <c r="Q111" s="35">
        <f t="shared" si="41"/>
        <v>0.12940100594421583</v>
      </c>
      <c r="R111" s="35">
        <f t="shared" si="41"/>
        <v>0.1386148414557693</v>
      </c>
      <c r="S111" s="35">
        <f t="shared" si="41"/>
        <v>0.12481482648847984</v>
      </c>
      <c r="T111" s="35">
        <f t="shared" si="41"/>
        <v>0.13174413391122403</v>
      </c>
      <c r="U111" s="35">
        <f t="shared" si="41"/>
        <v>0.13528229727101834</v>
      </c>
      <c r="V111" s="35">
        <f t="shared" si="41"/>
        <v>0.15748002503774072</v>
      </c>
      <c r="W111" s="35">
        <f t="shared" si="41"/>
        <v>0.12354866870362287</v>
      </c>
      <c r="X111" s="35">
        <f t="shared" si="41"/>
        <v>0.14170530135053416</v>
      </c>
      <c r="Y111" s="35">
        <f t="shared" si="41"/>
        <v>0.1094001071237279</v>
      </c>
      <c r="Z111" s="35">
        <f t="shared" si="41"/>
        <v>0.17726171581321526</v>
      </c>
      <c r="AA111" s="35">
        <f t="shared" si="41"/>
        <v>0.13289686251169119</v>
      </c>
      <c r="AB111" s="35">
        <f t="shared" si="41"/>
        <v>0.1359765329295988</v>
      </c>
      <c r="AC111" s="35">
        <f t="shared" si="41"/>
        <v>0.12425216537190821</v>
      </c>
      <c r="AD111" s="35">
        <f t="shared" si="41"/>
        <v>0.13987261146496816</v>
      </c>
    </row>
    <row r="112" spans="1:30">
      <c r="B112" s="201" t="s">
        <v>334</v>
      </c>
      <c r="C112" s="2" t="s">
        <v>592</v>
      </c>
      <c r="D112" s="35">
        <f t="shared" ref="D112:AD112" si="42">D98/D$103</f>
        <v>0.41603404938428068</v>
      </c>
      <c r="E112" s="35">
        <f t="shared" si="42"/>
        <v>0.44451648758799556</v>
      </c>
      <c r="F112" s="35">
        <f t="shared" si="42"/>
        <v>0.38099516378987869</v>
      </c>
      <c r="G112" s="35">
        <f t="shared" si="42"/>
        <v>0.3963298218818086</v>
      </c>
      <c r="H112" s="35">
        <f t="shared" si="42"/>
        <v>0.43393289519197509</v>
      </c>
      <c r="I112" s="35">
        <f t="shared" si="42"/>
        <v>0.42684206278750708</v>
      </c>
      <c r="J112" s="35">
        <f t="shared" si="42"/>
        <v>0.43194348725017229</v>
      </c>
      <c r="K112" s="35">
        <f t="shared" si="42"/>
        <v>0.40058874626001351</v>
      </c>
      <c r="L112" s="35">
        <f t="shared" si="42"/>
        <v>0.40501519756838905</v>
      </c>
      <c r="M112" s="35">
        <f t="shared" si="42"/>
        <v>0.42344107084557625</v>
      </c>
      <c r="N112" s="35">
        <f t="shared" si="42"/>
        <v>0.42741208295761945</v>
      </c>
      <c r="O112" s="35">
        <f t="shared" si="42"/>
        <v>0.4260158708441647</v>
      </c>
      <c r="P112" s="35">
        <f t="shared" si="42"/>
        <v>0.38554510305355133</v>
      </c>
      <c r="Q112" s="35">
        <f t="shared" si="42"/>
        <v>0.43658810325476993</v>
      </c>
      <c r="R112" s="35">
        <f t="shared" si="42"/>
        <v>0.44069026957468571</v>
      </c>
      <c r="S112" s="35">
        <f t="shared" si="42"/>
        <v>0.44624452359189332</v>
      </c>
      <c r="T112" s="35">
        <f t="shared" si="42"/>
        <v>0.44255965725103374</v>
      </c>
      <c r="U112" s="35">
        <f t="shared" si="42"/>
        <v>0.43780385039216957</v>
      </c>
      <c r="V112" s="35">
        <f t="shared" si="42"/>
        <v>0.41860893258220111</v>
      </c>
      <c r="W112" s="35">
        <f t="shared" si="42"/>
        <v>0.44727193365342643</v>
      </c>
      <c r="X112" s="35">
        <f t="shared" si="42"/>
        <v>0.45111872606329367</v>
      </c>
      <c r="Y112" s="35">
        <f t="shared" si="42"/>
        <v>0.47393322620960543</v>
      </c>
      <c r="Z112" s="35">
        <f t="shared" si="42"/>
        <v>0.42185281095981958</v>
      </c>
      <c r="AA112" s="35">
        <f t="shared" si="42"/>
        <v>0.45140719326587875</v>
      </c>
      <c r="AB112" s="35">
        <f t="shared" si="42"/>
        <v>0.43461392884178651</v>
      </c>
      <c r="AC112" s="35">
        <f t="shared" si="42"/>
        <v>0.47642646664880794</v>
      </c>
      <c r="AD112" s="35">
        <f t="shared" si="42"/>
        <v>0.47847133757961785</v>
      </c>
    </row>
    <row r="113" spans="2:30">
      <c r="B113" s="201" t="s">
        <v>335</v>
      </c>
      <c r="C113" s="2" t="s">
        <v>592</v>
      </c>
      <c r="D113" s="35">
        <f t="shared" ref="D113:AD113" si="43">D99/D$103</f>
        <v>0.1822824916038274</v>
      </c>
      <c r="E113" s="35">
        <f t="shared" si="43"/>
        <v>0.180715079659133</v>
      </c>
      <c r="F113" s="35">
        <f t="shared" si="43"/>
        <v>0.18539250788222092</v>
      </c>
      <c r="G113" s="35">
        <f t="shared" si="43"/>
        <v>0.18314952494328518</v>
      </c>
      <c r="H113" s="35">
        <f t="shared" si="43"/>
        <v>0.17208578346592873</v>
      </c>
      <c r="I113" s="35">
        <f t="shared" si="43"/>
        <v>0.18561859414090873</v>
      </c>
      <c r="J113" s="35">
        <f t="shared" si="43"/>
        <v>0.18487250172294969</v>
      </c>
      <c r="K113" s="35">
        <f t="shared" si="43"/>
        <v>0.15476305375928964</v>
      </c>
      <c r="L113" s="35">
        <f t="shared" si="43"/>
        <v>0.18386135141454291</v>
      </c>
      <c r="M113" s="35">
        <f t="shared" si="43"/>
        <v>0.18666340189356839</v>
      </c>
      <c r="N113" s="35">
        <f t="shared" si="43"/>
        <v>0.1774987861552334</v>
      </c>
      <c r="O113" s="35">
        <f t="shared" si="43"/>
        <v>0.16961964701053495</v>
      </c>
      <c r="P113" s="35">
        <f t="shared" si="43"/>
        <v>0.17849423082777727</v>
      </c>
      <c r="Q113" s="35">
        <f t="shared" si="43"/>
        <v>0.20763187429854096</v>
      </c>
      <c r="R113" s="35">
        <f t="shared" si="43"/>
        <v>0.17251790015507967</v>
      </c>
      <c r="S113" s="35">
        <f t="shared" si="43"/>
        <v>0.20499889683865477</v>
      </c>
      <c r="T113" s="35">
        <f t="shared" si="43"/>
        <v>0.19287102077417426</v>
      </c>
      <c r="U113" s="35">
        <f t="shared" si="43"/>
        <v>0.19125559084721591</v>
      </c>
      <c r="V113" s="35">
        <f t="shared" si="43"/>
        <v>0.17253948967193194</v>
      </c>
      <c r="W113" s="35">
        <f t="shared" si="43"/>
        <v>0.19334351811436054</v>
      </c>
      <c r="X113" s="35">
        <f t="shared" si="43"/>
        <v>0.17173956863535578</v>
      </c>
      <c r="Y113" s="35">
        <f t="shared" si="43"/>
        <v>0.18300303517229066</v>
      </c>
      <c r="Z113" s="35">
        <f t="shared" si="43"/>
        <v>0.15053044858407819</v>
      </c>
      <c r="AA113" s="35">
        <f t="shared" si="43"/>
        <v>0.17745089703256525</v>
      </c>
      <c r="AB113" s="35">
        <f t="shared" si="43"/>
        <v>0.18679031037093111</v>
      </c>
      <c r="AC113" s="35">
        <f t="shared" si="43"/>
        <v>0.16965800517903384</v>
      </c>
      <c r="AD113" s="35">
        <f t="shared" si="43"/>
        <v>0.15821656050955413</v>
      </c>
    </row>
    <row r="114" spans="2:30">
      <c r="B114" s="201" t="s">
        <v>336</v>
      </c>
      <c r="C114" s="2" t="s">
        <v>592</v>
      </c>
      <c r="D114" s="35">
        <f t="shared" ref="D114:AD114" si="44">D100/D$103</f>
        <v>4.8873117461926789E-2</v>
      </c>
      <c r="E114" s="35">
        <f t="shared" si="44"/>
        <v>4.2515746572804741E-2</v>
      </c>
      <c r="F114" s="35">
        <f t="shared" si="44"/>
        <v>5.9741222679420725E-2</v>
      </c>
      <c r="G114" s="35">
        <f t="shared" si="44"/>
        <v>5.181824307630107E-2</v>
      </c>
      <c r="H114" s="35">
        <f t="shared" si="44"/>
        <v>4.0009224028594491E-2</v>
      </c>
      <c r="I114" s="35">
        <f t="shared" si="44"/>
        <v>4.5113388749899119E-2</v>
      </c>
      <c r="J114" s="35">
        <f t="shared" si="44"/>
        <v>4.4796691936595454E-2</v>
      </c>
      <c r="K114" s="35">
        <f t="shared" si="44"/>
        <v>4.0005790946819803E-2</v>
      </c>
      <c r="L114" s="35">
        <f t="shared" si="44"/>
        <v>5.4331306990881456E-2</v>
      </c>
      <c r="M114" s="35">
        <f t="shared" si="44"/>
        <v>4.2850146914789423E-2</v>
      </c>
      <c r="N114" s="35">
        <f t="shared" si="44"/>
        <v>4.3559686481237425E-2</v>
      </c>
      <c r="O114" s="35">
        <f t="shared" si="44"/>
        <v>4.0087563278150225E-2</v>
      </c>
      <c r="P114" s="35">
        <f t="shared" si="44"/>
        <v>5.4190641458885136E-2</v>
      </c>
      <c r="Q114" s="35">
        <f t="shared" si="44"/>
        <v>4.1775782516523259E-2</v>
      </c>
      <c r="R114" s="35">
        <f t="shared" si="44"/>
        <v>4.4453426601115252E-2</v>
      </c>
      <c r="S114" s="35">
        <f t="shared" si="44"/>
        <v>4.4189491600214327E-2</v>
      </c>
      <c r="T114" s="35">
        <f t="shared" si="44"/>
        <v>4.2046530164898122E-2</v>
      </c>
      <c r="U114" s="35">
        <f t="shared" si="44"/>
        <v>4.099954625008103E-2</v>
      </c>
      <c r="V114" s="35">
        <f t="shared" si="44"/>
        <v>4.1017710519533117E-2</v>
      </c>
      <c r="W114" s="35">
        <f t="shared" si="44"/>
        <v>4.7708424268878218E-2</v>
      </c>
      <c r="X114" s="35">
        <f t="shared" si="44"/>
        <v>3.4267284821608547E-2</v>
      </c>
      <c r="Y114" s="35">
        <f t="shared" si="44"/>
        <v>4.209069808962685E-2</v>
      </c>
      <c r="Z114" s="35">
        <f t="shared" si="44"/>
        <v>2.8986717901595523E-2</v>
      </c>
      <c r="AA114" s="35">
        <f t="shared" si="44"/>
        <v>3.7326757928747553E-2</v>
      </c>
      <c r="AB114" s="35">
        <f t="shared" si="44"/>
        <v>3.79447388342165E-2</v>
      </c>
      <c r="AC114" s="35">
        <f t="shared" si="44"/>
        <v>3.0717028306098758E-2</v>
      </c>
      <c r="AD114" s="35">
        <f t="shared" si="44"/>
        <v>3.5668789808917196E-2</v>
      </c>
    </row>
    <row r="115" spans="2:30">
      <c r="B115" s="201" t="s">
        <v>337</v>
      </c>
      <c r="C115" s="2" t="s">
        <v>592</v>
      </c>
      <c r="D115" s="35">
        <f t="shared" ref="D115:AD115" si="45">D101/D$103</f>
        <v>3.8810383794858794E-2</v>
      </c>
      <c r="E115" s="35">
        <f t="shared" si="45"/>
        <v>3.0381622823267878E-2</v>
      </c>
      <c r="F115" s="35">
        <f t="shared" si="45"/>
        <v>5.0172340084433283E-2</v>
      </c>
      <c r="G115" s="35">
        <f t="shared" si="45"/>
        <v>3.9756519395341527E-2</v>
      </c>
      <c r="H115" s="35">
        <f t="shared" si="45"/>
        <v>2.957454168107921E-2</v>
      </c>
      <c r="I115" s="35">
        <f t="shared" si="45"/>
        <v>3.1474457267371476E-2</v>
      </c>
      <c r="J115" s="35">
        <f t="shared" si="45"/>
        <v>2.8945554789800137E-2</v>
      </c>
      <c r="K115" s="35">
        <f t="shared" si="45"/>
        <v>2.8665186758034939E-2</v>
      </c>
      <c r="L115" s="35">
        <f t="shared" si="45"/>
        <v>3.7993920972644375E-2</v>
      </c>
      <c r="M115" s="35">
        <f t="shared" si="45"/>
        <v>2.8974861247143324E-2</v>
      </c>
      <c r="N115" s="35">
        <f t="shared" si="45"/>
        <v>3.1768051605743218E-2</v>
      </c>
      <c r="O115" s="35">
        <f t="shared" si="45"/>
        <v>3.0476125324941851E-2</v>
      </c>
      <c r="P115" s="35">
        <f t="shared" si="45"/>
        <v>5.1694218650105032E-2</v>
      </c>
      <c r="Q115" s="35">
        <f t="shared" si="45"/>
        <v>3.2007315957933241E-2</v>
      </c>
      <c r="R115" s="35">
        <f t="shared" si="45"/>
        <v>3.5429108786748938E-2</v>
      </c>
      <c r="S115" s="35">
        <f t="shared" si="45"/>
        <v>3.2369905758502224E-2</v>
      </c>
      <c r="T115" s="35">
        <f t="shared" si="45"/>
        <v>3.00901708763015E-2</v>
      </c>
      <c r="U115" s="35">
        <f t="shared" si="45"/>
        <v>2.9169637648278991E-2</v>
      </c>
      <c r="V115" s="35">
        <f t="shared" si="45"/>
        <v>2.864612099119997E-2</v>
      </c>
      <c r="W115" s="35">
        <f t="shared" si="45"/>
        <v>3.7363596682671321E-2</v>
      </c>
      <c r="X115" s="35">
        <f t="shared" si="45"/>
        <v>2.9631122757508566E-2</v>
      </c>
      <c r="Y115" s="35">
        <f t="shared" si="45"/>
        <v>2.9280485627566508E-2</v>
      </c>
      <c r="Z115" s="35">
        <f t="shared" si="45"/>
        <v>2.2972182775039679E-2</v>
      </c>
      <c r="AA115" s="35">
        <f t="shared" si="45"/>
        <v>2.890910636850608E-2</v>
      </c>
      <c r="AB115" s="35">
        <f t="shared" si="45"/>
        <v>3.0658591975775928E-2</v>
      </c>
      <c r="AC115" s="35">
        <f t="shared" si="45"/>
        <v>2.665416555049558E-2</v>
      </c>
      <c r="AD115" s="35">
        <f t="shared" si="45"/>
        <v>2.9554140127388533E-2</v>
      </c>
    </row>
    <row r="116" spans="2:30">
      <c r="B116" s="201" t="s">
        <v>338</v>
      </c>
      <c r="C116" s="2" t="s">
        <v>592</v>
      </c>
      <c r="D116" s="35">
        <f t="shared" ref="D116:AD116" si="46">D102/D$103</f>
        <v>1.3018820100120398E-2</v>
      </c>
      <c r="E116" s="35">
        <f t="shared" si="46"/>
        <v>7.1322712115598373E-3</v>
      </c>
      <c r="F116" s="35">
        <f t="shared" si="46"/>
        <v>2.0767648159033827E-2</v>
      </c>
      <c r="G116" s="35">
        <f t="shared" si="46"/>
        <v>1.2488488578423666E-2</v>
      </c>
      <c r="H116" s="35">
        <f t="shared" si="46"/>
        <v>8.3592759137553329E-3</v>
      </c>
      <c r="I116" s="35">
        <f t="shared" si="46"/>
        <v>7.2633362924703418E-3</v>
      </c>
      <c r="J116" s="35">
        <f t="shared" si="46"/>
        <v>6.3749138525155064E-3</v>
      </c>
      <c r="K116" s="35">
        <f t="shared" si="46"/>
        <v>1.0182414824823859E-2</v>
      </c>
      <c r="L116" s="35">
        <f t="shared" si="46"/>
        <v>1.2917933130699088E-2</v>
      </c>
      <c r="M116" s="35">
        <f t="shared" si="46"/>
        <v>7.0192621612797908E-3</v>
      </c>
      <c r="N116" s="35">
        <f t="shared" si="46"/>
        <v>7.5605188319345217E-3</v>
      </c>
      <c r="O116" s="35">
        <f t="shared" si="46"/>
        <v>7.6275824326173212E-3</v>
      </c>
      <c r="P116" s="35">
        <f t="shared" si="46"/>
        <v>1.841872925990197E-2</v>
      </c>
      <c r="Q116" s="35">
        <f t="shared" si="46"/>
        <v>7.399093818846905E-3</v>
      </c>
      <c r="R116" s="35">
        <f t="shared" si="46"/>
        <v>9.8079651565644906E-3</v>
      </c>
      <c r="S116" s="35">
        <f t="shared" si="46"/>
        <v>7.8797238944747373E-3</v>
      </c>
      <c r="T116" s="35">
        <f t="shared" si="46"/>
        <v>7.6221790464803471E-3</v>
      </c>
      <c r="U116" s="35">
        <f t="shared" si="46"/>
        <v>7.5841057885525373E-3</v>
      </c>
      <c r="V116" s="35">
        <f t="shared" si="46"/>
        <v>7.4745020067012776E-3</v>
      </c>
      <c r="W116" s="35">
        <f t="shared" si="46"/>
        <v>1.1217808817110432E-2</v>
      </c>
      <c r="X116" s="35">
        <f t="shared" si="46"/>
        <v>7.2566014916347508E-3</v>
      </c>
      <c r="Y116" s="35">
        <f t="shared" si="46"/>
        <v>7.4540260667737904E-3</v>
      </c>
      <c r="Z116" s="35">
        <f t="shared" si="46"/>
        <v>5.9309999164647896E-3</v>
      </c>
      <c r="AA116" s="35">
        <f t="shared" si="46"/>
        <v>7.1422498086897374E-3</v>
      </c>
      <c r="AB116" s="35">
        <f t="shared" si="46"/>
        <v>8.2323996971990915E-3</v>
      </c>
      <c r="AC116" s="35">
        <f t="shared" si="46"/>
        <v>6.920260737565854E-3</v>
      </c>
      <c r="AD116" s="35">
        <f t="shared" si="46"/>
        <v>6.8789808917197456E-3</v>
      </c>
    </row>
    <row r="117" spans="2:30">
      <c r="B117" s="200" t="s">
        <v>16</v>
      </c>
      <c r="C117" s="200" t="s">
        <v>592</v>
      </c>
      <c r="D117" s="145">
        <f t="shared" ref="D117:AD117" si="47">SUM(D110:D116)</f>
        <v>1</v>
      </c>
      <c r="E117" s="145">
        <f t="shared" si="47"/>
        <v>1</v>
      </c>
      <c r="F117" s="145">
        <f t="shared" si="47"/>
        <v>1</v>
      </c>
      <c r="G117" s="145">
        <f t="shared" si="47"/>
        <v>1.0000000000000002</v>
      </c>
      <c r="H117" s="145">
        <f t="shared" si="47"/>
        <v>1</v>
      </c>
      <c r="I117" s="145">
        <f t="shared" si="47"/>
        <v>1</v>
      </c>
      <c r="J117" s="145">
        <f t="shared" si="47"/>
        <v>0.99999999999999989</v>
      </c>
      <c r="K117" s="145">
        <f t="shared" si="47"/>
        <v>1</v>
      </c>
      <c r="L117" s="145">
        <f t="shared" si="47"/>
        <v>1</v>
      </c>
      <c r="M117" s="145">
        <f t="shared" si="47"/>
        <v>0.99999999999999989</v>
      </c>
      <c r="N117" s="145">
        <f t="shared" si="47"/>
        <v>1</v>
      </c>
      <c r="O117" s="145">
        <f t="shared" si="47"/>
        <v>0.99999999999999978</v>
      </c>
      <c r="P117" s="145">
        <f t="shared" si="47"/>
        <v>0.99999999999999989</v>
      </c>
      <c r="Q117" s="145">
        <f t="shared" si="47"/>
        <v>1</v>
      </c>
      <c r="R117" s="145">
        <f t="shared" si="47"/>
        <v>1.0000000000000002</v>
      </c>
      <c r="S117" s="145">
        <f t="shared" si="47"/>
        <v>1</v>
      </c>
      <c r="T117" s="145">
        <f t="shared" si="47"/>
        <v>1</v>
      </c>
      <c r="U117" s="145">
        <f t="shared" si="47"/>
        <v>1</v>
      </c>
      <c r="V117" s="145">
        <f t="shared" si="47"/>
        <v>0.99999999999999989</v>
      </c>
      <c r="W117" s="145">
        <f t="shared" si="47"/>
        <v>1</v>
      </c>
      <c r="X117" s="145">
        <f t="shared" si="47"/>
        <v>1</v>
      </c>
      <c r="Y117" s="145">
        <f t="shared" si="47"/>
        <v>0.99999999999999989</v>
      </c>
      <c r="Z117" s="145">
        <f t="shared" si="47"/>
        <v>1</v>
      </c>
      <c r="AA117" s="145">
        <f t="shared" si="47"/>
        <v>0.99999999999999989</v>
      </c>
      <c r="AB117" s="145">
        <f t="shared" si="47"/>
        <v>1</v>
      </c>
      <c r="AC117" s="145">
        <f t="shared" si="47"/>
        <v>1</v>
      </c>
      <c r="AD117" s="145">
        <f t="shared" si="47"/>
        <v>1</v>
      </c>
    </row>
    <row r="118" spans="2:30">
      <c r="B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row>
    <row r="119" spans="2:30">
      <c r="D119" s="201"/>
    </row>
    <row r="120" spans="2:30">
      <c r="D120" s="201"/>
    </row>
    <row r="121" spans="2:30" ht="15.6">
      <c r="B121" s="167" t="s">
        <v>591</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D109</f>
        <v>IE</v>
      </c>
      <c r="E122" s="114" t="str">
        <f t="shared" ref="E122:AD122" si="48">E109</f>
        <v>IE-CW</v>
      </c>
      <c r="F122" s="114" t="str">
        <f t="shared" si="48"/>
        <v>IE-D</v>
      </c>
      <c r="G122" s="114" t="str">
        <f t="shared" si="48"/>
        <v>IE-KE</v>
      </c>
      <c r="H122" s="114" t="str">
        <f t="shared" si="48"/>
        <v>IE-KK</v>
      </c>
      <c r="I122" s="114" t="str">
        <f t="shared" si="48"/>
        <v>IE-LS</v>
      </c>
      <c r="J122" s="114" t="str">
        <f t="shared" si="48"/>
        <v>IE-LD</v>
      </c>
      <c r="K122" s="114" t="str">
        <f t="shared" si="48"/>
        <v>IE-LH</v>
      </c>
      <c r="L122" s="114" t="str">
        <f t="shared" si="48"/>
        <v>IE-MH</v>
      </c>
      <c r="M122" s="114" t="str">
        <f t="shared" si="48"/>
        <v>IE-OY</v>
      </c>
      <c r="N122" s="114" t="str">
        <f t="shared" si="48"/>
        <v>IE-WH</v>
      </c>
      <c r="O122" s="114" t="str">
        <f t="shared" si="48"/>
        <v>IE-WX</v>
      </c>
      <c r="P122" s="114" t="str">
        <f t="shared" si="48"/>
        <v>IE-WW</v>
      </c>
      <c r="Q122" s="114" t="str">
        <f t="shared" si="48"/>
        <v>IE-CE</v>
      </c>
      <c r="R122" s="114" t="str">
        <f t="shared" si="48"/>
        <v>IE-CO</v>
      </c>
      <c r="S122" s="114" t="str">
        <f t="shared" si="48"/>
        <v>IE-KY</v>
      </c>
      <c r="T122" s="114" t="str">
        <f t="shared" si="48"/>
        <v>IE-LK</v>
      </c>
      <c r="U122" s="114" t="str">
        <f t="shared" si="48"/>
        <v>IE-TA</v>
      </c>
      <c r="V122" s="114" t="str">
        <f t="shared" si="48"/>
        <v>IE-WD</v>
      </c>
      <c r="W122" s="114" t="str">
        <f t="shared" si="48"/>
        <v>IE-G</v>
      </c>
      <c r="X122" s="114" t="str">
        <f t="shared" si="48"/>
        <v>IE-LM</v>
      </c>
      <c r="Y122" s="114" t="str">
        <f t="shared" si="48"/>
        <v>IE-MO</v>
      </c>
      <c r="Z122" s="114" t="str">
        <f t="shared" si="48"/>
        <v>IE-RN</v>
      </c>
      <c r="AA122" s="114" t="str">
        <f t="shared" si="48"/>
        <v>IE-SO</v>
      </c>
      <c r="AB122" s="114" t="str">
        <f t="shared" si="48"/>
        <v>IE-CN</v>
      </c>
      <c r="AC122" s="114" t="str">
        <f t="shared" si="48"/>
        <v>IE-DL</v>
      </c>
      <c r="AD122" s="114" t="str">
        <f t="shared" si="48"/>
        <v>IE-MN</v>
      </c>
    </row>
    <row r="123" spans="2:30">
      <c r="B123" s="201" t="s">
        <v>332</v>
      </c>
      <c r="C123" s="201" t="s">
        <v>593</v>
      </c>
      <c r="D123" s="247">
        <v>1.5410369892896236</v>
      </c>
      <c r="E123" s="247">
        <v>1.5410369892896236</v>
      </c>
      <c r="F123" s="247">
        <v>1.5410369892896236</v>
      </c>
      <c r="G123" s="247">
        <v>1.5410369892896236</v>
      </c>
      <c r="H123" s="247">
        <v>1.5410369892896236</v>
      </c>
      <c r="I123" s="247">
        <v>1.5410369892896236</v>
      </c>
      <c r="J123" s="247">
        <v>1.5410369892896236</v>
      </c>
      <c r="K123" s="247">
        <v>1.5410369892896236</v>
      </c>
      <c r="L123" s="247">
        <v>1.5410369892896236</v>
      </c>
      <c r="M123" s="247">
        <v>1.5410369892896236</v>
      </c>
      <c r="N123" s="247">
        <v>1.5410369892896236</v>
      </c>
      <c r="O123" s="247">
        <v>1.5410369892896236</v>
      </c>
      <c r="P123" s="247">
        <v>1.5410369892896236</v>
      </c>
      <c r="Q123" s="247">
        <v>1.5410369892896236</v>
      </c>
      <c r="R123" s="247">
        <v>1.5410369892896236</v>
      </c>
      <c r="S123" s="247">
        <v>1.5410369892896236</v>
      </c>
      <c r="T123" s="247">
        <v>1.5410369892896236</v>
      </c>
      <c r="U123" s="247">
        <v>1.5410369892896236</v>
      </c>
      <c r="V123" s="247">
        <v>1.5410369892896236</v>
      </c>
      <c r="W123" s="247">
        <v>1.5410369892896236</v>
      </c>
      <c r="X123" s="247">
        <v>1.5410369892896236</v>
      </c>
      <c r="Y123" s="247">
        <v>1.5410369892896236</v>
      </c>
      <c r="Z123" s="247">
        <v>1.5410369892896236</v>
      </c>
      <c r="AA123" s="247">
        <v>1.5410369892896236</v>
      </c>
      <c r="AB123" s="247">
        <v>1.5410369892896236</v>
      </c>
      <c r="AC123" s="247">
        <v>1.5410369892896236</v>
      </c>
      <c r="AD123" s="247">
        <v>1.5410369892896236</v>
      </c>
    </row>
    <row r="124" spans="2:30">
      <c r="B124" s="201" t="s">
        <v>333</v>
      </c>
      <c r="C124" s="201" t="s">
        <v>593</v>
      </c>
      <c r="D124" s="247">
        <v>1.5689674081337737</v>
      </c>
      <c r="E124" s="247">
        <v>1.5689674081337737</v>
      </c>
      <c r="F124" s="247">
        <v>1.5689674081337737</v>
      </c>
      <c r="G124" s="247">
        <v>1.5689674081337737</v>
      </c>
      <c r="H124" s="247">
        <v>1.5689674081337737</v>
      </c>
      <c r="I124" s="247">
        <v>1.5689674081337737</v>
      </c>
      <c r="J124" s="247">
        <v>1.5689674081337737</v>
      </c>
      <c r="K124" s="247">
        <v>1.5689674081337737</v>
      </c>
      <c r="L124" s="247">
        <v>1.5689674081337737</v>
      </c>
      <c r="M124" s="247">
        <v>1.5689674081337737</v>
      </c>
      <c r="N124" s="247">
        <v>1.5689674081337737</v>
      </c>
      <c r="O124" s="247">
        <v>1.5689674081337737</v>
      </c>
      <c r="P124" s="247">
        <v>1.5689674081337737</v>
      </c>
      <c r="Q124" s="247">
        <v>1.5689674081337737</v>
      </c>
      <c r="R124" s="247">
        <v>1.5689674081337737</v>
      </c>
      <c r="S124" s="247">
        <v>1.5689674081337737</v>
      </c>
      <c r="T124" s="247">
        <v>1.5689674081337737</v>
      </c>
      <c r="U124" s="247">
        <v>1.5689674081337737</v>
      </c>
      <c r="V124" s="247">
        <v>1.5689674081337737</v>
      </c>
      <c r="W124" s="247">
        <v>1.5689674081337737</v>
      </c>
      <c r="X124" s="247">
        <v>1.5689674081337737</v>
      </c>
      <c r="Y124" s="247">
        <v>1.5689674081337737</v>
      </c>
      <c r="Z124" s="247">
        <v>1.5689674081337737</v>
      </c>
      <c r="AA124" s="247">
        <v>1.5689674081337737</v>
      </c>
      <c r="AB124" s="247">
        <v>1.5689674081337737</v>
      </c>
      <c r="AC124" s="247">
        <v>1.5689674081337737</v>
      </c>
      <c r="AD124" s="247">
        <v>1.5689674081337737</v>
      </c>
    </row>
    <row r="125" spans="2:30">
      <c r="B125" s="201" t="s">
        <v>334</v>
      </c>
      <c r="C125" s="201" t="s">
        <v>593</v>
      </c>
      <c r="D125" s="247">
        <v>1.7415357309829498</v>
      </c>
      <c r="E125" s="247">
        <v>1.7415357309829498</v>
      </c>
      <c r="F125" s="247">
        <v>1.7415357309829498</v>
      </c>
      <c r="G125" s="247">
        <v>1.7415357309829498</v>
      </c>
      <c r="H125" s="247">
        <v>1.7415357309829498</v>
      </c>
      <c r="I125" s="247">
        <v>1.7415357309829498</v>
      </c>
      <c r="J125" s="247">
        <v>1.7415357309829498</v>
      </c>
      <c r="K125" s="247">
        <v>1.7415357309829498</v>
      </c>
      <c r="L125" s="247">
        <v>1.7415357309829498</v>
      </c>
      <c r="M125" s="247">
        <v>1.7415357309829498</v>
      </c>
      <c r="N125" s="247">
        <v>1.7415357309829498</v>
      </c>
      <c r="O125" s="247">
        <v>1.7415357309829498</v>
      </c>
      <c r="P125" s="247">
        <v>1.7415357309829498</v>
      </c>
      <c r="Q125" s="247">
        <v>1.7415357309829498</v>
      </c>
      <c r="R125" s="247">
        <v>1.7415357309829498</v>
      </c>
      <c r="S125" s="247">
        <v>1.7415357309829498</v>
      </c>
      <c r="T125" s="247">
        <v>1.7415357309829498</v>
      </c>
      <c r="U125" s="247">
        <v>1.7415357309829498</v>
      </c>
      <c r="V125" s="247">
        <v>1.7415357309829498</v>
      </c>
      <c r="W125" s="247">
        <v>1.7415357309829498</v>
      </c>
      <c r="X125" s="247">
        <v>1.7415357309829498</v>
      </c>
      <c r="Y125" s="247">
        <v>1.7415357309829498</v>
      </c>
      <c r="Z125" s="247">
        <v>1.7415357309829498</v>
      </c>
      <c r="AA125" s="247">
        <v>1.7415357309829498</v>
      </c>
      <c r="AB125" s="247">
        <v>1.7415357309829498</v>
      </c>
      <c r="AC125" s="247">
        <v>1.7415357309829498</v>
      </c>
      <c r="AD125" s="247">
        <v>1.7415357309829498</v>
      </c>
    </row>
    <row r="126" spans="2:30">
      <c r="B126" s="201" t="s">
        <v>335</v>
      </c>
      <c r="C126" s="201" t="s">
        <v>593</v>
      </c>
      <c r="D126" s="247">
        <v>1.7596865383612372</v>
      </c>
      <c r="E126" s="247">
        <v>1.7596865383612372</v>
      </c>
      <c r="F126" s="247">
        <v>1.7596865383612372</v>
      </c>
      <c r="G126" s="247">
        <v>1.7596865383612372</v>
      </c>
      <c r="H126" s="247">
        <v>1.7596865383612372</v>
      </c>
      <c r="I126" s="247">
        <v>1.7596865383612372</v>
      </c>
      <c r="J126" s="247">
        <v>1.7596865383612372</v>
      </c>
      <c r="K126" s="247">
        <v>1.7596865383612372</v>
      </c>
      <c r="L126" s="247">
        <v>1.7596865383612372</v>
      </c>
      <c r="M126" s="247">
        <v>1.7596865383612372</v>
      </c>
      <c r="N126" s="247">
        <v>1.7596865383612372</v>
      </c>
      <c r="O126" s="247">
        <v>1.7596865383612372</v>
      </c>
      <c r="P126" s="247">
        <v>1.7596865383612372</v>
      </c>
      <c r="Q126" s="247">
        <v>1.7596865383612372</v>
      </c>
      <c r="R126" s="247">
        <v>1.7596865383612372</v>
      </c>
      <c r="S126" s="247">
        <v>1.7596865383612372</v>
      </c>
      <c r="T126" s="247">
        <v>1.7596865383612372</v>
      </c>
      <c r="U126" s="247">
        <v>1.7596865383612372</v>
      </c>
      <c r="V126" s="247">
        <v>1.7596865383612372</v>
      </c>
      <c r="W126" s="247">
        <v>1.7596865383612372</v>
      </c>
      <c r="X126" s="247">
        <v>1.7596865383612372</v>
      </c>
      <c r="Y126" s="247">
        <v>1.7596865383612372</v>
      </c>
      <c r="Z126" s="247">
        <v>1.7596865383612372</v>
      </c>
      <c r="AA126" s="247">
        <v>1.7596865383612372</v>
      </c>
      <c r="AB126" s="247">
        <v>1.7596865383612372</v>
      </c>
      <c r="AC126" s="247">
        <v>1.7596865383612372</v>
      </c>
      <c r="AD126" s="247">
        <v>1.7596865383612372</v>
      </c>
    </row>
    <row r="127" spans="2:30">
      <c r="B127" s="201" t="s">
        <v>336</v>
      </c>
      <c r="C127" s="201" t="s">
        <v>593</v>
      </c>
      <c r="D127" s="247">
        <v>1.8433586255014824</v>
      </c>
      <c r="E127" s="247">
        <v>1.8433586255014824</v>
      </c>
      <c r="F127" s="247">
        <v>1.8433586255014824</v>
      </c>
      <c r="G127" s="247">
        <v>1.8433586255014824</v>
      </c>
      <c r="H127" s="247">
        <v>1.8433586255014824</v>
      </c>
      <c r="I127" s="247">
        <v>1.8433586255014824</v>
      </c>
      <c r="J127" s="247">
        <v>1.8433586255014824</v>
      </c>
      <c r="K127" s="247">
        <v>1.8433586255014824</v>
      </c>
      <c r="L127" s="247">
        <v>1.8433586255014824</v>
      </c>
      <c r="M127" s="247">
        <v>1.8433586255014824</v>
      </c>
      <c r="N127" s="247">
        <v>1.8433586255014824</v>
      </c>
      <c r="O127" s="247">
        <v>1.8433586255014824</v>
      </c>
      <c r="P127" s="247">
        <v>1.8433586255014824</v>
      </c>
      <c r="Q127" s="247">
        <v>1.8433586255014824</v>
      </c>
      <c r="R127" s="247">
        <v>1.8433586255014824</v>
      </c>
      <c r="S127" s="247">
        <v>1.8433586255014824</v>
      </c>
      <c r="T127" s="247">
        <v>1.8433586255014824</v>
      </c>
      <c r="U127" s="247">
        <v>1.8433586255014824</v>
      </c>
      <c r="V127" s="247">
        <v>1.8433586255014824</v>
      </c>
      <c r="W127" s="247">
        <v>1.8433586255014824</v>
      </c>
      <c r="X127" s="247">
        <v>1.8433586255014824</v>
      </c>
      <c r="Y127" s="247">
        <v>1.8433586255014824</v>
      </c>
      <c r="Z127" s="247">
        <v>1.8433586255014824</v>
      </c>
      <c r="AA127" s="247">
        <v>1.8433586255014824</v>
      </c>
      <c r="AB127" s="247">
        <v>1.8433586255014824</v>
      </c>
      <c r="AC127" s="247">
        <v>1.8433586255014824</v>
      </c>
      <c r="AD127" s="247">
        <v>1.8433586255014824</v>
      </c>
    </row>
    <row r="128" spans="2:30">
      <c r="B128" s="201" t="s">
        <v>337</v>
      </c>
      <c r="C128" s="201" t="s">
        <v>593</v>
      </c>
      <c r="D128" s="247">
        <v>1.8529030871906271</v>
      </c>
      <c r="E128" s="247">
        <v>1.8529030871906271</v>
      </c>
      <c r="F128" s="247">
        <v>1.8529030871906271</v>
      </c>
      <c r="G128" s="247">
        <v>1.8529030871906271</v>
      </c>
      <c r="H128" s="247">
        <v>1.8529030871906271</v>
      </c>
      <c r="I128" s="247">
        <v>1.8529030871906271</v>
      </c>
      <c r="J128" s="247">
        <v>1.8529030871906271</v>
      </c>
      <c r="K128" s="247">
        <v>1.8529030871906271</v>
      </c>
      <c r="L128" s="247">
        <v>1.8529030871906271</v>
      </c>
      <c r="M128" s="247">
        <v>1.8529030871906271</v>
      </c>
      <c r="N128" s="247">
        <v>1.8529030871906271</v>
      </c>
      <c r="O128" s="247">
        <v>1.8529030871906271</v>
      </c>
      <c r="P128" s="247">
        <v>1.8529030871906271</v>
      </c>
      <c r="Q128" s="247">
        <v>1.8529030871906271</v>
      </c>
      <c r="R128" s="247">
        <v>1.8529030871906271</v>
      </c>
      <c r="S128" s="247">
        <v>1.8529030871906271</v>
      </c>
      <c r="T128" s="247">
        <v>1.8529030871906271</v>
      </c>
      <c r="U128" s="247">
        <v>1.8529030871906271</v>
      </c>
      <c r="V128" s="247">
        <v>1.8529030871906271</v>
      </c>
      <c r="W128" s="247">
        <v>1.8529030871906271</v>
      </c>
      <c r="X128" s="247">
        <v>1.8529030871906271</v>
      </c>
      <c r="Y128" s="247">
        <v>1.8529030871906271</v>
      </c>
      <c r="Z128" s="247">
        <v>1.8529030871906271</v>
      </c>
      <c r="AA128" s="247">
        <v>1.8529030871906271</v>
      </c>
      <c r="AB128" s="247">
        <v>1.8529030871906271</v>
      </c>
      <c r="AC128" s="247">
        <v>1.8529030871906271</v>
      </c>
      <c r="AD128" s="247">
        <v>1.8529030871906271</v>
      </c>
    </row>
    <row r="129" spans="1:30">
      <c r="B129" s="200" t="s">
        <v>338</v>
      </c>
      <c r="C129" s="200" t="s">
        <v>593</v>
      </c>
      <c r="D129" s="248">
        <v>2.076438345513917</v>
      </c>
      <c r="E129" s="248">
        <v>2.076438345513917</v>
      </c>
      <c r="F129" s="248">
        <v>2.076438345513917</v>
      </c>
      <c r="G129" s="248">
        <v>2.076438345513917</v>
      </c>
      <c r="H129" s="248">
        <v>2.076438345513917</v>
      </c>
      <c r="I129" s="248">
        <v>2.076438345513917</v>
      </c>
      <c r="J129" s="248">
        <v>2.076438345513917</v>
      </c>
      <c r="K129" s="248">
        <v>2.076438345513917</v>
      </c>
      <c r="L129" s="248">
        <v>2.076438345513917</v>
      </c>
      <c r="M129" s="248">
        <v>2.076438345513917</v>
      </c>
      <c r="N129" s="248">
        <v>2.076438345513917</v>
      </c>
      <c r="O129" s="248">
        <v>2.076438345513917</v>
      </c>
      <c r="P129" s="248">
        <v>2.076438345513917</v>
      </c>
      <c r="Q129" s="248">
        <v>2.076438345513917</v>
      </c>
      <c r="R129" s="248">
        <v>2.076438345513917</v>
      </c>
      <c r="S129" s="248">
        <v>2.076438345513917</v>
      </c>
      <c r="T129" s="248">
        <v>2.076438345513917</v>
      </c>
      <c r="U129" s="248">
        <v>2.076438345513917</v>
      </c>
      <c r="V129" s="248">
        <v>2.076438345513917</v>
      </c>
      <c r="W129" s="248">
        <v>2.076438345513917</v>
      </c>
      <c r="X129" s="248">
        <v>2.076438345513917</v>
      </c>
      <c r="Y129" s="248">
        <v>2.076438345513917</v>
      </c>
      <c r="Z129" s="248">
        <v>2.076438345513917</v>
      </c>
      <c r="AA129" s="248">
        <v>2.076438345513917</v>
      </c>
      <c r="AB129" s="248">
        <v>2.076438345513917</v>
      </c>
      <c r="AC129" s="248">
        <v>2.076438345513917</v>
      </c>
      <c r="AD129" s="248">
        <v>2.076438345513917</v>
      </c>
    </row>
    <row r="130" spans="1:30">
      <c r="B130" s="252" t="s">
        <v>597</v>
      </c>
      <c r="D130" s="201"/>
    </row>
    <row r="132" spans="1:30" s="201" customFormat="1">
      <c r="A132" s="548"/>
    </row>
    <row r="134" spans="1:30" ht="15.6">
      <c r="B134" s="167" t="s">
        <v>591</v>
      </c>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spans="1:30">
      <c r="B135" s="114" t="s">
        <v>588</v>
      </c>
      <c r="C135" s="114" t="s">
        <v>63</v>
      </c>
      <c r="D135" s="114" t="str">
        <f t="shared" ref="D135:AD135" si="49">D122</f>
        <v>IE</v>
      </c>
      <c r="E135" s="114" t="str">
        <f t="shared" si="49"/>
        <v>IE-CW</v>
      </c>
      <c r="F135" s="114" t="str">
        <f t="shared" si="49"/>
        <v>IE-D</v>
      </c>
      <c r="G135" s="114" t="str">
        <f t="shared" si="49"/>
        <v>IE-KE</v>
      </c>
      <c r="H135" s="114" t="str">
        <f t="shared" si="49"/>
        <v>IE-KK</v>
      </c>
      <c r="I135" s="114" t="str">
        <f t="shared" si="49"/>
        <v>IE-LS</v>
      </c>
      <c r="J135" s="114" t="str">
        <f t="shared" si="49"/>
        <v>IE-LD</v>
      </c>
      <c r="K135" s="114" t="str">
        <f t="shared" si="49"/>
        <v>IE-LH</v>
      </c>
      <c r="L135" s="114" t="str">
        <f t="shared" si="49"/>
        <v>IE-MH</v>
      </c>
      <c r="M135" s="114" t="str">
        <f t="shared" si="49"/>
        <v>IE-OY</v>
      </c>
      <c r="N135" s="114" t="str">
        <f t="shared" si="49"/>
        <v>IE-WH</v>
      </c>
      <c r="O135" s="114" t="str">
        <f t="shared" si="49"/>
        <v>IE-WX</v>
      </c>
      <c r="P135" s="114" t="str">
        <f t="shared" si="49"/>
        <v>IE-WW</v>
      </c>
      <c r="Q135" s="114" t="str">
        <f t="shared" si="49"/>
        <v>IE-CE</v>
      </c>
      <c r="R135" s="114" t="str">
        <f t="shared" si="49"/>
        <v>IE-CO</v>
      </c>
      <c r="S135" s="114" t="str">
        <f t="shared" si="49"/>
        <v>IE-KY</v>
      </c>
      <c r="T135" s="114" t="str">
        <f t="shared" si="49"/>
        <v>IE-LK</v>
      </c>
      <c r="U135" s="114" t="str">
        <f t="shared" si="49"/>
        <v>IE-TA</v>
      </c>
      <c r="V135" s="114" t="str">
        <f t="shared" si="49"/>
        <v>IE-WD</v>
      </c>
      <c r="W135" s="114" t="str">
        <f t="shared" si="49"/>
        <v>IE-G</v>
      </c>
      <c r="X135" s="114" t="str">
        <f t="shared" si="49"/>
        <v>IE-LM</v>
      </c>
      <c r="Y135" s="114" t="str">
        <f t="shared" si="49"/>
        <v>IE-MO</v>
      </c>
      <c r="Z135" s="114" t="str">
        <f t="shared" si="49"/>
        <v>IE-RN</v>
      </c>
      <c r="AA135" s="114" t="str">
        <f t="shared" si="49"/>
        <v>IE-SO</v>
      </c>
      <c r="AB135" s="114" t="str">
        <f t="shared" si="49"/>
        <v>IE-CN</v>
      </c>
      <c r="AC135" s="114" t="str">
        <f t="shared" si="49"/>
        <v>IE-DL</v>
      </c>
      <c r="AD135" s="114" t="str">
        <f t="shared" si="49"/>
        <v>IE-MN</v>
      </c>
    </row>
    <row r="136" spans="1:30">
      <c r="B136" s="201" t="s">
        <v>609</v>
      </c>
      <c r="C136" s="201" t="s">
        <v>593</v>
      </c>
      <c r="D136" s="247">
        <f t="shared" ref="D136:AD136" si="50">SUMPRODUCT(D110:D116,D123:D129)</f>
        <v>1.7022463273155841</v>
      </c>
      <c r="E136" s="247">
        <f t="shared" si="50"/>
        <v>1.6998970075247635</v>
      </c>
      <c r="F136" s="247">
        <f t="shared" si="50"/>
        <v>1.707078344636435</v>
      </c>
      <c r="G136" s="247">
        <f t="shared" si="50"/>
        <v>1.6998384354477898</v>
      </c>
      <c r="H136" s="247">
        <f t="shared" si="50"/>
        <v>1.6957199485282941</v>
      </c>
      <c r="I136" s="247">
        <f t="shared" si="50"/>
        <v>1.6985255448399943</v>
      </c>
      <c r="J136" s="247">
        <f t="shared" si="50"/>
        <v>1.6976558910392572</v>
      </c>
      <c r="K136" s="247">
        <f t="shared" si="50"/>
        <v>1.6867379257497728</v>
      </c>
      <c r="L136" s="247">
        <f t="shared" si="50"/>
        <v>1.7021791945783817</v>
      </c>
      <c r="M136" s="247">
        <f t="shared" si="50"/>
        <v>1.6963837298008513</v>
      </c>
      <c r="N136" s="247">
        <f t="shared" si="50"/>
        <v>1.6968438030251216</v>
      </c>
      <c r="O136" s="247">
        <f t="shared" si="50"/>
        <v>1.6937089742036608</v>
      </c>
      <c r="P136" s="247">
        <f t="shared" si="50"/>
        <v>1.7043280433302512</v>
      </c>
      <c r="Q136" s="247">
        <f t="shared" si="50"/>
        <v>1.7041583991355798</v>
      </c>
      <c r="R136" s="247">
        <f t="shared" si="50"/>
        <v>1.7007269338927373</v>
      </c>
      <c r="S136" s="247">
        <f t="shared" si="50"/>
        <v>1.7064908319551184</v>
      </c>
      <c r="T136" s="247">
        <f t="shared" si="50"/>
        <v>1.7017970792260606</v>
      </c>
      <c r="U136" s="247">
        <f t="shared" si="50"/>
        <v>1.699965161824657</v>
      </c>
      <c r="V136" s="247">
        <f t="shared" si="50"/>
        <v>1.6924278720495911</v>
      </c>
      <c r="W136" s="247">
        <f t="shared" si="50"/>
        <v>1.7085214463396043</v>
      </c>
      <c r="X136" s="247">
        <f t="shared" si="50"/>
        <v>1.6964802724054577</v>
      </c>
      <c r="Y136" s="247">
        <f t="shared" si="50"/>
        <v>1.7049765419025793</v>
      </c>
      <c r="Z136" s="247">
        <f t="shared" si="50"/>
        <v>1.6825853781247959</v>
      </c>
      <c r="AA136" s="247">
        <f t="shared" si="50"/>
        <v>1.6981794141448161</v>
      </c>
      <c r="AB136" s="247">
        <f t="shared" si="50"/>
        <v>1.6982565627355217</v>
      </c>
      <c r="AC136" s="247">
        <f t="shared" si="50"/>
        <v>1.6984300275564468</v>
      </c>
      <c r="AD136" s="247">
        <f t="shared" si="50"/>
        <v>1.6991539675987215</v>
      </c>
    </row>
    <row r="137" spans="1:30">
      <c r="B137" s="200"/>
      <c r="C137" s="200" t="s">
        <v>581</v>
      </c>
      <c r="D137" s="250">
        <f>1000/D136</f>
        <v>587.45904394282604</v>
      </c>
      <c r="E137" s="250">
        <f>1000/E136</f>
        <v>588.2709338115194</v>
      </c>
      <c r="F137" s="250">
        <f>1000/F136</f>
        <v>585.79619567078214</v>
      </c>
      <c r="G137" s="250">
        <f>1000/G136</f>
        <v>588.29120412056648</v>
      </c>
      <c r="H137" s="250">
        <f t="shared" ref="H137:AD137" si="51">1000/H136</f>
        <v>589.72001884385122</v>
      </c>
      <c r="I137" s="250">
        <f t="shared" si="51"/>
        <v>588.7459291018215</v>
      </c>
      <c r="J137" s="250">
        <f t="shared" si="51"/>
        <v>589.04752445905171</v>
      </c>
      <c r="K137" s="250">
        <f t="shared" si="51"/>
        <v>592.86032805332786</v>
      </c>
      <c r="L137" s="250">
        <f t="shared" si="51"/>
        <v>587.48221290984191</v>
      </c>
      <c r="M137" s="250">
        <f t="shared" si="51"/>
        <v>589.48926615642324</v>
      </c>
      <c r="N137" s="250">
        <f t="shared" si="51"/>
        <v>589.32943516498506</v>
      </c>
      <c r="O137" s="250">
        <f t="shared" si="51"/>
        <v>590.42020514189858</v>
      </c>
      <c r="P137" s="250">
        <f t="shared" si="51"/>
        <v>586.74150432096587</v>
      </c>
      <c r="Q137" s="250">
        <f t="shared" si="51"/>
        <v>586.79991279404646</v>
      </c>
      <c r="R137" s="250">
        <f t="shared" si="51"/>
        <v>587.9838674108214</v>
      </c>
      <c r="S137" s="250">
        <f t="shared" si="51"/>
        <v>585.99787427765125</v>
      </c>
      <c r="T137" s="250">
        <f t="shared" si="51"/>
        <v>587.61412403808902</v>
      </c>
      <c r="U137" s="250">
        <f t="shared" si="51"/>
        <v>588.24734909664289</v>
      </c>
      <c r="V137" s="250">
        <f t="shared" si="51"/>
        <v>590.8671303013723</v>
      </c>
      <c r="W137" s="250">
        <f t="shared" si="51"/>
        <v>585.30140323519777</v>
      </c>
      <c r="X137" s="250">
        <f t="shared" si="51"/>
        <v>589.45571974267</v>
      </c>
      <c r="Y137" s="250">
        <f t="shared" si="51"/>
        <v>586.51833349220294</v>
      </c>
      <c r="Z137" s="250">
        <f t="shared" si="51"/>
        <v>594.32348159026424</v>
      </c>
      <c r="AA137" s="250">
        <f t="shared" si="51"/>
        <v>588.86592998984656</v>
      </c>
      <c r="AB137" s="250">
        <f t="shared" si="51"/>
        <v>588.83917892195132</v>
      </c>
      <c r="AC137" s="250">
        <f t="shared" si="51"/>
        <v>588.77903933358562</v>
      </c>
      <c r="AD137" s="250">
        <f t="shared" si="51"/>
        <v>588.52818465487269</v>
      </c>
    </row>
    <row r="140" spans="1:30">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row>
    <row r="141" spans="1:30" ht="15.6">
      <c r="B141" s="167" t="s">
        <v>594</v>
      </c>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row>
    <row r="142" spans="1:30">
      <c r="B142" s="114" t="s">
        <v>588</v>
      </c>
      <c r="C142" s="114" t="s">
        <v>63</v>
      </c>
      <c r="D142" s="114" t="str">
        <f t="shared" ref="D142:AD142" si="52">D135</f>
        <v>IE</v>
      </c>
      <c r="E142" s="114" t="str">
        <f t="shared" si="52"/>
        <v>IE-CW</v>
      </c>
      <c r="F142" s="114" t="str">
        <f t="shared" si="52"/>
        <v>IE-D</v>
      </c>
      <c r="G142" s="114" t="str">
        <f t="shared" si="52"/>
        <v>IE-KE</v>
      </c>
      <c r="H142" s="114" t="str">
        <f t="shared" si="52"/>
        <v>IE-KK</v>
      </c>
      <c r="I142" s="114" t="str">
        <f t="shared" si="52"/>
        <v>IE-LS</v>
      </c>
      <c r="J142" s="114" t="str">
        <f t="shared" si="52"/>
        <v>IE-LD</v>
      </c>
      <c r="K142" s="114" t="str">
        <f t="shared" si="52"/>
        <v>IE-LH</v>
      </c>
      <c r="L142" s="114" t="str">
        <f t="shared" si="52"/>
        <v>IE-MH</v>
      </c>
      <c r="M142" s="114" t="str">
        <f t="shared" si="52"/>
        <v>IE-OY</v>
      </c>
      <c r="N142" s="114" t="str">
        <f t="shared" si="52"/>
        <v>IE-WH</v>
      </c>
      <c r="O142" s="114" t="str">
        <f t="shared" si="52"/>
        <v>IE-WX</v>
      </c>
      <c r="P142" s="114" t="str">
        <f t="shared" si="52"/>
        <v>IE-WW</v>
      </c>
      <c r="Q142" s="114" t="str">
        <f t="shared" si="52"/>
        <v>IE-CE</v>
      </c>
      <c r="R142" s="114" t="str">
        <f t="shared" si="52"/>
        <v>IE-CO</v>
      </c>
      <c r="S142" s="114" t="str">
        <f t="shared" si="52"/>
        <v>IE-KY</v>
      </c>
      <c r="T142" s="114" t="str">
        <f t="shared" si="52"/>
        <v>IE-LK</v>
      </c>
      <c r="U142" s="114" t="str">
        <f t="shared" si="52"/>
        <v>IE-TA</v>
      </c>
      <c r="V142" s="114" t="str">
        <f t="shared" si="52"/>
        <v>IE-WD</v>
      </c>
      <c r="W142" s="114" t="str">
        <f t="shared" si="52"/>
        <v>IE-G</v>
      </c>
      <c r="X142" s="114" t="str">
        <f t="shared" si="52"/>
        <v>IE-LM</v>
      </c>
      <c r="Y142" s="114" t="str">
        <f t="shared" si="52"/>
        <v>IE-MO</v>
      </c>
      <c r="Z142" s="114" t="str">
        <f t="shared" si="52"/>
        <v>IE-RN</v>
      </c>
      <c r="AA142" s="114" t="str">
        <f t="shared" si="52"/>
        <v>IE-SO</v>
      </c>
      <c r="AB142" s="114" t="str">
        <f t="shared" si="52"/>
        <v>IE-CN</v>
      </c>
      <c r="AC142" s="114" t="str">
        <f t="shared" si="52"/>
        <v>IE-DL</v>
      </c>
      <c r="AD142" s="114" t="str">
        <f t="shared" si="52"/>
        <v>IE-MN</v>
      </c>
    </row>
    <row r="143" spans="1:30">
      <c r="B143" s="201" t="s">
        <v>332</v>
      </c>
      <c r="C143" s="201" t="s">
        <v>516</v>
      </c>
      <c r="D143" s="36">
        <f>SUM(E143:AD143)</f>
        <v>179</v>
      </c>
      <c r="E143" s="201">
        <v>1</v>
      </c>
      <c r="F143" s="201">
        <v>80</v>
      </c>
      <c r="G143" s="201">
        <v>6</v>
      </c>
      <c r="H143" s="201">
        <v>2</v>
      </c>
      <c r="I143" s="201">
        <v>1</v>
      </c>
      <c r="J143" s="201">
        <v>1</v>
      </c>
      <c r="K143" s="201">
        <v>4</v>
      </c>
      <c r="L143" s="201">
        <v>4</v>
      </c>
      <c r="M143" s="201">
        <v>2</v>
      </c>
      <c r="N143" s="201">
        <v>5</v>
      </c>
      <c r="O143" s="201">
        <v>5</v>
      </c>
      <c r="P143" s="201">
        <v>3</v>
      </c>
      <c r="Q143" s="201">
        <v>5</v>
      </c>
      <c r="R143" s="201">
        <v>16</v>
      </c>
      <c r="S143" s="201">
        <v>4</v>
      </c>
      <c r="T143" s="201">
        <v>2</v>
      </c>
      <c r="U143" s="201">
        <v>7</v>
      </c>
      <c r="V143" s="201">
        <v>3</v>
      </c>
      <c r="W143" s="201">
        <v>12</v>
      </c>
      <c r="X143" s="201">
        <v>0</v>
      </c>
      <c r="Y143" s="201">
        <v>3</v>
      </c>
      <c r="Z143" s="201">
        <v>0</v>
      </c>
      <c r="AA143" s="201">
        <v>2</v>
      </c>
      <c r="AB143" s="201">
        <v>2</v>
      </c>
      <c r="AC143" s="201">
        <v>4</v>
      </c>
      <c r="AD143" s="201">
        <v>5</v>
      </c>
    </row>
    <row r="144" spans="1:30">
      <c r="B144" s="201" t="s">
        <v>333</v>
      </c>
      <c r="C144" s="201" t="s">
        <v>516</v>
      </c>
      <c r="D144" s="36">
        <f t="shared" ref="D144:D149" si="53">SUM(E144:AD144)</f>
        <v>3839</v>
      </c>
      <c r="E144" s="201">
        <v>67</v>
      </c>
      <c r="F144" s="201">
        <v>576</v>
      </c>
      <c r="G144" s="201">
        <v>244</v>
      </c>
      <c r="H144" s="201">
        <v>148</v>
      </c>
      <c r="I144" s="201">
        <v>91</v>
      </c>
      <c r="J144" s="201">
        <v>54</v>
      </c>
      <c r="K144" s="201">
        <v>166</v>
      </c>
      <c r="L144" s="201">
        <v>155</v>
      </c>
      <c r="M144" s="201">
        <v>82</v>
      </c>
      <c r="N144" s="201">
        <v>112</v>
      </c>
      <c r="O144" s="201">
        <v>157</v>
      </c>
      <c r="P144" s="201">
        <v>142</v>
      </c>
      <c r="Q144" s="201">
        <v>115</v>
      </c>
      <c r="R144" s="201">
        <v>539</v>
      </c>
      <c r="S144" s="201">
        <v>95</v>
      </c>
      <c r="T144" s="201">
        <v>133</v>
      </c>
      <c r="U144" s="201">
        <v>142</v>
      </c>
      <c r="V144" s="201">
        <v>118</v>
      </c>
      <c r="W144" s="201">
        <v>156</v>
      </c>
      <c r="X144" s="201">
        <v>34</v>
      </c>
      <c r="Y144" s="201">
        <v>107</v>
      </c>
      <c r="Z144" s="201">
        <v>64</v>
      </c>
      <c r="AA144" s="201">
        <v>55</v>
      </c>
      <c r="AB144" s="201">
        <v>61</v>
      </c>
      <c r="AC144" s="201">
        <v>140</v>
      </c>
      <c r="AD144" s="201">
        <v>86</v>
      </c>
    </row>
    <row r="145" spans="2:30">
      <c r="B145" s="201" t="s">
        <v>334</v>
      </c>
      <c r="C145" s="201" t="s">
        <v>516</v>
      </c>
      <c r="D145" s="36">
        <f t="shared" si="53"/>
        <v>81390</v>
      </c>
      <c r="E145" s="201">
        <v>1237</v>
      </c>
      <c r="F145" s="201">
        <v>9493</v>
      </c>
      <c r="G145" s="201">
        <v>3439</v>
      </c>
      <c r="H145" s="201">
        <v>2169</v>
      </c>
      <c r="I145" s="201">
        <v>1551</v>
      </c>
      <c r="J145" s="201">
        <v>909</v>
      </c>
      <c r="K145" s="201">
        <v>2423</v>
      </c>
      <c r="L145" s="201">
        <v>3563</v>
      </c>
      <c r="M145" s="201">
        <v>1912</v>
      </c>
      <c r="N145" s="201">
        <v>2040</v>
      </c>
      <c r="O145" s="201">
        <v>3371</v>
      </c>
      <c r="P145" s="201">
        <v>2275</v>
      </c>
      <c r="Q145" s="201">
        <v>2575</v>
      </c>
      <c r="R145" s="201">
        <v>10919</v>
      </c>
      <c r="S145" s="201">
        <v>3257</v>
      </c>
      <c r="T145" s="201">
        <v>4069</v>
      </c>
      <c r="U145" s="201">
        <v>3965</v>
      </c>
      <c r="V145" s="201">
        <v>2052</v>
      </c>
      <c r="W145" s="201">
        <v>4975</v>
      </c>
      <c r="X145" s="201">
        <v>750</v>
      </c>
      <c r="Y145" s="201">
        <v>3380</v>
      </c>
      <c r="Z145" s="201">
        <v>1784</v>
      </c>
      <c r="AA145" s="201">
        <v>1336</v>
      </c>
      <c r="AB145" s="201">
        <v>1897</v>
      </c>
      <c r="AC145" s="201">
        <v>4575</v>
      </c>
      <c r="AD145" s="201">
        <v>1474</v>
      </c>
    </row>
    <row r="146" spans="2:30">
      <c r="B146" s="201" t="s">
        <v>335</v>
      </c>
      <c r="C146" s="201" t="s">
        <v>516</v>
      </c>
      <c r="D146" s="36">
        <f>SUM(E146:AD146)</f>
        <v>444692</v>
      </c>
      <c r="E146" s="201">
        <v>6881</v>
      </c>
      <c r="F146" s="201">
        <v>88739</v>
      </c>
      <c r="G146" s="201">
        <v>22962</v>
      </c>
      <c r="H146" s="201">
        <v>10824</v>
      </c>
      <c r="I146" s="201">
        <v>8987</v>
      </c>
      <c r="J146" s="201">
        <v>3898</v>
      </c>
      <c r="K146" s="201">
        <v>12590</v>
      </c>
      <c r="L146" s="201">
        <v>21168</v>
      </c>
      <c r="M146" s="201">
        <v>8883</v>
      </c>
      <c r="N146" s="201">
        <v>10196</v>
      </c>
      <c r="O146" s="201">
        <v>19196</v>
      </c>
      <c r="P146" s="201">
        <v>13033</v>
      </c>
      <c r="Q146" s="201">
        <v>13659</v>
      </c>
      <c r="R146" s="201">
        <v>52972</v>
      </c>
      <c r="S146" s="201">
        <v>15197</v>
      </c>
      <c r="T146" s="201">
        <v>19158</v>
      </c>
      <c r="U146" s="201">
        <v>18862</v>
      </c>
      <c r="V146" s="201">
        <v>12753</v>
      </c>
      <c r="W146" s="201">
        <v>24375</v>
      </c>
      <c r="X146" s="201">
        <v>3430</v>
      </c>
      <c r="Y146" s="201">
        <v>13427</v>
      </c>
      <c r="Z146" s="201">
        <v>8411</v>
      </c>
      <c r="AA146" s="201">
        <v>6163</v>
      </c>
      <c r="AB146" s="201">
        <v>7969</v>
      </c>
      <c r="AC146" s="201">
        <v>14643</v>
      </c>
      <c r="AD146" s="201">
        <v>6316</v>
      </c>
    </row>
    <row r="147" spans="2:30">
      <c r="B147" s="201" t="s">
        <v>336</v>
      </c>
      <c r="C147" s="201" t="s">
        <v>516</v>
      </c>
      <c r="D147" s="36">
        <f t="shared" si="53"/>
        <v>89775</v>
      </c>
      <c r="E147" s="201">
        <v>1290</v>
      </c>
      <c r="F147" s="201">
        <v>17628</v>
      </c>
      <c r="G147" s="201">
        <v>4928</v>
      </c>
      <c r="H147" s="201">
        <v>2198</v>
      </c>
      <c r="I147" s="201">
        <v>1869</v>
      </c>
      <c r="J147" s="201">
        <v>888</v>
      </c>
      <c r="K147" s="201">
        <v>2315</v>
      </c>
      <c r="L147" s="201">
        <v>4045</v>
      </c>
      <c r="M147" s="201">
        <v>1636</v>
      </c>
      <c r="N147" s="201">
        <v>2067</v>
      </c>
      <c r="O147" s="201">
        <v>3248</v>
      </c>
      <c r="P147" s="201">
        <v>2633</v>
      </c>
      <c r="Q147" s="201">
        <v>2374</v>
      </c>
      <c r="R147" s="201">
        <v>11232</v>
      </c>
      <c r="S147" s="201">
        <v>3485</v>
      </c>
      <c r="T147" s="201">
        <v>3733</v>
      </c>
      <c r="U147" s="201">
        <v>3391</v>
      </c>
      <c r="V147" s="201">
        <v>2005</v>
      </c>
      <c r="W147" s="201">
        <v>5409</v>
      </c>
      <c r="X147" s="201">
        <v>743</v>
      </c>
      <c r="Y147" s="201">
        <v>3143</v>
      </c>
      <c r="Z147" s="201">
        <v>1380</v>
      </c>
      <c r="AA147" s="201">
        <v>1419</v>
      </c>
      <c r="AB147" s="201">
        <v>1536</v>
      </c>
      <c r="AC147" s="201">
        <v>3578</v>
      </c>
      <c r="AD147" s="201">
        <v>1602</v>
      </c>
    </row>
    <row r="148" spans="2:30">
      <c r="B148" s="201" t="s">
        <v>337</v>
      </c>
      <c r="C148" s="201" t="s">
        <v>516</v>
      </c>
      <c r="D148" s="36">
        <f t="shared" si="53"/>
        <v>413535</v>
      </c>
      <c r="E148" s="201">
        <v>6579</v>
      </c>
      <c r="F148" s="201">
        <v>82131</v>
      </c>
      <c r="G148" s="201">
        <v>19797</v>
      </c>
      <c r="H148" s="201">
        <v>9208</v>
      </c>
      <c r="I148" s="201">
        <v>7889</v>
      </c>
      <c r="J148" s="201">
        <v>4791</v>
      </c>
      <c r="K148" s="201">
        <v>10149</v>
      </c>
      <c r="L148" s="201">
        <v>18487</v>
      </c>
      <c r="M148" s="201">
        <v>7788</v>
      </c>
      <c r="N148" s="201">
        <v>9942</v>
      </c>
      <c r="O148" s="201">
        <v>15412</v>
      </c>
      <c r="P148" s="201">
        <v>12254</v>
      </c>
      <c r="Q148" s="201">
        <v>11483</v>
      </c>
      <c r="R148" s="201">
        <v>46696</v>
      </c>
      <c r="S148" s="201">
        <v>14446</v>
      </c>
      <c r="T148" s="201">
        <v>17149</v>
      </c>
      <c r="U148" s="201">
        <v>17769</v>
      </c>
      <c r="V148" s="201">
        <v>10224</v>
      </c>
      <c r="W148" s="201">
        <v>26486</v>
      </c>
      <c r="X148" s="201">
        <v>4007</v>
      </c>
      <c r="Y148" s="201">
        <v>15375</v>
      </c>
      <c r="Z148" s="201">
        <v>7542</v>
      </c>
      <c r="AA148" s="201">
        <v>7023</v>
      </c>
      <c r="AB148" s="201">
        <v>8032</v>
      </c>
      <c r="AC148" s="201">
        <v>15928</v>
      </c>
      <c r="AD148" s="201">
        <v>6948</v>
      </c>
    </row>
    <row r="149" spans="2:30">
      <c r="B149" s="201" t="s">
        <v>338</v>
      </c>
      <c r="C149" s="201" t="s">
        <v>516</v>
      </c>
      <c r="D149" s="36">
        <f t="shared" si="53"/>
        <v>95994</v>
      </c>
      <c r="E149" s="201">
        <v>1330</v>
      </c>
      <c r="F149" s="201">
        <v>27059</v>
      </c>
      <c r="G149" s="201">
        <v>5458</v>
      </c>
      <c r="H149" s="201">
        <v>2125</v>
      </c>
      <c r="I149" s="201">
        <v>1670</v>
      </c>
      <c r="J149" s="201">
        <v>729</v>
      </c>
      <c r="K149" s="201">
        <v>2300</v>
      </c>
      <c r="L149" s="201">
        <v>5002</v>
      </c>
      <c r="M149" s="201">
        <v>1482</v>
      </c>
      <c r="N149" s="201">
        <v>1751</v>
      </c>
      <c r="O149" s="201">
        <v>3582</v>
      </c>
      <c r="P149" s="201">
        <v>3855</v>
      </c>
      <c r="Q149" s="201">
        <v>2373</v>
      </c>
      <c r="R149" s="201">
        <v>9921</v>
      </c>
      <c r="S149" s="201">
        <v>2763</v>
      </c>
      <c r="T149" s="201">
        <v>3609</v>
      </c>
      <c r="U149" s="201">
        <v>3578</v>
      </c>
      <c r="V149" s="201">
        <v>2519</v>
      </c>
      <c r="W149" s="201">
        <v>4924</v>
      </c>
      <c r="X149" s="201">
        <v>490</v>
      </c>
      <c r="Y149" s="201">
        <v>2559</v>
      </c>
      <c r="Z149" s="201">
        <v>1067</v>
      </c>
      <c r="AA149" s="201">
        <v>995</v>
      </c>
      <c r="AB149" s="201">
        <v>1393</v>
      </c>
      <c r="AC149" s="201">
        <v>2257</v>
      </c>
      <c r="AD149" s="201">
        <v>1203</v>
      </c>
    </row>
    <row r="150" spans="2:30">
      <c r="B150" s="200" t="s">
        <v>16</v>
      </c>
      <c r="C150" s="200" t="s">
        <v>516</v>
      </c>
      <c r="D150" s="246">
        <f>SUM(E150:AD150)</f>
        <v>1129404</v>
      </c>
      <c r="E150" s="246">
        <f t="shared" ref="E150:AD150" si="54">SUM(E143:E149)</f>
        <v>17385</v>
      </c>
      <c r="F150" s="246">
        <f t="shared" si="54"/>
        <v>225706</v>
      </c>
      <c r="G150" s="246">
        <f t="shared" si="54"/>
        <v>56834</v>
      </c>
      <c r="H150" s="246">
        <f t="shared" si="54"/>
        <v>26674</v>
      </c>
      <c r="I150" s="246">
        <f t="shared" si="54"/>
        <v>22058</v>
      </c>
      <c r="J150" s="246">
        <f t="shared" si="54"/>
        <v>11270</v>
      </c>
      <c r="K150" s="246">
        <f t="shared" si="54"/>
        <v>29947</v>
      </c>
      <c r="L150" s="246">
        <f t="shared" si="54"/>
        <v>52424</v>
      </c>
      <c r="M150" s="246">
        <f t="shared" si="54"/>
        <v>21785</v>
      </c>
      <c r="N150" s="246">
        <f t="shared" si="54"/>
        <v>26113</v>
      </c>
      <c r="O150" s="246">
        <f t="shared" si="54"/>
        <v>44971</v>
      </c>
      <c r="P150" s="246">
        <f t="shared" si="54"/>
        <v>34195</v>
      </c>
      <c r="Q150" s="246">
        <f t="shared" si="54"/>
        <v>32584</v>
      </c>
      <c r="R150" s="246">
        <f t="shared" si="54"/>
        <v>132295</v>
      </c>
      <c r="S150" s="246">
        <f t="shared" si="54"/>
        <v>39247</v>
      </c>
      <c r="T150" s="246">
        <f t="shared" si="54"/>
        <v>47853</v>
      </c>
      <c r="U150" s="246">
        <f t="shared" si="54"/>
        <v>47714</v>
      </c>
      <c r="V150" s="246">
        <f t="shared" si="54"/>
        <v>29674</v>
      </c>
      <c r="W150" s="246">
        <f t="shared" si="54"/>
        <v>66337</v>
      </c>
      <c r="X150" s="246">
        <f t="shared" si="54"/>
        <v>9454</v>
      </c>
      <c r="Y150" s="246">
        <f t="shared" si="54"/>
        <v>37994</v>
      </c>
      <c r="Z150" s="246">
        <f t="shared" si="54"/>
        <v>20248</v>
      </c>
      <c r="AA150" s="246">
        <f t="shared" si="54"/>
        <v>16993</v>
      </c>
      <c r="AB150" s="246">
        <f t="shared" si="54"/>
        <v>20890</v>
      </c>
      <c r="AC150" s="246">
        <f t="shared" si="54"/>
        <v>41125</v>
      </c>
      <c r="AD150" s="246">
        <f t="shared" si="54"/>
        <v>17634</v>
      </c>
    </row>
    <row r="151" spans="2:30">
      <c r="B151" s="201" t="s">
        <v>599</v>
      </c>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row>
    <row r="152" spans="2:30">
      <c r="B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row>
    <row r="153" spans="2:30">
      <c r="B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row>
    <row r="154" spans="2:30">
      <c r="B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row>
    <row r="155" spans="2:30" ht="15.6">
      <c r="B155" s="167" t="s">
        <v>595</v>
      </c>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row>
    <row r="156" spans="2:30">
      <c r="B156" s="114" t="s">
        <v>588</v>
      </c>
      <c r="C156" s="114" t="s">
        <v>63</v>
      </c>
      <c r="D156" s="114" t="str">
        <f>D142</f>
        <v>IE</v>
      </c>
      <c r="E156" s="114" t="str">
        <f t="shared" ref="E156:AD156" si="55">E142</f>
        <v>IE-CW</v>
      </c>
      <c r="F156" s="114" t="str">
        <f t="shared" si="55"/>
        <v>IE-D</v>
      </c>
      <c r="G156" s="114" t="str">
        <f t="shared" si="55"/>
        <v>IE-KE</v>
      </c>
      <c r="H156" s="114" t="str">
        <f t="shared" si="55"/>
        <v>IE-KK</v>
      </c>
      <c r="I156" s="114" t="str">
        <f t="shared" si="55"/>
        <v>IE-LS</v>
      </c>
      <c r="J156" s="114" t="str">
        <f t="shared" si="55"/>
        <v>IE-LD</v>
      </c>
      <c r="K156" s="114" t="str">
        <f t="shared" si="55"/>
        <v>IE-LH</v>
      </c>
      <c r="L156" s="114" t="str">
        <f t="shared" si="55"/>
        <v>IE-MH</v>
      </c>
      <c r="M156" s="114" t="str">
        <f t="shared" si="55"/>
        <v>IE-OY</v>
      </c>
      <c r="N156" s="114" t="str">
        <f t="shared" si="55"/>
        <v>IE-WH</v>
      </c>
      <c r="O156" s="114" t="str">
        <f t="shared" si="55"/>
        <v>IE-WX</v>
      </c>
      <c r="P156" s="114" t="str">
        <f t="shared" si="55"/>
        <v>IE-WW</v>
      </c>
      <c r="Q156" s="114" t="str">
        <f t="shared" si="55"/>
        <v>IE-CE</v>
      </c>
      <c r="R156" s="114" t="str">
        <f t="shared" si="55"/>
        <v>IE-CO</v>
      </c>
      <c r="S156" s="114" t="str">
        <f t="shared" si="55"/>
        <v>IE-KY</v>
      </c>
      <c r="T156" s="114" t="str">
        <f t="shared" si="55"/>
        <v>IE-LK</v>
      </c>
      <c r="U156" s="114" t="str">
        <f t="shared" si="55"/>
        <v>IE-TA</v>
      </c>
      <c r="V156" s="114" t="str">
        <f t="shared" si="55"/>
        <v>IE-WD</v>
      </c>
      <c r="W156" s="114" t="str">
        <f t="shared" si="55"/>
        <v>IE-G</v>
      </c>
      <c r="X156" s="114" t="str">
        <f t="shared" si="55"/>
        <v>IE-LM</v>
      </c>
      <c r="Y156" s="114" t="str">
        <f t="shared" si="55"/>
        <v>IE-MO</v>
      </c>
      <c r="Z156" s="114" t="str">
        <f t="shared" si="55"/>
        <v>IE-RN</v>
      </c>
      <c r="AA156" s="114" t="str">
        <f t="shared" si="55"/>
        <v>IE-SO</v>
      </c>
      <c r="AB156" s="114" t="str">
        <f t="shared" si="55"/>
        <v>IE-CN</v>
      </c>
      <c r="AC156" s="114" t="str">
        <f t="shared" si="55"/>
        <v>IE-DL</v>
      </c>
      <c r="AD156" s="114" t="str">
        <f t="shared" si="55"/>
        <v>IE-MN</v>
      </c>
    </row>
    <row r="157" spans="2:30">
      <c r="B157" s="201" t="s">
        <v>332</v>
      </c>
      <c r="C157" s="249" t="s">
        <v>592</v>
      </c>
      <c r="D157" s="35">
        <f>D143/D$150</f>
        <v>1.584906729567099E-4</v>
      </c>
      <c r="E157" s="35">
        <f t="shared" ref="E157:AD163" si="56">E143/E$150</f>
        <v>5.7520851308599364E-5</v>
      </c>
      <c r="F157" s="35">
        <f t="shared" si="56"/>
        <v>3.5444339095992131E-4</v>
      </c>
      <c r="G157" s="35">
        <f t="shared" si="56"/>
        <v>1.0557060914241475E-4</v>
      </c>
      <c r="H157" s="35">
        <f t="shared" si="56"/>
        <v>7.4979380670315665E-5</v>
      </c>
      <c r="I157" s="35">
        <f t="shared" si="56"/>
        <v>4.5335025840964729E-5</v>
      </c>
      <c r="J157" s="35">
        <f t="shared" si="56"/>
        <v>8.8731144631765753E-5</v>
      </c>
      <c r="K157" s="35">
        <f t="shared" si="56"/>
        <v>1.3356930577353325E-4</v>
      </c>
      <c r="L157" s="35">
        <f t="shared" si="56"/>
        <v>7.6300930871356625E-5</v>
      </c>
      <c r="M157" s="35">
        <f t="shared" si="56"/>
        <v>9.1806288730778064E-5</v>
      </c>
      <c r="N157" s="35">
        <f t="shared" si="56"/>
        <v>1.914755102822349E-4</v>
      </c>
      <c r="O157" s="35">
        <f t="shared" si="56"/>
        <v>1.1118276222454471E-4</v>
      </c>
      <c r="P157" s="35">
        <f t="shared" si="56"/>
        <v>8.7732124579616906E-5</v>
      </c>
      <c r="Q157" s="35">
        <f t="shared" si="56"/>
        <v>1.5344954578934447E-4</v>
      </c>
      <c r="R157" s="35">
        <f t="shared" si="56"/>
        <v>1.2094183453645263E-4</v>
      </c>
      <c r="S157" s="35">
        <f t="shared" si="56"/>
        <v>1.0191861798354014E-4</v>
      </c>
      <c r="T157" s="35">
        <f t="shared" si="56"/>
        <v>4.179466282155769E-5</v>
      </c>
      <c r="U157" s="35">
        <f t="shared" si="56"/>
        <v>1.4670746531416355E-4</v>
      </c>
      <c r="V157" s="35">
        <f t="shared" si="56"/>
        <v>1.0109860483925321E-4</v>
      </c>
      <c r="W157" s="35">
        <f t="shared" si="56"/>
        <v>1.8089452341830351E-4</v>
      </c>
      <c r="X157" s="35">
        <f t="shared" si="56"/>
        <v>0</v>
      </c>
      <c r="Y157" s="35">
        <f t="shared" si="56"/>
        <v>7.8959835763541613E-5</v>
      </c>
      <c r="Z157" s="35">
        <f t="shared" si="56"/>
        <v>0</v>
      </c>
      <c r="AA157" s="35">
        <f t="shared" si="56"/>
        <v>1.1769552168539987E-4</v>
      </c>
      <c r="AB157" s="35">
        <f t="shared" si="56"/>
        <v>9.5739588319770219E-5</v>
      </c>
      <c r="AC157" s="35">
        <f t="shared" si="56"/>
        <v>9.7264437689969604E-5</v>
      </c>
      <c r="AD157" s="35">
        <f t="shared" si="56"/>
        <v>2.8354315526823184E-4</v>
      </c>
    </row>
    <row r="158" spans="2:30">
      <c r="B158" s="201" t="s">
        <v>333</v>
      </c>
      <c r="C158" s="2" t="s">
        <v>592</v>
      </c>
      <c r="D158" s="35">
        <f t="shared" ref="D158:S163" si="57">D144/D$150</f>
        <v>3.3991379524067563E-3</v>
      </c>
      <c r="E158" s="35">
        <f t="shared" si="57"/>
        <v>3.8538970376761576E-3</v>
      </c>
      <c r="F158" s="35">
        <f t="shared" si="57"/>
        <v>2.5519924149114337E-3</v>
      </c>
      <c r="G158" s="35">
        <f t="shared" si="57"/>
        <v>4.2932047717915336E-3</v>
      </c>
      <c r="H158" s="35">
        <f t="shared" si="57"/>
        <v>5.5484741696033594E-3</v>
      </c>
      <c r="I158" s="35">
        <f t="shared" si="57"/>
        <v>4.1254873515277901E-3</v>
      </c>
      <c r="J158" s="35">
        <f t="shared" si="57"/>
        <v>4.7914818101153509E-3</v>
      </c>
      <c r="K158" s="35">
        <f t="shared" si="57"/>
        <v>5.5431261896016293E-3</v>
      </c>
      <c r="L158" s="35">
        <f t="shared" si="57"/>
        <v>2.9566610712650696E-3</v>
      </c>
      <c r="M158" s="35">
        <f t="shared" si="57"/>
        <v>3.7640578379619003E-3</v>
      </c>
      <c r="N158" s="35">
        <f t="shared" si="57"/>
        <v>4.2890514303220622E-3</v>
      </c>
      <c r="O158" s="35">
        <f t="shared" si="57"/>
        <v>3.4911387338507037E-3</v>
      </c>
      <c r="P158" s="35">
        <f t="shared" si="57"/>
        <v>4.1526538967685336E-3</v>
      </c>
      <c r="Q158" s="35">
        <f t="shared" si="57"/>
        <v>3.5293395531549227E-3</v>
      </c>
      <c r="R158" s="35">
        <f t="shared" si="57"/>
        <v>4.0742280509467477E-3</v>
      </c>
      <c r="S158" s="35">
        <f t="shared" si="57"/>
        <v>2.4205671771090785E-3</v>
      </c>
      <c r="T158" s="35">
        <f t="shared" si="56"/>
        <v>2.7793450776335861E-3</v>
      </c>
      <c r="U158" s="35">
        <f t="shared" si="56"/>
        <v>2.9760657249444608E-3</v>
      </c>
      <c r="V158" s="35">
        <f t="shared" si="56"/>
        <v>3.976545123677293E-3</v>
      </c>
      <c r="W158" s="35">
        <f t="shared" si="56"/>
        <v>2.3516288044379456E-3</v>
      </c>
      <c r="X158" s="35">
        <f t="shared" si="56"/>
        <v>3.5963613285381847E-3</v>
      </c>
      <c r="Y158" s="35">
        <f t="shared" si="56"/>
        <v>2.816234142232984E-3</v>
      </c>
      <c r="Z158" s="35">
        <f t="shared" si="56"/>
        <v>3.1608060055314103E-3</v>
      </c>
      <c r="AA158" s="35">
        <f t="shared" si="56"/>
        <v>3.2366268463484963E-3</v>
      </c>
      <c r="AB158" s="35">
        <f t="shared" si="56"/>
        <v>2.920057443752992E-3</v>
      </c>
      <c r="AC158" s="35">
        <f t="shared" si="56"/>
        <v>3.4042553191489361E-3</v>
      </c>
      <c r="AD158" s="35">
        <f t="shared" si="56"/>
        <v>4.8769422706135875E-3</v>
      </c>
    </row>
    <row r="159" spans="2:30">
      <c r="B159" s="201" t="s">
        <v>334</v>
      </c>
      <c r="C159" s="2" t="s">
        <v>592</v>
      </c>
      <c r="D159" s="35">
        <f t="shared" si="57"/>
        <v>7.2064557943835858E-2</v>
      </c>
      <c r="E159" s="35">
        <f t="shared" si="56"/>
        <v>7.1153293068737411E-2</v>
      </c>
      <c r="F159" s="35">
        <f t="shared" si="56"/>
        <v>4.205913887978166E-2</v>
      </c>
      <c r="G159" s="35">
        <f t="shared" si="56"/>
        <v>6.0509554140127389E-2</v>
      </c>
      <c r="H159" s="35">
        <f t="shared" si="56"/>
        <v>8.1315138336957332E-2</v>
      </c>
      <c r="I159" s="35">
        <f t="shared" si="56"/>
        <v>7.0314625079336293E-2</v>
      </c>
      <c r="J159" s="35">
        <f t="shared" si="56"/>
        <v>8.0656610470275072E-2</v>
      </c>
      <c r="K159" s="35">
        <f t="shared" si="56"/>
        <v>8.0909606972317763E-2</v>
      </c>
      <c r="L159" s="35">
        <f t="shared" si="56"/>
        <v>6.7965054173660916E-2</v>
      </c>
      <c r="M159" s="35">
        <f t="shared" si="56"/>
        <v>8.7766812026623828E-2</v>
      </c>
      <c r="N159" s="35">
        <f t="shared" si="56"/>
        <v>7.8122008195151846E-2</v>
      </c>
      <c r="O159" s="35">
        <f t="shared" si="56"/>
        <v>7.4959418291788038E-2</v>
      </c>
      <c r="P159" s="35">
        <f t="shared" si="56"/>
        <v>6.6530194472876156E-2</v>
      </c>
      <c r="Q159" s="35">
        <f t="shared" si="56"/>
        <v>7.9026516081512399E-2</v>
      </c>
      <c r="R159" s="35">
        <f t="shared" si="56"/>
        <v>8.2535243206470391E-2</v>
      </c>
      <c r="S159" s="35">
        <f t="shared" si="56"/>
        <v>8.2987234693097559E-2</v>
      </c>
      <c r="T159" s="35">
        <f t="shared" si="56"/>
        <v>8.5031241510459113E-2</v>
      </c>
      <c r="U159" s="35">
        <f t="shared" si="56"/>
        <v>8.3099299995808354E-2</v>
      </c>
      <c r="V159" s="35">
        <f t="shared" si="56"/>
        <v>6.9151445710049206E-2</v>
      </c>
      <c r="W159" s="35">
        <f t="shared" si="56"/>
        <v>7.4995854500504999E-2</v>
      </c>
      <c r="X159" s="35">
        <f t="shared" si="56"/>
        <v>7.9331499894224666E-2</v>
      </c>
      <c r="Y159" s="35">
        <f t="shared" si="56"/>
        <v>8.8961414960256877E-2</v>
      </c>
      <c r="Z159" s="35">
        <f t="shared" si="56"/>
        <v>8.8107467404188067E-2</v>
      </c>
      <c r="AA159" s="35">
        <f t="shared" si="56"/>
        <v>7.8620608485847107E-2</v>
      </c>
      <c r="AB159" s="35">
        <f t="shared" si="56"/>
        <v>9.0808999521302058E-2</v>
      </c>
      <c r="AC159" s="35">
        <f t="shared" si="56"/>
        <v>0.11124620060790273</v>
      </c>
      <c r="AD159" s="35">
        <f t="shared" si="56"/>
        <v>8.3588522173074747E-2</v>
      </c>
    </row>
    <row r="160" spans="2:30">
      <c r="B160" s="201" t="s">
        <v>335</v>
      </c>
      <c r="C160" s="2" t="s">
        <v>592</v>
      </c>
      <c r="D160" s="35">
        <f t="shared" si="57"/>
        <v>0.39374041529868853</v>
      </c>
      <c r="E160" s="35">
        <f t="shared" si="56"/>
        <v>0.39580097785447227</v>
      </c>
      <c r="F160" s="35">
        <f t="shared" si="56"/>
        <v>0.39316190087990571</v>
      </c>
      <c r="G160" s="35">
        <f t="shared" si="56"/>
        <v>0.40401872118802123</v>
      </c>
      <c r="H160" s="35">
        <f t="shared" si="56"/>
        <v>0.40578840818774836</v>
      </c>
      <c r="I160" s="35">
        <f t="shared" si="56"/>
        <v>0.40742587723275003</v>
      </c>
      <c r="J160" s="35">
        <f t="shared" si="56"/>
        <v>0.34587400177462291</v>
      </c>
      <c r="K160" s="35">
        <f t="shared" si="56"/>
        <v>0.4204093899221959</v>
      </c>
      <c r="L160" s="35">
        <f t="shared" si="56"/>
        <v>0.40378452617121929</v>
      </c>
      <c r="M160" s="35">
        <f t="shared" si="56"/>
        <v>0.40775763139775073</v>
      </c>
      <c r="N160" s="35">
        <f t="shared" si="56"/>
        <v>0.39045686056753343</v>
      </c>
      <c r="O160" s="35">
        <f t="shared" si="56"/>
        <v>0.42685286073247203</v>
      </c>
      <c r="P160" s="35">
        <f t="shared" si="56"/>
        <v>0.38113759321538238</v>
      </c>
      <c r="Q160" s="35">
        <f t="shared" si="56"/>
        <v>0.41919346918733119</v>
      </c>
      <c r="R160" s="35">
        <f t="shared" si="56"/>
        <v>0.40040817869156053</v>
      </c>
      <c r="S160" s="35">
        <f t="shared" si="56"/>
        <v>0.38721430937396489</v>
      </c>
      <c r="T160" s="35">
        <f t="shared" si="56"/>
        <v>0.40035107516770108</v>
      </c>
      <c r="U160" s="35">
        <f t="shared" si="56"/>
        <v>0.395313744393679</v>
      </c>
      <c r="V160" s="35">
        <f t="shared" si="56"/>
        <v>0.42977016917166544</v>
      </c>
      <c r="W160" s="35">
        <f t="shared" si="56"/>
        <v>0.36744200069342903</v>
      </c>
      <c r="X160" s="35">
        <f t="shared" si="56"/>
        <v>0.36280939284958746</v>
      </c>
      <c r="Y160" s="35">
        <f t="shared" si="56"/>
        <v>0.35339790493235773</v>
      </c>
      <c r="Z160" s="35">
        <f t="shared" si="56"/>
        <v>0.41539905175819836</v>
      </c>
      <c r="AA160" s="35">
        <f t="shared" si="56"/>
        <v>0.36267875007355971</v>
      </c>
      <c r="AB160" s="35">
        <f t="shared" si="56"/>
        <v>0.38147438966012448</v>
      </c>
      <c r="AC160" s="35">
        <f t="shared" si="56"/>
        <v>0.35606079027355625</v>
      </c>
      <c r="AD160" s="35">
        <f t="shared" si="56"/>
        <v>0.35817171373483042</v>
      </c>
    </row>
    <row r="161" spans="2:30">
      <c r="B161" s="201" t="s">
        <v>336</v>
      </c>
      <c r="C161" s="2" t="s">
        <v>592</v>
      </c>
      <c r="D161" s="35">
        <f t="shared" si="57"/>
        <v>7.9488827735690687E-2</v>
      </c>
      <c r="E161" s="35">
        <f t="shared" si="56"/>
        <v>7.4201898188093182E-2</v>
      </c>
      <c r="F161" s="35">
        <f t="shared" si="56"/>
        <v>7.8101601198018664E-2</v>
      </c>
      <c r="G161" s="35">
        <f t="shared" si="56"/>
        <v>8.6708660308969981E-2</v>
      </c>
      <c r="H161" s="35">
        <f t="shared" si="56"/>
        <v>8.2402339356676915E-2</v>
      </c>
      <c r="I161" s="35">
        <f t="shared" si="56"/>
        <v>8.4731163296763085E-2</v>
      </c>
      <c r="J161" s="35">
        <f t="shared" si="56"/>
        <v>7.8793256433007983E-2</v>
      </c>
      <c r="K161" s="35">
        <f t="shared" si="56"/>
        <v>7.730323571643237E-2</v>
      </c>
      <c r="L161" s="35">
        <f t="shared" si="56"/>
        <v>7.7159316343659398E-2</v>
      </c>
      <c r="M161" s="35">
        <f t="shared" si="56"/>
        <v>7.5097544181776457E-2</v>
      </c>
      <c r="N161" s="35">
        <f t="shared" si="56"/>
        <v>7.9155975950675903E-2</v>
      </c>
      <c r="O161" s="35">
        <f t="shared" si="56"/>
        <v>7.222432234106424E-2</v>
      </c>
      <c r="P161" s="35">
        <f t="shared" si="56"/>
        <v>7.6999561339377104E-2</v>
      </c>
      <c r="Q161" s="35">
        <f t="shared" si="56"/>
        <v>7.2857844340780756E-2</v>
      </c>
      <c r="R161" s="35">
        <f t="shared" si="56"/>
        <v>8.4901167844589745E-2</v>
      </c>
      <c r="S161" s="35">
        <f t="shared" si="56"/>
        <v>8.8796595918159346E-2</v>
      </c>
      <c r="T161" s="35">
        <f t="shared" si="56"/>
        <v>7.8009738156437428E-2</v>
      </c>
      <c r="U161" s="35">
        <f t="shared" si="56"/>
        <v>7.1069287840046944E-2</v>
      </c>
      <c r="V161" s="35">
        <f t="shared" si="56"/>
        <v>6.7567567567567571E-2</v>
      </c>
      <c r="W161" s="35">
        <f t="shared" si="56"/>
        <v>8.1538206430800314E-2</v>
      </c>
      <c r="X161" s="35">
        <f t="shared" si="56"/>
        <v>7.8591072561878569E-2</v>
      </c>
      <c r="Y161" s="35">
        <f t="shared" si="56"/>
        <v>8.2723587934937101E-2</v>
      </c>
      <c r="Z161" s="35">
        <f t="shared" si="56"/>
        <v>6.8154879494271042E-2</v>
      </c>
      <c r="AA161" s="35">
        <f t="shared" si="56"/>
        <v>8.3504972635791208E-2</v>
      </c>
      <c r="AB161" s="35">
        <f t="shared" si="56"/>
        <v>7.3528003829583535E-2</v>
      </c>
      <c r="AC161" s="35">
        <f t="shared" si="56"/>
        <v>8.7003039513677813E-2</v>
      </c>
      <c r="AD161" s="35">
        <f t="shared" si="56"/>
        <v>9.0847226947941478E-2</v>
      </c>
    </row>
    <row r="162" spans="2:30">
      <c r="B162" s="201" t="s">
        <v>337</v>
      </c>
      <c r="C162" s="2" t="s">
        <v>592</v>
      </c>
      <c r="D162" s="35">
        <f t="shared" si="57"/>
        <v>0.36615329855392753</v>
      </c>
      <c r="E162" s="35">
        <f t="shared" si="56"/>
        <v>0.37842968075927524</v>
      </c>
      <c r="F162" s="35">
        <f t="shared" si="56"/>
        <v>0.36388487678661624</v>
      </c>
      <c r="G162" s="35">
        <f t="shared" si="56"/>
        <v>0.3483302248653975</v>
      </c>
      <c r="H162" s="35">
        <f t="shared" si="56"/>
        <v>0.34520506860613331</v>
      </c>
      <c r="I162" s="35">
        <f t="shared" si="56"/>
        <v>0.35764801885937075</v>
      </c>
      <c r="J162" s="35">
        <f t="shared" si="56"/>
        <v>0.4251109139307897</v>
      </c>
      <c r="K162" s="35">
        <f t="shared" si="56"/>
        <v>0.33889872107389724</v>
      </c>
      <c r="L162" s="35">
        <f t="shared" si="56"/>
        <v>0.35264382725469251</v>
      </c>
      <c r="M162" s="35">
        <f t="shared" si="56"/>
        <v>0.35749368831764977</v>
      </c>
      <c r="N162" s="35">
        <f t="shared" si="56"/>
        <v>0.3807299046451959</v>
      </c>
      <c r="O162" s="35">
        <f t="shared" si="56"/>
        <v>0.34270974628093659</v>
      </c>
      <c r="P162" s="35">
        <f t="shared" si="56"/>
        <v>0.35835648486620852</v>
      </c>
      <c r="Q162" s="35">
        <f t="shared" si="56"/>
        <v>0.3524122268598085</v>
      </c>
      <c r="R162" s="35">
        <f t="shared" si="56"/>
        <v>0.35296874409463697</v>
      </c>
      <c r="S162" s="35">
        <f t="shared" si="56"/>
        <v>0.36807908884755525</v>
      </c>
      <c r="T162" s="35">
        <f t="shared" si="56"/>
        <v>0.35836833636344639</v>
      </c>
      <c r="U162" s="35">
        <f t="shared" si="56"/>
        <v>0.37240642159533888</v>
      </c>
      <c r="V162" s="35">
        <f t="shared" si="56"/>
        <v>0.34454404529217497</v>
      </c>
      <c r="W162" s="35">
        <f t="shared" si="56"/>
        <v>0.39926436227143225</v>
      </c>
      <c r="X162" s="35">
        <f t="shared" si="56"/>
        <v>0.42384176010154434</v>
      </c>
      <c r="Y162" s="35">
        <f t="shared" si="56"/>
        <v>0.40466915828815075</v>
      </c>
      <c r="Z162" s="35">
        <f t="shared" si="56"/>
        <v>0.37248123271434214</v>
      </c>
      <c r="AA162" s="35">
        <f t="shared" si="56"/>
        <v>0.41328782439828166</v>
      </c>
      <c r="AB162" s="35">
        <f t="shared" si="56"/>
        <v>0.3844901866921972</v>
      </c>
      <c r="AC162" s="35">
        <f t="shared" si="56"/>
        <v>0.38730699088145898</v>
      </c>
      <c r="AD162" s="35">
        <f t="shared" si="56"/>
        <v>0.39401156856073494</v>
      </c>
    </row>
    <row r="163" spans="2:30">
      <c r="B163" s="201" t="s">
        <v>338</v>
      </c>
      <c r="C163" s="2" t="s">
        <v>592</v>
      </c>
      <c r="D163" s="35">
        <f t="shared" si="57"/>
        <v>8.4995271842493919E-2</v>
      </c>
      <c r="E163" s="35">
        <f t="shared" si="56"/>
        <v>7.650273224043716E-2</v>
      </c>
      <c r="F163" s="35">
        <f t="shared" si="56"/>
        <v>0.11988604644980638</v>
      </c>
      <c r="G163" s="35">
        <f t="shared" si="56"/>
        <v>9.6034064116549953E-2</v>
      </c>
      <c r="H163" s="35">
        <f t="shared" si="56"/>
        <v>7.9665591962210389E-2</v>
      </c>
      <c r="I163" s="35">
        <f t="shared" si="56"/>
        <v>7.5709493154411098E-2</v>
      </c>
      <c r="J163" s="35">
        <f t="shared" si="56"/>
        <v>6.4685004436557225E-2</v>
      </c>
      <c r="K163" s="35">
        <f t="shared" si="56"/>
        <v>7.6802350819781609E-2</v>
      </c>
      <c r="L163" s="35">
        <f t="shared" si="56"/>
        <v>9.5414314054631466E-2</v>
      </c>
      <c r="M163" s="35">
        <f t="shared" si="56"/>
        <v>6.8028459949506542E-2</v>
      </c>
      <c r="N163" s="35">
        <f t="shared" si="56"/>
        <v>6.7054723700838662E-2</v>
      </c>
      <c r="O163" s="35">
        <f t="shared" si="56"/>
        <v>7.9651330857663821E-2</v>
      </c>
      <c r="P163" s="35">
        <f t="shared" si="56"/>
        <v>0.11273578008480772</v>
      </c>
      <c r="Q163" s="35">
        <f t="shared" si="56"/>
        <v>7.2827154431622881E-2</v>
      </c>
      <c r="R163" s="35">
        <f t="shared" si="56"/>
        <v>7.4991496277259151E-2</v>
      </c>
      <c r="S163" s="35">
        <f t="shared" si="56"/>
        <v>7.0400285372130347E-2</v>
      </c>
      <c r="T163" s="35">
        <f t="shared" si="56"/>
        <v>7.5418469061500848E-2</v>
      </c>
      <c r="U163" s="35">
        <f t="shared" si="56"/>
        <v>7.4988472984868174E-2</v>
      </c>
      <c r="V163" s="35">
        <f t="shared" si="56"/>
        <v>8.4889128530026281E-2</v>
      </c>
      <c r="W163" s="35">
        <f t="shared" si="56"/>
        <v>7.4227052775977201E-2</v>
      </c>
      <c r="X163" s="35">
        <f t="shared" si="56"/>
        <v>5.1829913264226785E-2</v>
      </c>
      <c r="Y163" s="35">
        <f t="shared" si="56"/>
        <v>6.7352739906301001E-2</v>
      </c>
      <c r="Z163" s="35">
        <f t="shared" si="56"/>
        <v>5.2696562623468987E-2</v>
      </c>
      <c r="AA163" s="35">
        <f t="shared" si="56"/>
        <v>5.8553522038486433E-2</v>
      </c>
      <c r="AB163" s="35">
        <f t="shared" si="56"/>
        <v>6.6682623264719965E-2</v>
      </c>
      <c r="AC163" s="35">
        <f t="shared" si="56"/>
        <v>5.488145896656535E-2</v>
      </c>
      <c r="AD163" s="35">
        <f t="shared" si="56"/>
        <v>6.8220483157536579E-2</v>
      </c>
    </row>
    <row r="164" spans="2:30">
      <c r="B164" s="200" t="s">
        <v>16</v>
      </c>
      <c r="C164" s="200" t="s">
        <v>592</v>
      </c>
      <c r="D164" s="145">
        <f t="shared" ref="D164:AD164" si="58">SUM(D157:D163)</f>
        <v>1</v>
      </c>
      <c r="E164" s="145">
        <f t="shared" si="58"/>
        <v>0.99999999999999989</v>
      </c>
      <c r="F164" s="145">
        <f t="shared" si="58"/>
        <v>1</v>
      </c>
      <c r="G164" s="145">
        <f t="shared" si="58"/>
        <v>0.99999999999999989</v>
      </c>
      <c r="H164" s="145">
        <f t="shared" si="58"/>
        <v>1</v>
      </c>
      <c r="I164" s="145">
        <f t="shared" si="58"/>
        <v>1</v>
      </c>
      <c r="J164" s="145">
        <f t="shared" si="58"/>
        <v>1</v>
      </c>
      <c r="K164" s="145">
        <f t="shared" si="58"/>
        <v>1.0000000000000002</v>
      </c>
      <c r="L164" s="145">
        <f t="shared" si="58"/>
        <v>1</v>
      </c>
      <c r="M164" s="145">
        <f t="shared" si="58"/>
        <v>1</v>
      </c>
      <c r="N164" s="145">
        <f t="shared" si="58"/>
        <v>1.0000000000000002</v>
      </c>
      <c r="O164" s="145">
        <f t="shared" si="58"/>
        <v>1</v>
      </c>
      <c r="P164" s="145">
        <f t="shared" si="58"/>
        <v>1</v>
      </c>
      <c r="Q164" s="145">
        <f t="shared" si="58"/>
        <v>1</v>
      </c>
      <c r="R164" s="145">
        <f t="shared" si="58"/>
        <v>1</v>
      </c>
      <c r="S164" s="145">
        <f t="shared" si="58"/>
        <v>1</v>
      </c>
      <c r="T164" s="145">
        <f t="shared" si="58"/>
        <v>1</v>
      </c>
      <c r="U164" s="145">
        <f t="shared" si="58"/>
        <v>1</v>
      </c>
      <c r="V164" s="145">
        <f t="shared" si="58"/>
        <v>1</v>
      </c>
      <c r="W164" s="145">
        <f t="shared" si="58"/>
        <v>1</v>
      </c>
      <c r="X164" s="145">
        <f t="shared" si="58"/>
        <v>1</v>
      </c>
      <c r="Y164" s="145">
        <f t="shared" si="58"/>
        <v>0.99999999999999989</v>
      </c>
      <c r="Z164" s="145">
        <f t="shared" si="58"/>
        <v>1</v>
      </c>
      <c r="AA164" s="145">
        <f t="shared" si="58"/>
        <v>0.99999999999999989</v>
      </c>
      <c r="AB164" s="145">
        <f t="shared" si="58"/>
        <v>1</v>
      </c>
      <c r="AC164" s="145">
        <f t="shared" si="58"/>
        <v>1</v>
      </c>
      <c r="AD164" s="145">
        <f t="shared" si="58"/>
        <v>1</v>
      </c>
    </row>
    <row r="165" spans="2:30">
      <c r="B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row>
    <row r="166" spans="2:30">
      <c r="B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row>
    <row r="167" spans="2:30">
      <c r="B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row>
    <row r="168" spans="2:30" ht="15.6">
      <c r="B168" s="167" t="s">
        <v>596</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2:30">
      <c r="B169" s="114" t="s">
        <v>588</v>
      </c>
      <c r="C169" s="114" t="s">
        <v>63</v>
      </c>
      <c r="D169" s="114" t="str">
        <f>D156</f>
        <v>IE</v>
      </c>
      <c r="E169" s="114" t="str">
        <f t="shared" ref="E169:AD169" si="59">E156</f>
        <v>IE-CW</v>
      </c>
      <c r="F169" s="114" t="str">
        <f t="shared" si="59"/>
        <v>IE-D</v>
      </c>
      <c r="G169" s="114" t="str">
        <f t="shared" si="59"/>
        <v>IE-KE</v>
      </c>
      <c r="H169" s="114" t="str">
        <f t="shared" si="59"/>
        <v>IE-KK</v>
      </c>
      <c r="I169" s="114" t="str">
        <f t="shared" si="59"/>
        <v>IE-LS</v>
      </c>
      <c r="J169" s="114" t="str">
        <f t="shared" si="59"/>
        <v>IE-LD</v>
      </c>
      <c r="K169" s="114" t="str">
        <f t="shared" si="59"/>
        <v>IE-LH</v>
      </c>
      <c r="L169" s="114" t="str">
        <f t="shared" si="59"/>
        <v>IE-MH</v>
      </c>
      <c r="M169" s="114" t="str">
        <f t="shared" si="59"/>
        <v>IE-OY</v>
      </c>
      <c r="N169" s="114" t="str">
        <f t="shared" si="59"/>
        <v>IE-WH</v>
      </c>
      <c r="O169" s="114" t="str">
        <f t="shared" si="59"/>
        <v>IE-WX</v>
      </c>
      <c r="P169" s="114" t="str">
        <f t="shared" si="59"/>
        <v>IE-WW</v>
      </c>
      <c r="Q169" s="114" t="str">
        <f t="shared" si="59"/>
        <v>IE-CE</v>
      </c>
      <c r="R169" s="114" t="str">
        <f t="shared" si="59"/>
        <v>IE-CO</v>
      </c>
      <c r="S169" s="114" t="str">
        <f t="shared" si="59"/>
        <v>IE-KY</v>
      </c>
      <c r="T169" s="114" t="str">
        <f t="shared" si="59"/>
        <v>IE-LK</v>
      </c>
      <c r="U169" s="114" t="str">
        <f t="shared" si="59"/>
        <v>IE-TA</v>
      </c>
      <c r="V169" s="114" t="str">
        <f t="shared" si="59"/>
        <v>IE-WD</v>
      </c>
      <c r="W169" s="114" t="str">
        <f t="shared" si="59"/>
        <v>IE-G</v>
      </c>
      <c r="X169" s="114" t="str">
        <f t="shared" si="59"/>
        <v>IE-LM</v>
      </c>
      <c r="Y169" s="114" t="str">
        <f t="shared" si="59"/>
        <v>IE-MO</v>
      </c>
      <c r="Z169" s="114" t="str">
        <f t="shared" si="59"/>
        <v>IE-RN</v>
      </c>
      <c r="AA169" s="114" t="str">
        <f t="shared" si="59"/>
        <v>IE-SO</v>
      </c>
      <c r="AB169" s="114" t="str">
        <f t="shared" si="59"/>
        <v>IE-CN</v>
      </c>
      <c r="AC169" s="114" t="str">
        <f t="shared" si="59"/>
        <v>IE-DL</v>
      </c>
      <c r="AD169" s="114" t="str">
        <f t="shared" si="59"/>
        <v>IE-MN</v>
      </c>
    </row>
    <row r="170" spans="2:30">
      <c r="B170" s="201" t="s">
        <v>332</v>
      </c>
      <c r="C170" s="201" t="s">
        <v>593</v>
      </c>
      <c r="D170" s="247">
        <v>1.376629219195896</v>
      </c>
      <c r="E170" s="247">
        <v>1.376629219195896</v>
      </c>
      <c r="F170" s="247">
        <v>1.376629219195896</v>
      </c>
      <c r="G170" s="247">
        <v>1.376629219195896</v>
      </c>
      <c r="H170" s="247">
        <v>1.376629219195896</v>
      </c>
      <c r="I170" s="247">
        <v>1.376629219195896</v>
      </c>
      <c r="J170" s="247">
        <v>1.376629219195896</v>
      </c>
      <c r="K170" s="247">
        <v>1.376629219195896</v>
      </c>
      <c r="L170" s="247">
        <v>1.376629219195896</v>
      </c>
      <c r="M170" s="247">
        <v>1.376629219195896</v>
      </c>
      <c r="N170" s="247">
        <v>1.376629219195896</v>
      </c>
      <c r="O170" s="247">
        <v>1.376629219195896</v>
      </c>
      <c r="P170" s="247">
        <v>1.376629219195896</v>
      </c>
      <c r="Q170" s="247">
        <v>1.376629219195896</v>
      </c>
      <c r="R170" s="247">
        <v>1.376629219195896</v>
      </c>
      <c r="S170" s="247">
        <v>1.376629219195896</v>
      </c>
      <c r="T170" s="247">
        <v>1.376629219195896</v>
      </c>
      <c r="U170" s="247">
        <v>1.376629219195896</v>
      </c>
      <c r="V170" s="247">
        <v>1.376629219195896</v>
      </c>
      <c r="W170" s="247">
        <v>1.376629219195896</v>
      </c>
      <c r="X170" s="247">
        <v>1.376629219195896</v>
      </c>
      <c r="Y170" s="247">
        <v>1.376629219195896</v>
      </c>
      <c r="Z170" s="247">
        <v>1.376629219195896</v>
      </c>
      <c r="AA170" s="247">
        <v>1.376629219195896</v>
      </c>
      <c r="AB170" s="247">
        <v>1.376629219195896</v>
      </c>
      <c r="AC170" s="247">
        <v>1.376629219195896</v>
      </c>
      <c r="AD170" s="247">
        <v>1.376629219195896</v>
      </c>
    </row>
    <row r="171" spans="2:30">
      <c r="B171" s="201" t="s">
        <v>333</v>
      </c>
      <c r="C171" s="201" t="s">
        <v>593</v>
      </c>
      <c r="D171" s="247">
        <v>1.3798479828493471</v>
      </c>
      <c r="E171" s="247">
        <v>1.3798479828493471</v>
      </c>
      <c r="F171" s="247">
        <v>1.3798479828493471</v>
      </c>
      <c r="G171" s="247">
        <v>1.3798479828493471</v>
      </c>
      <c r="H171" s="247">
        <v>1.3798479828493471</v>
      </c>
      <c r="I171" s="247">
        <v>1.3798479828493471</v>
      </c>
      <c r="J171" s="247">
        <v>1.3798479828493471</v>
      </c>
      <c r="K171" s="247">
        <v>1.3798479828493471</v>
      </c>
      <c r="L171" s="247">
        <v>1.3798479828493471</v>
      </c>
      <c r="M171" s="247">
        <v>1.3798479828493471</v>
      </c>
      <c r="N171" s="247">
        <v>1.3798479828493471</v>
      </c>
      <c r="O171" s="247">
        <v>1.3798479828493471</v>
      </c>
      <c r="P171" s="247">
        <v>1.3798479828493471</v>
      </c>
      <c r="Q171" s="247">
        <v>1.3798479828493471</v>
      </c>
      <c r="R171" s="247">
        <v>1.3798479828493471</v>
      </c>
      <c r="S171" s="247">
        <v>1.3798479828493471</v>
      </c>
      <c r="T171" s="247">
        <v>1.3798479828493471</v>
      </c>
      <c r="U171" s="247">
        <v>1.3798479828493471</v>
      </c>
      <c r="V171" s="247">
        <v>1.3798479828493471</v>
      </c>
      <c r="W171" s="247">
        <v>1.3798479828493471</v>
      </c>
      <c r="X171" s="247">
        <v>1.3798479828493471</v>
      </c>
      <c r="Y171" s="247">
        <v>1.3798479828493471</v>
      </c>
      <c r="Z171" s="247">
        <v>1.3798479828493471</v>
      </c>
      <c r="AA171" s="247">
        <v>1.3798479828493471</v>
      </c>
      <c r="AB171" s="247">
        <v>1.3798479828493471</v>
      </c>
      <c r="AC171" s="247">
        <v>1.3798479828493471</v>
      </c>
      <c r="AD171" s="247">
        <v>1.3798479828493471</v>
      </c>
    </row>
    <row r="172" spans="2:30">
      <c r="B172" s="201" t="s">
        <v>334</v>
      </c>
      <c r="C172" s="201" t="s">
        <v>593</v>
      </c>
      <c r="D172" s="247">
        <v>1.4199749047648353</v>
      </c>
      <c r="E172" s="247">
        <v>1.4199749047648353</v>
      </c>
      <c r="F172" s="247">
        <v>1.4199749047648353</v>
      </c>
      <c r="G172" s="247">
        <v>1.4199749047648353</v>
      </c>
      <c r="H172" s="247">
        <v>1.4199749047648353</v>
      </c>
      <c r="I172" s="247">
        <v>1.4199749047648353</v>
      </c>
      <c r="J172" s="247">
        <v>1.4199749047648353</v>
      </c>
      <c r="K172" s="247">
        <v>1.4199749047648353</v>
      </c>
      <c r="L172" s="247">
        <v>1.4199749047648353</v>
      </c>
      <c r="M172" s="247">
        <v>1.4199749047648353</v>
      </c>
      <c r="N172" s="247">
        <v>1.4199749047648353</v>
      </c>
      <c r="O172" s="247">
        <v>1.4199749047648353</v>
      </c>
      <c r="P172" s="247">
        <v>1.4199749047648353</v>
      </c>
      <c r="Q172" s="247">
        <v>1.4199749047648353</v>
      </c>
      <c r="R172" s="247">
        <v>1.4199749047648353</v>
      </c>
      <c r="S172" s="247">
        <v>1.4199749047648353</v>
      </c>
      <c r="T172" s="247">
        <v>1.4199749047648353</v>
      </c>
      <c r="U172" s="247">
        <v>1.4199749047648353</v>
      </c>
      <c r="V172" s="247">
        <v>1.4199749047648353</v>
      </c>
      <c r="W172" s="247">
        <v>1.4199749047648353</v>
      </c>
      <c r="X172" s="247">
        <v>1.4199749047648353</v>
      </c>
      <c r="Y172" s="247">
        <v>1.4199749047648353</v>
      </c>
      <c r="Z172" s="247">
        <v>1.4199749047648353</v>
      </c>
      <c r="AA172" s="247">
        <v>1.4199749047648353</v>
      </c>
      <c r="AB172" s="247">
        <v>1.4199749047648353</v>
      </c>
      <c r="AC172" s="247">
        <v>1.4199749047648353</v>
      </c>
      <c r="AD172" s="247">
        <v>1.4199749047648353</v>
      </c>
    </row>
    <row r="173" spans="2:30">
      <c r="B173" s="201" t="s">
        <v>335</v>
      </c>
      <c r="C173" s="201" t="s">
        <v>593</v>
      </c>
      <c r="D173" s="247">
        <v>1.4290054727038648</v>
      </c>
      <c r="E173" s="247">
        <v>1.4290054727038648</v>
      </c>
      <c r="F173" s="247">
        <v>1.4290054727038648</v>
      </c>
      <c r="G173" s="247">
        <v>1.4290054727038648</v>
      </c>
      <c r="H173" s="247">
        <v>1.4290054727038648</v>
      </c>
      <c r="I173" s="247">
        <v>1.4290054727038648</v>
      </c>
      <c r="J173" s="247">
        <v>1.4290054727038648</v>
      </c>
      <c r="K173" s="247">
        <v>1.4290054727038648</v>
      </c>
      <c r="L173" s="247">
        <v>1.4290054727038648</v>
      </c>
      <c r="M173" s="247">
        <v>1.4290054727038648</v>
      </c>
      <c r="N173" s="247">
        <v>1.4290054727038648</v>
      </c>
      <c r="O173" s="247">
        <v>1.4290054727038648</v>
      </c>
      <c r="P173" s="247">
        <v>1.4290054727038648</v>
      </c>
      <c r="Q173" s="247">
        <v>1.4290054727038648</v>
      </c>
      <c r="R173" s="247">
        <v>1.4290054727038648</v>
      </c>
      <c r="S173" s="247">
        <v>1.4290054727038648</v>
      </c>
      <c r="T173" s="247">
        <v>1.4290054727038648</v>
      </c>
      <c r="U173" s="247">
        <v>1.4290054727038648</v>
      </c>
      <c r="V173" s="247">
        <v>1.4290054727038648</v>
      </c>
      <c r="W173" s="247">
        <v>1.4290054727038648</v>
      </c>
      <c r="X173" s="247">
        <v>1.4290054727038648</v>
      </c>
      <c r="Y173" s="247">
        <v>1.4290054727038648</v>
      </c>
      <c r="Z173" s="247">
        <v>1.4290054727038648</v>
      </c>
      <c r="AA173" s="247">
        <v>1.4290054727038648</v>
      </c>
      <c r="AB173" s="247">
        <v>1.4290054727038648</v>
      </c>
      <c r="AC173" s="247">
        <v>1.4290054727038648</v>
      </c>
      <c r="AD173" s="247">
        <v>1.4290054727038648</v>
      </c>
    </row>
    <row r="174" spans="2:30">
      <c r="B174" s="201" t="s">
        <v>336</v>
      </c>
      <c r="C174" s="201" t="s">
        <v>593</v>
      </c>
      <c r="D174" s="247">
        <v>1.6214274500716734</v>
      </c>
      <c r="E174" s="247">
        <v>1.6214274500716734</v>
      </c>
      <c r="F174" s="247">
        <v>1.6214274500716734</v>
      </c>
      <c r="G174" s="247">
        <v>1.6214274500716734</v>
      </c>
      <c r="H174" s="247">
        <v>1.6214274500716734</v>
      </c>
      <c r="I174" s="247">
        <v>1.6214274500716734</v>
      </c>
      <c r="J174" s="247">
        <v>1.6214274500716734</v>
      </c>
      <c r="K174" s="247">
        <v>1.6214274500716734</v>
      </c>
      <c r="L174" s="247">
        <v>1.6214274500716734</v>
      </c>
      <c r="M174" s="247">
        <v>1.6214274500716734</v>
      </c>
      <c r="N174" s="247">
        <v>1.6214274500716734</v>
      </c>
      <c r="O174" s="247">
        <v>1.6214274500716734</v>
      </c>
      <c r="P174" s="247">
        <v>1.6214274500716734</v>
      </c>
      <c r="Q174" s="247">
        <v>1.6214274500716734</v>
      </c>
      <c r="R174" s="247">
        <v>1.6214274500716734</v>
      </c>
      <c r="S174" s="247">
        <v>1.6214274500716734</v>
      </c>
      <c r="T174" s="247">
        <v>1.6214274500716734</v>
      </c>
      <c r="U174" s="247">
        <v>1.6214274500716734</v>
      </c>
      <c r="V174" s="247">
        <v>1.6214274500716734</v>
      </c>
      <c r="W174" s="247">
        <v>1.6214274500716734</v>
      </c>
      <c r="X174" s="247">
        <v>1.6214274500716734</v>
      </c>
      <c r="Y174" s="247">
        <v>1.6214274500716734</v>
      </c>
      <c r="Z174" s="247">
        <v>1.6214274500716734</v>
      </c>
      <c r="AA174" s="247">
        <v>1.6214274500716734</v>
      </c>
      <c r="AB174" s="247">
        <v>1.6214274500716734</v>
      </c>
      <c r="AC174" s="247">
        <v>1.6214274500716734</v>
      </c>
      <c r="AD174" s="247">
        <v>1.6214274500716734</v>
      </c>
    </row>
    <row r="175" spans="2:30">
      <c r="B175" s="201" t="s">
        <v>337</v>
      </c>
      <c r="C175" s="201" t="s">
        <v>593</v>
      </c>
      <c r="D175" s="247">
        <v>1.7083807871715502</v>
      </c>
      <c r="E175" s="247">
        <v>1.7083807871715502</v>
      </c>
      <c r="F175" s="247">
        <v>1.7083807871715502</v>
      </c>
      <c r="G175" s="247">
        <v>1.7083807871715502</v>
      </c>
      <c r="H175" s="247">
        <v>1.7083807871715502</v>
      </c>
      <c r="I175" s="247">
        <v>1.7083807871715502</v>
      </c>
      <c r="J175" s="247">
        <v>1.7083807871715502</v>
      </c>
      <c r="K175" s="247">
        <v>1.7083807871715502</v>
      </c>
      <c r="L175" s="247">
        <v>1.7083807871715502</v>
      </c>
      <c r="M175" s="247">
        <v>1.7083807871715502</v>
      </c>
      <c r="N175" s="247">
        <v>1.7083807871715502</v>
      </c>
      <c r="O175" s="247">
        <v>1.7083807871715502</v>
      </c>
      <c r="P175" s="247">
        <v>1.7083807871715502</v>
      </c>
      <c r="Q175" s="247">
        <v>1.7083807871715502</v>
      </c>
      <c r="R175" s="247">
        <v>1.7083807871715502</v>
      </c>
      <c r="S175" s="247">
        <v>1.7083807871715502</v>
      </c>
      <c r="T175" s="247">
        <v>1.7083807871715502</v>
      </c>
      <c r="U175" s="247">
        <v>1.7083807871715502</v>
      </c>
      <c r="V175" s="247">
        <v>1.7083807871715502</v>
      </c>
      <c r="W175" s="247">
        <v>1.7083807871715502</v>
      </c>
      <c r="X175" s="247">
        <v>1.7083807871715502</v>
      </c>
      <c r="Y175" s="247">
        <v>1.7083807871715502</v>
      </c>
      <c r="Z175" s="247">
        <v>1.7083807871715502</v>
      </c>
      <c r="AA175" s="247">
        <v>1.7083807871715502</v>
      </c>
      <c r="AB175" s="247">
        <v>1.7083807871715502</v>
      </c>
      <c r="AC175" s="247">
        <v>1.7083807871715502</v>
      </c>
      <c r="AD175" s="247">
        <v>1.7083807871715502</v>
      </c>
    </row>
    <row r="176" spans="2:30">
      <c r="B176" s="200" t="s">
        <v>338</v>
      </c>
      <c r="C176" s="200" t="s">
        <v>593</v>
      </c>
      <c r="D176" s="248">
        <v>1.8833978763305677</v>
      </c>
      <c r="E176" s="248">
        <v>1.8833978763305677</v>
      </c>
      <c r="F176" s="248">
        <v>1.8833978763305677</v>
      </c>
      <c r="G176" s="248">
        <v>1.8833978763305677</v>
      </c>
      <c r="H176" s="248">
        <v>1.8833978763305677</v>
      </c>
      <c r="I176" s="248">
        <v>1.8833978763305677</v>
      </c>
      <c r="J176" s="248">
        <v>1.8833978763305677</v>
      </c>
      <c r="K176" s="248">
        <v>1.8833978763305677</v>
      </c>
      <c r="L176" s="248">
        <v>1.8833978763305677</v>
      </c>
      <c r="M176" s="248">
        <v>1.8833978763305677</v>
      </c>
      <c r="N176" s="248">
        <v>1.8833978763305677</v>
      </c>
      <c r="O176" s="248">
        <v>1.8833978763305677</v>
      </c>
      <c r="P176" s="248">
        <v>1.8833978763305677</v>
      </c>
      <c r="Q176" s="248">
        <v>1.8833978763305677</v>
      </c>
      <c r="R176" s="248">
        <v>1.8833978763305677</v>
      </c>
      <c r="S176" s="248">
        <v>1.8833978763305677</v>
      </c>
      <c r="T176" s="248">
        <v>1.8833978763305677</v>
      </c>
      <c r="U176" s="248">
        <v>1.8833978763305677</v>
      </c>
      <c r="V176" s="248">
        <v>1.8833978763305677</v>
      </c>
      <c r="W176" s="248">
        <v>1.8833978763305677</v>
      </c>
      <c r="X176" s="248">
        <v>1.8833978763305677</v>
      </c>
      <c r="Y176" s="248">
        <v>1.8833978763305677</v>
      </c>
      <c r="Z176" s="248">
        <v>1.8833978763305677</v>
      </c>
      <c r="AA176" s="248">
        <v>1.8833978763305677</v>
      </c>
      <c r="AB176" s="248">
        <v>1.8833978763305677</v>
      </c>
      <c r="AC176" s="248">
        <v>1.8833978763305677</v>
      </c>
      <c r="AD176" s="248">
        <v>1.8833978763305677</v>
      </c>
    </row>
    <row r="177" spans="1:30">
      <c r="B177" s="252" t="s">
        <v>597</v>
      </c>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row>
    <row r="178" spans="1:30">
      <c r="B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1: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1:30" ht="15.6">
      <c r="B180" s="167" t="s">
        <v>596</v>
      </c>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1:30">
      <c r="B181" s="114" t="s">
        <v>588</v>
      </c>
      <c r="C181" s="114" t="s">
        <v>63</v>
      </c>
      <c r="D181" s="114" t="str">
        <f t="shared" ref="D181:AD181" si="60">D169</f>
        <v>IE</v>
      </c>
      <c r="E181" s="114" t="str">
        <f t="shared" si="60"/>
        <v>IE-CW</v>
      </c>
      <c r="F181" s="114" t="str">
        <f t="shared" si="60"/>
        <v>IE-D</v>
      </c>
      <c r="G181" s="114" t="str">
        <f t="shared" si="60"/>
        <v>IE-KE</v>
      </c>
      <c r="H181" s="114" t="str">
        <f t="shared" si="60"/>
        <v>IE-KK</v>
      </c>
      <c r="I181" s="114" t="str">
        <f t="shared" si="60"/>
        <v>IE-LS</v>
      </c>
      <c r="J181" s="114" t="str">
        <f t="shared" si="60"/>
        <v>IE-LD</v>
      </c>
      <c r="K181" s="114" t="str">
        <f t="shared" si="60"/>
        <v>IE-LH</v>
      </c>
      <c r="L181" s="114" t="str">
        <f t="shared" si="60"/>
        <v>IE-MH</v>
      </c>
      <c r="M181" s="114" t="str">
        <f t="shared" si="60"/>
        <v>IE-OY</v>
      </c>
      <c r="N181" s="114" t="str">
        <f t="shared" si="60"/>
        <v>IE-WH</v>
      </c>
      <c r="O181" s="114" t="str">
        <f t="shared" si="60"/>
        <v>IE-WX</v>
      </c>
      <c r="P181" s="114" t="str">
        <f t="shared" si="60"/>
        <v>IE-WW</v>
      </c>
      <c r="Q181" s="114" t="str">
        <f t="shared" si="60"/>
        <v>IE-CE</v>
      </c>
      <c r="R181" s="114" t="str">
        <f t="shared" si="60"/>
        <v>IE-CO</v>
      </c>
      <c r="S181" s="114" t="str">
        <f t="shared" si="60"/>
        <v>IE-KY</v>
      </c>
      <c r="T181" s="114" t="str">
        <f t="shared" si="60"/>
        <v>IE-LK</v>
      </c>
      <c r="U181" s="114" t="str">
        <f t="shared" si="60"/>
        <v>IE-TA</v>
      </c>
      <c r="V181" s="114" t="str">
        <f t="shared" si="60"/>
        <v>IE-WD</v>
      </c>
      <c r="W181" s="114" t="str">
        <f t="shared" si="60"/>
        <v>IE-G</v>
      </c>
      <c r="X181" s="114" t="str">
        <f t="shared" si="60"/>
        <v>IE-LM</v>
      </c>
      <c r="Y181" s="114" t="str">
        <f t="shared" si="60"/>
        <v>IE-MO</v>
      </c>
      <c r="Z181" s="114" t="str">
        <f t="shared" si="60"/>
        <v>IE-RN</v>
      </c>
      <c r="AA181" s="114" t="str">
        <f t="shared" si="60"/>
        <v>IE-SO</v>
      </c>
      <c r="AB181" s="114" t="str">
        <f t="shared" si="60"/>
        <v>IE-CN</v>
      </c>
      <c r="AC181" s="114" t="str">
        <f t="shared" si="60"/>
        <v>IE-DL</v>
      </c>
      <c r="AD181" s="114" t="str">
        <f t="shared" si="60"/>
        <v>IE-MN</v>
      </c>
    </row>
    <row r="182" spans="1:30">
      <c r="B182" s="201" t="s">
        <v>609</v>
      </c>
      <c r="C182" s="201" t="s">
        <v>593</v>
      </c>
      <c r="D182" s="247">
        <f t="shared" ref="D182:AD182" si="61">SUMPRODUCT(D157:D163,D170:D176)</f>
        <v>1.5843900907881323</v>
      </c>
      <c r="E182" s="247">
        <f t="shared" si="61"/>
        <v>1.5829347048520703</v>
      </c>
      <c r="F182" s="247">
        <f t="shared" si="61"/>
        <v>1.5996458660626507</v>
      </c>
      <c r="G182" s="247">
        <f t="shared" si="61"/>
        <v>1.5858791317071375</v>
      </c>
      <c r="H182" s="247">
        <f t="shared" si="61"/>
        <v>1.5764917101153666</v>
      </c>
      <c r="I182" s="247">
        <f t="shared" si="61"/>
        <v>1.5787893029191562</v>
      </c>
      <c r="J182" s="247">
        <f t="shared" si="61"/>
        <v>1.591356337193566</v>
      </c>
      <c r="K182" s="247">
        <f t="shared" si="61"/>
        <v>1.5724485140113176</v>
      </c>
      <c r="L182" s="247">
        <f t="shared" si="61"/>
        <v>1.5849650391323977</v>
      </c>
      <c r="M182" s="247">
        <f t="shared" si="61"/>
        <v>1.5732599934129918</v>
      </c>
      <c r="N182" s="247">
        <f t="shared" si="61"/>
        <v>1.5801461621566462</v>
      </c>
      <c r="O182" s="247">
        <f t="shared" si="61"/>
        <v>1.5739862573686552</v>
      </c>
      <c r="P182" s="247">
        <f t="shared" si="61"/>
        <v>1.5943545837287585</v>
      </c>
      <c r="Q182" s="247">
        <f t="shared" si="61"/>
        <v>1.5736771207233211</v>
      </c>
      <c r="R182" s="247">
        <f t="shared" si="61"/>
        <v>1.577076689999642</v>
      </c>
      <c r="S182" s="247">
        <f t="shared" si="61"/>
        <v>1.5800397063731884</v>
      </c>
      <c r="T182" s="247">
        <f t="shared" si="61"/>
        <v>1.5774984117966608</v>
      </c>
      <c r="U182" s="247">
        <f t="shared" si="61"/>
        <v>1.5798917054446691</v>
      </c>
      <c r="V182" s="247">
        <f t="shared" si="61"/>
        <v>1.5760117848458575</v>
      </c>
      <c r="W182" s="247">
        <f t="shared" si="61"/>
        <v>1.5891657014009029</v>
      </c>
      <c r="X182" s="247">
        <f t="shared" si="61"/>
        <v>1.5851969695754595</v>
      </c>
      <c r="Y182" s="247">
        <f t="shared" si="61"/>
        <v>1.5876365090748588</v>
      </c>
      <c r="Z182" s="247">
        <f t="shared" si="61"/>
        <v>1.5691759109001624</v>
      </c>
      <c r="AA182" s="247">
        <f t="shared" si="61"/>
        <v>1.5862670985371188</v>
      </c>
      <c r="AB182" s="247">
        <f t="shared" si="61"/>
        <v>1.5799024068601559</v>
      </c>
      <c r="AC182" s="247">
        <f t="shared" si="61"/>
        <v>1.5777114446657874</v>
      </c>
      <c r="AD182" s="247">
        <f t="shared" si="61"/>
        <v>1.5865530099438825</v>
      </c>
    </row>
    <row r="183" spans="1:30">
      <c r="B183" s="200"/>
      <c r="C183" s="200" t="s">
        <v>581</v>
      </c>
      <c r="D183" s="250">
        <f>1000/D182</f>
        <v>631.15769646259537</v>
      </c>
      <c r="E183" s="250">
        <f>1000/E182</f>
        <v>631.73799711053323</v>
      </c>
      <c r="F183" s="250">
        <f>1000/F182</f>
        <v>625.1383641939376</v>
      </c>
      <c r="G183" s="250">
        <f>1000/G182</f>
        <v>630.56507901931889</v>
      </c>
      <c r="H183" s="250">
        <f t="shared" ref="H183" si="62">1000/H182</f>
        <v>634.31985945985127</v>
      </c>
      <c r="I183" s="250">
        <f t="shared" ref="I183" si="63">1000/I182</f>
        <v>633.39674151010274</v>
      </c>
      <c r="J183" s="250">
        <f t="shared" ref="J183" si="64">1000/J182</f>
        <v>628.39477031495562</v>
      </c>
      <c r="K183" s="250">
        <f t="shared" ref="K183" si="65">1000/K182</f>
        <v>635.95086967203724</v>
      </c>
      <c r="L183" s="250">
        <f t="shared" ref="L183" si="66">1000/L182</f>
        <v>630.92874310173761</v>
      </c>
      <c r="M183" s="250">
        <f t="shared" ref="M183" si="67">1000/M182</f>
        <v>635.62284948886577</v>
      </c>
      <c r="N183" s="250">
        <f t="shared" ref="N183" si="68">1000/N182</f>
        <v>632.85284864734308</v>
      </c>
      <c r="O183" s="250">
        <f t="shared" ref="O183" si="69">1000/O182</f>
        <v>635.32956232525885</v>
      </c>
      <c r="P183" s="250">
        <f t="shared" ref="P183" si="70">1000/P182</f>
        <v>627.21304922100455</v>
      </c>
      <c r="Q183" s="250">
        <f t="shared" ref="Q183" si="71">1000/Q182</f>
        <v>635.45436788225174</v>
      </c>
      <c r="R183" s="250">
        <f t="shared" ref="R183" si="72">1000/R182</f>
        <v>634.08457327476378</v>
      </c>
      <c r="S183" s="250">
        <f t="shared" ref="S183" si="73">1000/S182</f>
        <v>632.89548735163919</v>
      </c>
      <c r="T183" s="250">
        <f t="shared" ref="T183" si="74">1000/T182</f>
        <v>633.91505976926442</v>
      </c>
      <c r="U183" s="250">
        <f t="shared" ref="U183" si="75">1000/U182</f>
        <v>632.95477566833904</v>
      </c>
      <c r="V183" s="250">
        <f t="shared" ref="V183" si="76">1000/V182</f>
        <v>634.51302180320022</v>
      </c>
      <c r="W183" s="250">
        <f t="shared" ref="W183" si="77">1000/W182</f>
        <v>629.2610009884221</v>
      </c>
      <c r="X183" s="250">
        <f t="shared" ref="X183" si="78">1000/X182</f>
        <v>630.83643180810247</v>
      </c>
      <c r="Y183" s="250">
        <f t="shared" ref="Y183" si="79">1000/Y182</f>
        <v>629.8670975906922</v>
      </c>
      <c r="Z183" s="250">
        <f t="shared" ref="Z183" si="80">1000/Z182</f>
        <v>637.27718036809972</v>
      </c>
      <c r="AA183" s="250">
        <f t="shared" ref="AA183" si="81">1000/AA182</f>
        <v>630.41085635717729</v>
      </c>
      <c r="AB183" s="250">
        <f t="shared" ref="AB183" si="82">1000/AB182</f>
        <v>632.95048837058607</v>
      </c>
      <c r="AC183" s="250">
        <f t="shared" ref="AC183" si="83">1000/AC182</f>
        <v>633.82946443152275</v>
      </c>
      <c r="AD183" s="250">
        <f t="shared" ref="AD183" si="84">1000/AD182</f>
        <v>630.297250537737</v>
      </c>
    </row>
    <row r="185" spans="1:30" s="201" customFormat="1">
      <c r="A185" s="548"/>
    </row>
    <row r="187" spans="1:30">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row>
    <row r="188" spans="1:30" ht="15.6">
      <c r="B188" s="143" t="s">
        <v>605</v>
      </c>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row>
    <row r="189" spans="1:30">
      <c r="B189" s="114" t="s">
        <v>588</v>
      </c>
      <c r="C189" s="114" t="s">
        <v>63</v>
      </c>
      <c r="D189" s="114" t="str">
        <f>D181</f>
        <v>IE</v>
      </c>
      <c r="E189" s="114" t="str">
        <f t="shared" ref="E189:AD189" si="85">E181</f>
        <v>IE-CW</v>
      </c>
      <c r="F189" s="114" t="str">
        <f t="shared" si="85"/>
        <v>IE-D</v>
      </c>
      <c r="G189" s="114" t="str">
        <f t="shared" si="85"/>
        <v>IE-KE</v>
      </c>
      <c r="H189" s="114" t="str">
        <f t="shared" si="85"/>
        <v>IE-KK</v>
      </c>
      <c r="I189" s="114" t="str">
        <f t="shared" si="85"/>
        <v>IE-LS</v>
      </c>
      <c r="J189" s="114" t="str">
        <f t="shared" si="85"/>
        <v>IE-LD</v>
      </c>
      <c r="K189" s="114" t="str">
        <f t="shared" si="85"/>
        <v>IE-LH</v>
      </c>
      <c r="L189" s="114" t="str">
        <f t="shared" si="85"/>
        <v>IE-MH</v>
      </c>
      <c r="M189" s="114" t="str">
        <f t="shared" si="85"/>
        <v>IE-OY</v>
      </c>
      <c r="N189" s="114" t="str">
        <f t="shared" si="85"/>
        <v>IE-WH</v>
      </c>
      <c r="O189" s="114" t="str">
        <f t="shared" si="85"/>
        <v>IE-WX</v>
      </c>
      <c r="P189" s="114" t="str">
        <f t="shared" si="85"/>
        <v>IE-WW</v>
      </c>
      <c r="Q189" s="114" t="str">
        <f t="shared" si="85"/>
        <v>IE-CE</v>
      </c>
      <c r="R189" s="114" t="str">
        <f t="shared" si="85"/>
        <v>IE-CO</v>
      </c>
      <c r="S189" s="114" t="str">
        <f t="shared" si="85"/>
        <v>IE-KY</v>
      </c>
      <c r="T189" s="114" t="str">
        <f t="shared" si="85"/>
        <v>IE-LK</v>
      </c>
      <c r="U189" s="114" t="str">
        <f t="shared" si="85"/>
        <v>IE-TA</v>
      </c>
      <c r="V189" s="114" t="str">
        <f t="shared" si="85"/>
        <v>IE-WD</v>
      </c>
      <c r="W189" s="114" t="str">
        <f t="shared" si="85"/>
        <v>IE-G</v>
      </c>
      <c r="X189" s="114" t="str">
        <f t="shared" si="85"/>
        <v>IE-LM</v>
      </c>
      <c r="Y189" s="114" t="str">
        <f t="shared" si="85"/>
        <v>IE-MO</v>
      </c>
      <c r="Z189" s="114" t="str">
        <f t="shared" si="85"/>
        <v>IE-RN</v>
      </c>
      <c r="AA189" s="114" t="str">
        <f t="shared" si="85"/>
        <v>IE-SO</v>
      </c>
      <c r="AB189" s="114" t="str">
        <f t="shared" si="85"/>
        <v>IE-CN</v>
      </c>
      <c r="AC189" s="114" t="str">
        <f t="shared" si="85"/>
        <v>IE-DL</v>
      </c>
      <c r="AD189" s="114" t="str">
        <f t="shared" si="85"/>
        <v>IE-MN</v>
      </c>
    </row>
    <row r="190" spans="1:30">
      <c r="B190" s="201" t="s">
        <v>332</v>
      </c>
      <c r="C190" s="201" t="s">
        <v>516</v>
      </c>
      <c r="D190" s="36">
        <f>SUM(E190:AD190)</f>
        <v>20</v>
      </c>
      <c r="E190" s="36"/>
      <c r="F190" s="36">
        <v>13</v>
      </c>
      <c r="G190" s="36"/>
      <c r="H190" s="36"/>
      <c r="I190" s="36"/>
      <c r="J190" s="36"/>
      <c r="K190" s="36"/>
      <c r="L190" s="36"/>
      <c r="M190" s="36"/>
      <c r="N190" s="36"/>
      <c r="O190" s="36"/>
      <c r="P190" s="36">
        <v>2</v>
      </c>
      <c r="Q190" s="36"/>
      <c r="R190" s="36"/>
      <c r="S190" s="36">
        <v>1</v>
      </c>
      <c r="T190" s="36"/>
      <c r="U190" s="36"/>
      <c r="V190" s="36"/>
      <c r="W190" s="36">
        <v>3</v>
      </c>
      <c r="X190" s="36"/>
      <c r="Y190" s="36"/>
      <c r="Z190" s="36"/>
      <c r="AA190" s="36"/>
      <c r="AB190" s="36"/>
      <c r="AC190" s="36">
        <v>1</v>
      </c>
      <c r="AD190" s="36"/>
    </row>
    <row r="191" spans="1:30">
      <c r="B191" s="201" t="s">
        <v>333</v>
      </c>
      <c r="C191" s="201" t="s">
        <v>516</v>
      </c>
      <c r="D191" s="36">
        <f t="shared" ref="D191:D196" si="86">SUM(E191:AD191)</f>
        <v>0</v>
      </c>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B192" s="201" t="s">
        <v>334</v>
      </c>
      <c r="C192" s="201" t="s">
        <v>516</v>
      </c>
      <c r="D192" s="36">
        <f t="shared" si="86"/>
        <v>7</v>
      </c>
      <c r="E192" s="36"/>
      <c r="F192" s="36">
        <v>3</v>
      </c>
      <c r="G192" s="36"/>
      <c r="H192" s="36"/>
      <c r="I192" s="36"/>
      <c r="J192" s="36"/>
      <c r="K192" s="36"/>
      <c r="L192" s="36"/>
      <c r="M192" s="36"/>
      <c r="N192" s="36"/>
      <c r="O192" s="36"/>
      <c r="P192" s="36">
        <v>2</v>
      </c>
      <c r="Q192" s="36"/>
      <c r="R192" s="36">
        <v>1</v>
      </c>
      <c r="S192" s="36"/>
      <c r="T192" s="36">
        <v>1</v>
      </c>
      <c r="U192" s="36"/>
      <c r="V192" s="36"/>
      <c r="W192" s="36"/>
      <c r="X192" s="36"/>
      <c r="Y192" s="36"/>
      <c r="Z192" s="36"/>
      <c r="AA192" s="36"/>
      <c r="AB192" s="36"/>
      <c r="AC192" s="36"/>
      <c r="AD192" s="36"/>
    </row>
    <row r="193" spans="2:30">
      <c r="B193" s="201" t="s">
        <v>335</v>
      </c>
      <c r="C193" s="201" t="s">
        <v>516</v>
      </c>
      <c r="D193" s="36">
        <f t="shared" si="86"/>
        <v>9</v>
      </c>
      <c r="E193" s="36"/>
      <c r="F193" s="36">
        <v>1</v>
      </c>
      <c r="G193" s="36">
        <v>1</v>
      </c>
      <c r="H193" s="36"/>
      <c r="I193" s="36"/>
      <c r="J193" s="36"/>
      <c r="K193" s="36">
        <v>1</v>
      </c>
      <c r="L193" s="36"/>
      <c r="M193" s="36">
        <v>1</v>
      </c>
      <c r="N193" s="36"/>
      <c r="O193" s="36"/>
      <c r="P193" s="36"/>
      <c r="Q193" s="36">
        <v>1</v>
      </c>
      <c r="R193" s="36">
        <v>2</v>
      </c>
      <c r="S193" s="36">
        <v>1</v>
      </c>
      <c r="T193" s="36">
        <v>1</v>
      </c>
      <c r="U193" s="36"/>
      <c r="V193" s="36"/>
      <c r="W193" s="36"/>
      <c r="X193" s="36"/>
      <c r="Y193" s="36"/>
      <c r="Z193" s="36"/>
      <c r="AA193" s="36"/>
      <c r="AB193" s="36"/>
      <c r="AC193" s="36"/>
      <c r="AD193" s="36"/>
    </row>
    <row r="194" spans="2:30">
      <c r="B194" s="201" t="s">
        <v>336</v>
      </c>
      <c r="C194" s="201" t="s">
        <v>516</v>
      </c>
      <c r="D194" s="36">
        <f t="shared" si="86"/>
        <v>3</v>
      </c>
      <c r="E194" s="36"/>
      <c r="F194" s="36"/>
      <c r="G194" s="36"/>
      <c r="H194" s="36"/>
      <c r="I194" s="36"/>
      <c r="J194" s="36"/>
      <c r="K194" s="36"/>
      <c r="L194" s="36">
        <v>1</v>
      </c>
      <c r="M194" s="36">
        <v>1</v>
      </c>
      <c r="N194" s="36"/>
      <c r="O194" s="36">
        <v>1</v>
      </c>
      <c r="P194" s="36"/>
      <c r="Q194" s="36"/>
      <c r="R194" s="36"/>
      <c r="S194" s="36"/>
      <c r="T194" s="36"/>
      <c r="U194" s="36"/>
      <c r="V194" s="36"/>
      <c r="W194" s="36"/>
      <c r="X194" s="36"/>
      <c r="Y194" s="36"/>
      <c r="Z194" s="36"/>
      <c r="AA194" s="36"/>
      <c r="AB194" s="36"/>
      <c r="AC194" s="36"/>
      <c r="AD194" s="36"/>
    </row>
    <row r="195" spans="2:30">
      <c r="B195" s="201" t="s">
        <v>337</v>
      </c>
      <c r="C195" s="201" t="s">
        <v>516</v>
      </c>
      <c r="D195" s="36">
        <f t="shared" si="86"/>
        <v>24</v>
      </c>
      <c r="E195" s="36"/>
      <c r="F195" s="36">
        <v>10</v>
      </c>
      <c r="G195" s="36"/>
      <c r="H195" s="36">
        <v>1</v>
      </c>
      <c r="I195" s="36"/>
      <c r="J195" s="36">
        <v>2</v>
      </c>
      <c r="K195" s="36"/>
      <c r="L195" s="36">
        <v>1</v>
      </c>
      <c r="M195" s="36">
        <v>1</v>
      </c>
      <c r="N195" s="36">
        <v>1</v>
      </c>
      <c r="O195" s="36"/>
      <c r="P195" s="36">
        <v>1</v>
      </c>
      <c r="Q195" s="36"/>
      <c r="R195" s="36">
        <v>2</v>
      </c>
      <c r="S195" s="36">
        <v>1</v>
      </c>
      <c r="T195" s="36"/>
      <c r="U195" s="36"/>
      <c r="V195" s="36"/>
      <c r="W195" s="36">
        <v>3</v>
      </c>
      <c r="X195" s="36"/>
      <c r="Y195" s="36"/>
      <c r="Z195" s="36"/>
      <c r="AA195" s="36"/>
      <c r="AB195" s="36"/>
      <c r="AC195" s="36">
        <v>1</v>
      </c>
      <c r="AD195" s="36"/>
    </row>
    <row r="196" spans="2:30">
      <c r="B196" s="201" t="s">
        <v>338</v>
      </c>
      <c r="C196" s="201" t="s">
        <v>516</v>
      </c>
      <c r="D196" s="36">
        <f t="shared" si="86"/>
        <v>4</v>
      </c>
      <c r="E196" s="36"/>
      <c r="F196" s="36">
        <v>1</v>
      </c>
      <c r="G196" s="36"/>
      <c r="H196" s="36"/>
      <c r="I196" s="36"/>
      <c r="J196" s="36"/>
      <c r="K196" s="36"/>
      <c r="L196" s="36"/>
      <c r="M196" s="36"/>
      <c r="N196" s="36"/>
      <c r="O196" s="36">
        <v>2</v>
      </c>
      <c r="P196" s="36"/>
      <c r="Q196" s="36"/>
      <c r="R196" s="36"/>
      <c r="S196" s="36"/>
      <c r="T196" s="36"/>
      <c r="U196" s="36"/>
      <c r="V196" s="36"/>
      <c r="W196" s="36">
        <v>1</v>
      </c>
      <c r="X196" s="36"/>
      <c r="Y196" s="36"/>
      <c r="Z196" s="36"/>
      <c r="AA196" s="36"/>
      <c r="AB196" s="36"/>
      <c r="AC196" s="36"/>
      <c r="AD196" s="36"/>
    </row>
    <row r="197" spans="2:30">
      <c r="B197" s="200" t="s">
        <v>16</v>
      </c>
      <c r="C197" s="200" t="s">
        <v>516</v>
      </c>
      <c r="D197" s="246">
        <f>SUM(D190:D196)</f>
        <v>67</v>
      </c>
      <c r="E197" s="246">
        <f t="shared" ref="E197:AD197" si="87">SUM(E190:E196)</f>
        <v>0</v>
      </c>
      <c r="F197" s="246">
        <f t="shared" si="87"/>
        <v>28</v>
      </c>
      <c r="G197" s="246">
        <f t="shared" si="87"/>
        <v>1</v>
      </c>
      <c r="H197" s="246">
        <f t="shared" si="87"/>
        <v>1</v>
      </c>
      <c r="I197" s="246">
        <v>0</v>
      </c>
      <c r="J197" s="246">
        <f t="shared" si="87"/>
        <v>2</v>
      </c>
      <c r="K197" s="246">
        <f t="shared" si="87"/>
        <v>1</v>
      </c>
      <c r="L197" s="246">
        <f t="shared" si="87"/>
        <v>2</v>
      </c>
      <c r="M197" s="246">
        <f t="shared" si="87"/>
        <v>3</v>
      </c>
      <c r="N197" s="246">
        <f t="shared" si="87"/>
        <v>1</v>
      </c>
      <c r="O197" s="246">
        <f t="shared" si="87"/>
        <v>3</v>
      </c>
      <c r="P197" s="246">
        <f t="shared" si="87"/>
        <v>5</v>
      </c>
      <c r="Q197" s="246">
        <f t="shared" si="87"/>
        <v>1</v>
      </c>
      <c r="R197" s="246">
        <f t="shared" si="87"/>
        <v>5</v>
      </c>
      <c r="S197" s="246">
        <f t="shared" si="87"/>
        <v>3</v>
      </c>
      <c r="T197" s="246">
        <f t="shared" si="87"/>
        <v>2</v>
      </c>
      <c r="U197" s="246">
        <f t="shared" si="87"/>
        <v>0</v>
      </c>
      <c r="V197" s="246">
        <f t="shared" si="87"/>
        <v>0</v>
      </c>
      <c r="W197" s="246">
        <f t="shared" si="87"/>
        <v>7</v>
      </c>
      <c r="X197" s="246">
        <f t="shared" si="87"/>
        <v>0</v>
      </c>
      <c r="Y197" s="246">
        <f t="shared" si="87"/>
        <v>0</v>
      </c>
      <c r="Z197" s="246">
        <f t="shared" si="87"/>
        <v>0</v>
      </c>
      <c r="AA197" s="246">
        <f t="shared" si="87"/>
        <v>0</v>
      </c>
      <c r="AB197" s="246">
        <f t="shared" si="87"/>
        <v>0</v>
      </c>
      <c r="AC197" s="246">
        <f t="shared" si="87"/>
        <v>2</v>
      </c>
      <c r="AD197" s="246">
        <f t="shared" si="87"/>
        <v>0</v>
      </c>
    </row>
    <row r="198" spans="2:30">
      <c r="B198" s="201" t="s">
        <v>599</v>
      </c>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row>
    <row r="199" spans="2:30">
      <c r="B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row>
    <row r="200" spans="2:30">
      <c r="B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row>
    <row r="201" spans="2:30">
      <c r="B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row>
    <row r="202" spans="2:30" ht="15.6">
      <c r="B202" s="167" t="s">
        <v>604</v>
      </c>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row>
    <row r="203" spans="2:30">
      <c r="B203" s="114" t="s">
        <v>588</v>
      </c>
      <c r="C203" s="114" t="s">
        <v>63</v>
      </c>
      <c r="D203" s="114" t="str">
        <f>D189</f>
        <v>IE</v>
      </c>
      <c r="E203" s="114" t="str">
        <f t="shared" ref="E203:AD203" si="88">E189</f>
        <v>IE-CW</v>
      </c>
      <c r="F203" s="114" t="str">
        <f t="shared" si="88"/>
        <v>IE-D</v>
      </c>
      <c r="G203" s="114" t="str">
        <f t="shared" si="88"/>
        <v>IE-KE</v>
      </c>
      <c r="H203" s="114" t="str">
        <f t="shared" si="88"/>
        <v>IE-KK</v>
      </c>
      <c r="I203" s="114" t="str">
        <f t="shared" si="88"/>
        <v>IE-LS</v>
      </c>
      <c r="J203" s="114" t="str">
        <f t="shared" si="88"/>
        <v>IE-LD</v>
      </c>
      <c r="K203" s="114" t="str">
        <f t="shared" si="88"/>
        <v>IE-LH</v>
      </c>
      <c r="L203" s="114" t="str">
        <f t="shared" si="88"/>
        <v>IE-MH</v>
      </c>
      <c r="M203" s="114" t="str">
        <f t="shared" si="88"/>
        <v>IE-OY</v>
      </c>
      <c r="N203" s="114" t="str">
        <f t="shared" si="88"/>
        <v>IE-WH</v>
      </c>
      <c r="O203" s="114" t="str">
        <f t="shared" si="88"/>
        <v>IE-WX</v>
      </c>
      <c r="P203" s="114" t="str">
        <f t="shared" si="88"/>
        <v>IE-WW</v>
      </c>
      <c r="Q203" s="114" t="str">
        <f t="shared" si="88"/>
        <v>IE-CE</v>
      </c>
      <c r="R203" s="114" t="str">
        <f t="shared" si="88"/>
        <v>IE-CO</v>
      </c>
      <c r="S203" s="114" t="str">
        <f t="shared" si="88"/>
        <v>IE-KY</v>
      </c>
      <c r="T203" s="114" t="str">
        <f t="shared" si="88"/>
        <v>IE-LK</v>
      </c>
      <c r="U203" s="114" t="str">
        <f t="shared" si="88"/>
        <v>IE-TA</v>
      </c>
      <c r="V203" s="114" t="str">
        <f t="shared" si="88"/>
        <v>IE-WD</v>
      </c>
      <c r="W203" s="114" t="str">
        <f t="shared" si="88"/>
        <v>IE-G</v>
      </c>
      <c r="X203" s="114" t="str">
        <f t="shared" si="88"/>
        <v>IE-LM</v>
      </c>
      <c r="Y203" s="114" t="str">
        <f t="shared" si="88"/>
        <v>IE-MO</v>
      </c>
      <c r="Z203" s="114" t="str">
        <f t="shared" si="88"/>
        <v>IE-RN</v>
      </c>
      <c r="AA203" s="114" t="str">
        <f t="shared" si="88"/>
        <v>IE-SO</v>
      </c>
      <c r="AB203" s="114" t="str">
        <f t="shared" si="88"/>
        <v>IE-CN</v>
      </c>
      <c r="AC203" s="114" t="str">
        <f t="shared" si="88"/>
        <v>IE-DL</v>
      </c>
      <c r="AD203" s="114" t="str">
        <f t="shared" si="88"/>
        <v>IE-MN</v>
      </c>
    </row>
    <row r="204" spans="2:30">
      <c r="B204" s="201" t="s">
        <v>332</v>
      </c>
      <c r="C204" s="249" t="s">
        <v>592</v>
      </c>
      <c r="D204" s="35">
        <f t="shared" ref="D204:AD204" si="89">D190/D$197</f>
        <v>0.29850746268656714</v>
      </c>
      <c r="E204" s="35" t="e">
        <f t="shared" si="89"/>
        <v>#DIV/0!</v>
      </c>
      <c r="F204" s="35">
        <f t="shared" si="89"/>
        <v>0.4642857142857143</v>
      </c>
      <c r="G204" s="35">
        <f t="shared" si="89"/>
        <v>0</v>
      </c>
      <c r="H204" s="35">
        <f t="shared" si="89"/>
        <v>0</v>
      </c>
      <c r="I204" s="35" t="e">
        <f t="shared" si="89"/>
        <v>#DIV/0!</v>
      </c>
      <c r="J204" s="35">
        <f t="shared" si="89"/>
        <v>0</v>
      </c>
      <c r="K204" s="35">
        <f t="shared" si="89"/>
        <v>0</v>
      </c>
      <c r="L204" s="35">
        <f t="shared" si="89"/>
        <v>0</v>
      </c>
      <c r="M204" s="35">
        <f t="shared" si="89"/>
        <v>0</v>
      </c>
      <c r="N204" s="35">
        <f t="shared" si="89"/>
        <v>0</v>
      </c>
      <c r="O204" s="35">
        <f t="shared" si="89"/>
        <v>0</v>
      </c>
      <c r="P204" s="35">
        <f t="shared" si="89"/>
        <v>0.4</v>
      </c>
      <c r="Q204" s="35">
        <f t="shared" si="89"/>
        <v>0</v>
      </c>
      <c r="R204" s="35">
        <f t="shared" si="89"/>
        <v>0</v>
      </c>
      <c r="S204" s="35">
        <f t="shared" si="89"/>
        <v>0.33333333333333331</v>
      </c>
      <c r="T204" s="35">
        <f t="shared" si="89"/>
        <v>0</v>
      </c>
      <c r="U204" s="35" t="e">
        <f t="shared" si="89"/>
        <v>#DIV/0!</v>
      </c>
      <c r="V204" s="35" t="e">
        <f t="shared" si="89"/>
        <v>#DIV/0!</v>
      </c>
      <c r="W204" s="35">
        <f t="shared" si="89"/>
        <v>0.42857142857142855</v>
      </c>
      <c r="X204" s="35" t="e">
        <f t="shared" si="89"/>
        <v>#DIV/0!</v>
      </c>
      <c r="Y204" s="35" t="e">
        <f t="shared" si="89"/>
        <v>#DIV/0!</v>
      </c>
      <c r="Z204" s="35" t="e">
        <f t="shared" si="89"/>
        <v>#DIV/0!</v>
      </c>
      <c r="AA204" s="35" t="e">
        <f t="shared" si="89"/>
        <v>#DIV/0!</v>
      </c>
      <c r="AB204" s="35" t="e">
        <f t="shared" si="89"/>
        <v>#DIV/0!</v>
      </c>
      <c r="AC204" s="35">
        <f t="shared" si="89"/>
        <v>0.5</v>
      </c>
      <c r="AD204" s="35" t="e">
        <f t="shared" si="89"/>
        <v>#DIV/0!</v>
      </c>
    </row>
    <row r="205" spans="2:30">
      <c r="B205" s="201" t="s">
        <v>333</v>
      </c>
      <c r="C205" s="2" t="s">
        <v>592</v>
      </c>
      <c r="D205" s="35">
        <f t="shared" ref="D205:S210" si="90">D191/D$197</f>
        <v>0</v>
      </c>
      <c r="E205" s="35" t="e">
        <f t="shared" si="90"/>
        <v>#DIV/0!</v>
      </c>
      <c r="F205" s="35">
        <f t="shared" si="90"/>
        <v>0</v>
      </c>
      <c r="G205" s="35">
        <f t="shared" si="90"/>
        <v>0</v>
      </c>
      <c r="H205" s="35">
        <f t="shared" si="90"/>
        <v>0</v>
      </c>
      <c r="I205" s="35" t="e">
        <f t="shared" si="90"/>
        <v>#DIV/0!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si="90"/>
        <v>0</v>
      </c>
      <c r="T205" s="35">
        <f t="shared" ref="T205:AD205" si="91">T191/T$197</f>
        <v>0</v>
      </c>
      <c r="U205" s="35" t="e">
        <f t="shared" si="91"/>
        <v>#DIV/0!</v>
      </c>
      <c r="V205" s="35" t="e">
        <f t="shared" si="91"/>
        <v>#DIV/0!</v>
      </c>
      <c r="W205" s="35">
        <f t="shared" si="91"/>
        <v>0</v>
      </c>
      <c r="X205" s="35" t="e">
        <f t="shared" si="91"/>
        <v>#DIV/0!</v>
      </c>
      <c r="Y205" s="35" t="e">
        <f t="shared" si="91"/>
        <v>#DIV/0!</v>
      </c>
      <c r="Z205" s="35" t="e">
        <f t="shared" si="91"/>
        <v>#DIV/0!</v>
      </c>
      <c r="AA205" s="35" t="e">
        <f t="shared" si="91"/>
        <v>#DIV/0!</v>
      </c>
      <c r="AB205" s="35" t="e">
        <f t="shared" si="91"/>
        <v>#DIV/0!</v>
      </c>
      <c r="AC205" s="35">
        <f t="shared" si="91"/>
        <v>0</v>
      </c>
      <c r="AD205" s="35" t="e">
        <f t="shared" si="91"/>
        <v>#DIV/0!</v>
      </c>
    </row>
    <row r="206" spans="2:30">
      <c r="B206" s="201" t="s">
        <v>334</v>
      </c>
      <c r="C206" s="2" t="s">
        <v>592</v>
      </c>
      <c r="D206" s="35">
        <f t="shared" si="90"/>
        <v>0.1044776119402985</v>
      </c>
      <c r="E206" s="35" t="e">
        <f t="shared" ref="E206:S206" si="92">E192/E$197</f>
        <v>#DIV/0!</v>
      </c>
      <c r="F206" s="35">
        <f t="shared" si="92"/>
        <v>0.10714285714285714</v>
      </c>
      <c r="G206" s="35">
        <f t="shared" si="92"/>
        <v>0</v>
      </c>
      <c r="H206" s="35">
        <f t="shared" si="92"/>
        <v>0</v>
      </c>
      <c r="I206" s="35" t="e">
        <f t="shared" si="92"/>
        <v>#DIV/0!</v>
      </c>
      <c r="J206" s="35">
        <f t="shared" si="92"/>
        <v>0</v>
      </c>
      <c r="K206" s="35">
        <f t="shared" si="92"/>
        <v>0</v>
      </c>
      <c r="L206" s="35">
        <f t="shared" si="92"/>
        <v>0</v>
      </c>
      <c r="M206" s="35">
        <f t="shared" si="92"/>
        <v>0</v>
      </c>
      <c r="N206" s="35">
        <f t="shared" si="92"/>
        <v>0</v>
      </c>
      <c r="O206" s="35">
        <f t="shared" si="92"/>
        <v>0</v>
      </c>
      <c r="P206" s="35">
        <f t="shared" si="92"/>
        <v>0.4</v>
      </c>
      <c r="Q206" s="35">
        <f t="shared" si="92"/>
        <v>0</v>
      </c>
      <c r="R206" s="35">
        <f t="shared" si="92"/>
        <v>0.2</v>
      </c>
      <c r="S206" s="35">
        <f t="shared" si="92"/>
        <v>0</v>
      </c>
      <c r="T206" s="35">
        <f t="shared" ref="T206:AD206" si="93">T192/T$197</f>
        <v>0.5</v>
      </c>
      <c r="U206" s="35" t="e">
        <f t="shared" si="93"/>
        <v>#DIV/0!</v>
      </c>
      <c r="V206" s="35" t="e">
        <f t="shared" si="93"/>
        <v>#DIV/0!</v>
      </c>
      <c r="W206" s="35">
        <f t="shared" si="93"/>
        <v>0</v>
      </c>
      <c r="X206" s="35" t="e">
        <f t="shared" si="93"/>
        <v>#DIV/0!</v>
      </c>
      <c r="Y206" s="35" t="e">
        <f t="shared" si="93"/>
        <v>#DIV/0!</v>
      </c>
      <c r="Z206" s="35" t="e">
        <f t="shared" si="93"/>
        <v>#DIV/0!</v>
      </c>
      <c r="AA206" s="35" t="e">
        <f t="shared" si="93"/>
        <v>#DIV/0!</v>
      </c>
      <c r="AB206" s="35" t="e">
        <f t="shared" si="93"/>
        <v>#DIV/0!</v>
      </c>
      <c r="AC206" s="35">
        <f t="shared" si="93"/>
        <v>0</v>
      </c>
      <c r="AD206" s="35" t="e">
        <f t="shared" si="93"/>
        <v>#DIV/0!</v>
      </c>
    </row>
    <row r="207" spans="2:30">
      <c r="B207" s="201" t="s">
        <v>335</v>
      </c>
      <c r="C207" s="2" t="s">
        <v>592</v>
      </c>
      <c r="D207" s="35">
        <f t="shared" si="90"/>
        <v>0.13432835820895522</v>
      </c>
      <c r="E207" s="35" t="e">
        <f t="shared" si="90"/>
        <v>#DIV/0!</v>
      </c>
      <c r="F207" s="35">
        <f t="shared" si="90"/>
        <v>3.5714285714285712E-2</v>
      </c>
      <c r="G207" s="35">
        <f t="shared" si="90"/>
        <v>1</v>
      </c>
      <c r="H207" s="35">
        <f t="shared" si="90"/>
        <v>0</v>
      </c>
      <c r="I207" s="35" t="e">
        <f t="shared" si="90"/>
        <v>#DIV/0!</v>
      </c>
      <c r="J207" s="35">
        <f t="shared" si="90"/>
        <v>0</v>
      </c>
      <c r="K207" s="35">
        <f t="shared" si="90"/>
        <v>1</v>
      </c>
      <c r="L207" s="35">
        <f t="shared" si="90"/>
        <v>0</v>
      </c>
      <c r="M207" s="35">
        <f t="shared" si="90"/>
        <v>0.33333333333333331</v>
      </c>
      <c r="N207" s="35">
        <f t="shared" si="90"/>
        <v>0</v>
      </c>
      <c r="O207" s="35">
        <f t="shared" si="90"/>
        <v>0</v>
      </c>
      <c r="P207" s="35">
        <f t="shared" si="90"/>
        <v>0</v>
      </c>
      <c r="Q207" s="35">
        <f t="shared" si="90"/>
        <v>1</v>
      </c>
      <c r="R207" s="35">
        <f t="shared" si="90"/>
        <v>0.4</v>
      </c>
      <c r="S207" s="35">
        <f t="shared" si="90"/>
        <v>0.33333333333333331</v>
      </c>
      <c r="T207" s="35">
        <f t="shared" ref="T207:AD207" si="94">T193/T$197</f>
        <v>0.5</v>
      </c>
      <c r="U207" s="35" t="e">
        <f t="shared" si="94"/>
        <v>#DIV/0!</v>
      </c>
      <c r="V207" s="35" t="e">
        <f t="shared" si="94"/>
        <v>#DIV/0!</v>
      </c>
      <c r="W207" s="35">
        <f t="shared" si="94"/>
        <v>0</v>
      </c>
      <c r="X207" s="35" t="e">
        <f t="shared" si="94"/>
        <v>#DIV/0!</v>
      </c>
      <c r="Y207" s="35" t="e">
        <f t="shared" si="94"/>
        <v>#DIV/0!</v>
      </c>
      <c r="Z207" s="35" t="e">
        <f t="shared" si="94"/>
        <v>#DIV/0!</v>
      </c>
      <c r="AA207" s="35" t="e">
        <f t="shared" si="94"/>
        <v>#DIV/0!</v>
      </c>
      <c r="AB207" s="35" t="e">
        <f t="shared" si="94"/>
        <v>#DIV/0!</v>
      </c>
      <c r="AC207" s="35">
        <f t="shared" si="94"/>
        <v>0</v>
      </c>
      <c r="AD207" s="35" t="e">
        <f t="shared" si="94"/>
        <v>#DIV/0!</v>
      </c>
    </row>
    <row r="208" spans="2:30">
      <c r="B208" s="201" t="s">
        <v>336</v>
      </c>
      <c r="C208" s="2" t="s">
        <v>592</v>
      </c>
      <c r="D208" s="35">
        <f t="shared" si="90"/>
        <v>4.4776119402985072E-2</v>
      </c>
      <c r="E208" s="35" t="e">
        <f t="shared" si="90"/>
        <v>#DIV/0!</v>
      </c>
      <c r="F208" s="35">
        <f t="shared" si="90"/>
        <v>0</v>
      </c>
      <c r="G208" s="35">
        <f t="shared" si="90"/>
        <v>0</v>
      </c>
      <c r="H208" s="35">
        <f t="shared" si="90"/>
        <v>0</v>
      </c>
      <c r="I208" s="35" t="e">
        <f t="shared" si="90"/>
        <v>#DIV/0!</v>
      </c>
      <c r="J208" s="35">
        <f t="shared" si="90"/>
        <v>0</v>
      </c>
      <c r="K208" s="35">
        <f t="shared" si="90"/>
        <v>0</v>
      </c>
      <c r="L208" s="35">
        <f t="shared" si="90"/>
        <v>0.5</v>
      </c>
      <c r="M208" s="35">
        <f t="shared" si="90"/>
        <v>0.33333333333333331</v>
      </c>
      <c r="N208" s="35">
        <f t="shared" si="90"/>
        <v>0</v>
      </c>
      <c r="O208" s="35">
        <f t="shared" si="90"/>
        <v>0.33333333333333331</v>
      </c>
      <c r="P208" s="35">
        <f t="shared" si="90"/>
        <v>0</v>
      </c>
      <c r="Q208" s="35">
        <f t="shared" si="90"/>
        <v>0</v>
      </c>
      <c r="R208" s="35">
        <f t="shared" si="90"/>
        <v>0</v>
      </c>
      <c r="S208" s="35">
        <f t="shared" si="90"/>
        <v>0</v>
      </c>
      <c r="T208" s="35">
        <f t="shared" ref="T208:AD208" si="95">T194/T$197</f>
        <v>0</v>
      </c>
      <c r="U208" s="35" t="e">
        <f t="shared" si="95"/>
        <v>#DIV/0!</v>
      </c>
      <c r="V208" s="35" t="e">
        <f t="shared" si="95"/>
        <v>#DIV/0!</v>
      </c>
      <c r="W208" s="35">
        <f t="shared" si="95"/>
        <v>0</v>
      </c>
      <c r="X208" s="35" t="e">
        <f t="shared" si="95"/>
        <v>#DIV/0!</v>
      </c>
      <c r="Y208" s="35" t="e">
        <f t="shared" si="95"/>
        <v>#DIV/0!</v>
      </c>
      <c r="Z208" s="35" t="e">
        <f t="shared" si="95"/>
        <v>#DIV/0!</v>
      </c>
      <c r="AA208" s="35" t="e">
        <f t="shared" si="95"/>
        <v>#DIV/0!</v>
      </c>
      <c r="AB208" s="35" t="e">
        <f t="shared" si="95"/>
        <v>#DIV/0!</v>
      </c>
      <c r="AC208" s="35">
        <f t="shared" si="95"/>
        <v>0</v>
      </c>
      <c r="AD208" s="35" t="e">
        <f t="shared" si="95"/>
        <v>#DIV/0!</v>
      </c>
    </row>
    <row r="209" spans="2:30">
      <c r="B209" s="201" t="s">
        <v>337</v>
      </c>
      <c r="C209" s="2" t="s">
        <v>592</v>
      </c>
      <c r="D209" s="35">
        <f t="shared" si="90"/>
        <v>0.35820895522388058</v>
      </c>
      <c r="E209" s="35" t="e">
        <f t="shared" si="90"/>
        <v>#DIV/0!</v>
      </c>
      <c r="F209" s="35">
        <f t="shared" si="90"/>
        <v>0.35714285714285715</v>
      </c>
      <c r="G209" s="35">
        <f t="shared" si="90"/>
        <v>0</v>
      </c>
      <c r="H209" s="35">
        <f t="shared" si="90"/>
        <v>1</v>
      </c>
      <c r="I209" s="35" t="e">
        <f t="shared" si="90"/>
        <v>#DIV/0!</v>
      </c>
      <c r="J209" s="35">
        <f t="shared" si="90"/>
        <v>1</v>
      </c>
      <c r="K209" s="35">
        <f t="shared" si="90"/>
        <v>0</v>
      </c>
      <c r="L209" s="35">
        <f t="shared" si="90"/>
        <v>0.5</v>
      </c>
      <c r="M209" s="35">
        <f t="shared" si="90"/>
        <v>0.33333333333333331</v>
      </c>
      <c r="N209" s="35">
        <f t="shared" si="90"/>
        <v>1</v>
      </c>
      <c r="O209" s="35">
        <f t="shared" si="90"/>
        <v>0</v>
      </c>
      <c r="P209" s="35">
        <f t="shared" si="90"/>
        <v>0.2</v>
      </c>
      <c r="Q209" s="35">
        <f t="shared" si="90"/>
        <v>0</v>
      </c>
      <c r="R209" s="35">
        <f t="shared" si="90"/>
        <v>0.4</v>
      </c>
      <c r="S209" s="35">
        <f t="shared" si="90"/>
        <v>0.33333333333333331</v>
      </c>
      <c r="T209" s="35">
        <f t="shared" ref="T209:AD209" si="96">T195/T$197</f>
        <v>0</v>
      </c>
      <c r="U209" s="35" t="e">
        <f t="shared" si="96"/>
        <v>#DIV/0!</v>
      </c>
      <c r="V209" s="35" t="e">
        <f t="shared" si="96"/>
        <v>#DIV/0!</v>
      </c>
      <c r="W209" s="35">
        <f t="shared" si="96"/>
        <v>0.42857142857142855</v>
      </c>
      <c r="X209" s="35" t="e">
        <f t="shared" si="96"/>
        <v>#DIV/0!</v>
      </c>
      <c r="Y209" s="35" t="e">
        <f t="shared" si="96"/>
        <v>#DIV/0!</v>
      </c>
      <c r="Z209" s="35" t="e">
        <f t="shared" si="96"/>
        <v>#DIV/0!</v>
      </c>
      <c r="AA209" s="35" t="e">
        <f t="shared" si="96"/>
        <v>#DIV/0!</v>
      </c>
      <c r="AB209" s="35" t="e">
        <f t="shared" si="96"/>
        <v>#DIV/0!</v>
      </c>
      <c r="AC209" s="35">
        <f t="shared" si="96"/>
        <v>0.5</v>
      </c>
      <c r="AD209" s="35" t="e">
        <f t="shared" si="96"/>
        <v>#DIV/0!</v>
      </c>
    </row>
    <row r="210" spans="2:30">
      <c r="B210" s="201" t="s">
        <v>338</v>
      </c>
      <c r="C210" s="2" t="s">
        <v>592</v>
      </c>
      <c r="D210" s="35">
        <f t="shared" si="90"/>
        <v>5.9701492537313432E-2</v>
      </c>
      <c r="E210" s="35" t="e">
        <f t="shared" si="90"/>
        <v>#DIV/0!</v>
      </c>
      <c r="F210" s="35">
        <f t="shared" si="90"/>
        <v>3.5714285714285712E-2</v>
      </c>
      <c r="G210" s="35">
        <f t="shared" si="90"/>
        <v>0</v>
      </c>
      <c r="H210" s="35">
        <f t="shared" si="90"/>
        <v>0</v>
      </c>
      <c r="I210" s="35" t="e">
        <f t="shared" si="90"/>
        <v>#DIV/0!</v>
      </c>
      <c r="J210" s="35">
        <f t="shared" si="90"/>
        <v>0</v>
      </c>
      <c r="K210" s="35">
        <f t="shared" si="90"/>
        <v>0</v>
      </c>
      <c r="L210" s="35">
        <f t="shared" si="90"/>
        <v>0</v>
      </c>
      <c r="M210" s="35">
        <f t="shared" si="90"/>
        <v>0</v>
      </c>
      <c r="N210" s="35">
        <f t="shared" si="90"/>
        <v>0</v>
      </c>
      <c r="O210" s="35">
        <f t="shared" si="90"/>
        <v>0.66666666666666663</v>
      </c>
      <c r="P210" s="35">
        <f t="shared" si="90"/>
        <v>0</v>
      </c>
      <c r="Q210" s="35">
        <f t="shared" si="90"/>
        <v>0</v>
      </c>
      <c r="R210" s="35">
        <f t="shared" si="90"/>
        <v>0</v>
      </c>
      <c r="S210" s="35">
        <f t="shared" si="90"/>
        <v>0</v>
      </c>
      <c r="T210" s="35">
        <f t="shared" ref="T210:AD210" si="97">T196/T$197</f>
        <v>0</v>
      </c>
      <c r="U210" s="35" t="e">
        <f t="shared" si="97"/>
        <v>#DIV/0!</v>
      </c>
      <c r="V210" s="35" t="e">
        <f t="shared" si="97"/>
        <v>#DIV/0!</v>
      </c>
      <c r="W210" s="35">
        <f t="shared" si="97"/>
        <v>0.14285714285714285</v>
      </c>
      <c r="X210" s="35" t="e">
        <f t="shared" si="97"/>
        <v>#DIV/0!</v>
      </c>
      <c r="Y210" s="35" t="e">
        <f t="shared" si="97"/>
        <v>#DIV/0!</v>
      </c>
      <c r="Z210" s="35" t="e">
        <f t="shared" si="97"/>
        <v>#DIV/0!</v>
      </c>
      <c r="AA210" s="35" t="e">
        <f t="shared" si="97"/>
        <v>#DIV/0!</v>
      </c>
      <c r="AB210" s="35" t="e">
        <f t="shared" si="97"/>
        <v>#DIV/0!</v>
      </c>
      <c r="AC210" s="35">
        <f t="shared" si="97"/>
        <v>0</v>
      </c>
      <c r="AD210" s="35" t="e">
        <f t="shared" si="97"/>
        <v>#DIV/0!</v>
      </c>
    </row>
    <row r="211" spans="2:30">
      <c r="B211" s="200" t="s">
        <v>16</v>
      </c>
      <c r="C211" s="200" t="s">
        <v>592</v>
      </c>
      <c r="D211" s="145">
        <f t="shared" ref="D211:AD211" si="98">SUM(D204:D210)</f>
        <v>1</v>
      </c>
      <c r="E211" s="145" t="e">
        <f t="shared" si="98"/>
        <v>#DIV/0!</v>
      </c>
      <c r="F211" s="145">
        <f t="shared" si="98"/>
        <v>0.99999999999999989</v>
      </c>
      <c r="G211" s="145">
        <f t="shared" si="98"/>
        <v>1</v>
      </c>
      <c r="H211" s="145">
        <f t="shared" si="98"/>
        <v>1</v>
      </c>
      <c r="I211" s="145" t="e">
        <f t="shared" si="98"/>
        <v>#DIV/0!</v>
      </c>
      <c r="J211" s="145">
        <f t="shared" si="98"/>
        <v>1</v>
      </c>
      <c r="K211" s="145">
        <f t="shared" si="98"/>
        <v>1</v>
      </c>
      <c r="L211" s="145">
        <f t="shared" si="98"/>
        <v>1</v>
      </c>
      <c r="M211" s="145">
        <f t="shared" si="98"/>
        <v>1</v>
      </c>
      <c r="N211" s="145">
        <f t="shared" si="98"/>
        <v>1</v>
      </c>
      <c r="O211" s="145">
        <f t="shared" si="98"/>
        <v>1</v>
      </c>
      <c r="P211" s="145">
        <f t="shared" si="98"/>
        <v>1</v>
      </c>
      <c r="Q211" s="145">
        <f t="shared" si="98"/>
        <v>1</v>
      </c>
      <c r="R211" s="145">
        <f t="shared" si="98"/>
        <v>1</v>
      </c>
      <c r="S211" s="145">
        <f t="shared" si="98"/>
        <v>1</v>
      </c>
      <c r="T211" s="145">
        <f t="shared" si="98"/>
        <v>1</v>
      </c>
      <c r="U211" s="145" t="e">
        <f t="shared" si="98"/>
        <v>#DIV/0!</v>
      </c>
      <c r="V211" s="145" t="e">
        <f t="shared" si="98"/>
        <v>#DIV/0!</v>
      </c>
      <c r="W211" s="145">
        <f t="shared" si="98"/>
        <v>1</v>
      </c>
      <c r="X211" s="145" t="e">
        <f t="shared" si="98"/>
        <v>#DIV/0!</v>
      </c>
      <c r="Y211" s="145" t="e">
        <f t="shared" si="98"/>
        <v>#DIV/0!</v>
      </c>
      <c r="Z211" s="145" t="e">
        <f t="shared" si="98"/>
        <v>#DIV/0!</v>
      </c>
      <c r="AA211" s="145" t="e">
        <f t="shared" si="98"/>
        <v>#DIV/0!</v>
      </c>
      <c r="AB211" s="145" t="e">
        <f t="shared" si="98"/>
        <v>#DIV/0!</v>
      </c>
      <c r="AC211" s="145">
        <f t="shared" si="98"/>
        <v>1</v>
      </c>
      <c r="AD211" s="145" t="e">
        <f t="shared" si="98"/>
        <v>#DIV/0!</v>
      </c>
    </row>
    <row r="212" spans="2:30">
      <c r="B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row>
    <row r="213" spans="2:30">
      <c r="B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row>
    <row r="214" spans="2:30">
      <c r="B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row>
    <row r="215" spans="2:30" ht="15.6">
      <c r="B215" s="167" t="s">
        <v>603</v>
      </c>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row>
    <row r="216" spans="2:30">
      <c r="B216" s="114" t="s">
        <v>588</v>
      </c>
      <c r="C216" s="114" t="s">
        <v>63</v>
      </c>
      <c r="D216" s="114" t="str">
        <f>D203</f>
        <v>IE</v>
      </c>
      <c r="E216" s="114" t="str">
        <f t="shared" ref="E216:AD216" si="99">E203</f>
        <v>IE-CW</v>
      </c>
      <c r="F216" s="114" t="str">
        <f t="shared" si="99"/>
        <v>IE-D</v>
      </c>
      <c r="G216" s="114" t="str">
        <f t="shared" si="99"/>
        <v>IE-KE</v>
      </c>
      <c r="H216" s="114" t="str">
        <f t="shared" si="99"/>
        <v>IE-KK</v>
      </c>
      <c r="I216" s="114" t="str">
        <f t="shared" si="99"/>
        <v>IE-LS</v>
      </c>
      <c r="J216" s="114" t="str">
        <f t="shared" si="99"/>
        <v>IE-LD</v>
      </c>
      <c r="K216" s="114" t="str">
        <f t="shared" si="99"/>
        <v>IE-LH</v>
      </c>
      <c r="L216" s="114" t="str">
        <f t="shared" si="99"/>
        <v>IE-MH</v>
      </c>
      <c r="M216" s="114" t="str">
        <f t="shared" si="99"/>
        <v>IE-OY</v>
      </c>
      <c r="N216" s="114" t="str">
        <f t="shared" si="99"/>
        <v>IE-WH</v>
      </c>
      <c r="O216" s="114" t="str">
        <f t="shared" si="99"/>
        <v>IE-WX</v>
      </c>
      <c r="P216" s="114" t="str">
        <f t="shared" si="99"/>
        <v>IE-WW</v>
      </c>
      <c r="Q216" s="114" t="str">
        <f t="shared" si="99"/>
        <v>IE-CE</v>
      </c>
      <c r="R216" s="114" t="str">
        <f t="shared" si="99"/>
        <v>IE-CO</v>
      </c>
      <c r="S216" s="114" t="str">
        <f t="shared" si="99"/>
        <v>IE-KY</v>
      </c>
      <c r="T216" s="114" t="str">
        <f t="shared" si="99"/>
        <v>IE-LK</v>
      </c>
      <c r="U216" s="114" t="str">
        <f t="shared" si="99"/>
        <v>IE-TA</v>
      </c>
      <c r="V216" s="114" t="str">
        <f t="shared" si="99"/>
        <v>IE-WD</v>
      </c>
      <c r="W216" s="114" t="str">
        <f t="shared" si="99"/>
        <v>IE-G</v>
      </c>
      <c r="X216" s="114" t="str">
        <f t="shared" si="99"/>
        <v>IE-LM</v>
      </c>
      <c r="Y216" s="114" t="str">
        <f t="shared" si="99"/>
        <v>IE-MO</v>
      </c>
      <c r="Z216" s="114" t="str">
        <f t="shared" si="99"/>
        <v>IE-RN</v>
      </c>
      <c r="AA216" s="114" t="str">
        <f t="shared" si="99"/>
        <v>IE-SO</v>
      </c>
      <c r="AB216" s="114" t="str">
        <f t="shared" si="99"/>
        <v>IE-CN</v>
      </c>
      <c r="AC216" s="114" t="str">
        <f t="shared" si="99"/>
        <v>IE-DL</v>
      </c>
      <c r="AD216" s="114" t="str">
        <f t="shared" si="99"/>
        <v>IE-MN</v>
      </c>
    </row>
    <row r="217" spans="2:30">
      <c r="B217" s="201" t="s">
        <v>332</v>
      </c>
      <c r="C217" s="201" t="s">
        <v>593</v>
      </c>
      <c r="D217" s="247">
        <v>1.7001196099333908</v>
      </c>
      <c r="E217" s="247">
        <v>1.7001196099333908</v>
      </c>
      <c r="F217" s="247">
        <v>1.7001196099333908</v>
      </c>
      <c r="G217" s="247">
        <v>1.7001196099333908</v>
      </c>
      <c r="H217" s="247">
        <v>1.7001196099333908</v>
      </c>
      <c r="I217" s="247">
        <v>1.7001196099333908</v>
      </c>
      <c r="J217" s="247">
        <v>1.7001196099333908</v>
      </c>
      <c r="K217" s="247">
        <v>1.7001196099333908</v>
      </c>
      <c r="L217" s="247">
        <v>1.7001196099333908</v>
      </c>
      <c r="M217" s="247">
        <v>1.7001196099333908</v>
      </c>
      <c r="N217" s="247">
        <v>1.7001196099333908</v>
      </c>
      <c r="O217" s="247">
        <v>1.7001196099333908</v>
      </c>
      <c r="P217" s="247">
        <v>1.7001196099333908</v>
      </c>
      <c r="Q217" s="247">
        <v>1.7001196099333908</v>
      </c>
      <c r="R217" s="247">
        <v>1.7001196099333908</v>
      </c>
      <c r="S217" s="247">
        <v>1.7001196099333908</v>
      </c>
      <c r="T217" s="247">
        <v>1.7001196099333908</v>
      </c>
      <c r="U217" s="247">
        <v>1.7001196099333908</v>
      </c>
      <c r="V217" s="247">
        <v>1.7001196099333908</v>
      </c>
      <c r="W217" s="247">
        <v>1.7001196099333908</v>
      </c>
      <c r="X217" s="247">
        <v>1.7001196099333908</v>
      </c>
      <c r="Y217" s="247">
        <v>1.7001196099333908</v>
      </c>
      <c r="Z217" s="247">
        <v>1.7001196099333908</v>
      </c>
      <c r="AA217" s="247">
        <v>1.7001196099333908</v>
      </c>
      <c r="AB217" s="247">
        <v>1.7001196099333908</v>
      </c>
      <c r="AC217" s="247">
        <v>1.7001196099333908</v>
      </c>
      <c r="AD217" s="247">
        <v>1.7001196099333908</v>
      </c>
    </row>
    <row r="218" spans="2:30">
      <c r="B218" s="201" t="s">
        <v>333</v>
      </c>
      <c r="C218" s="201" t="s">
        <v>593</v>
      </c>
      <c r="D218" s="247">
        <v>1.7309333107858809</v>
      </c>
      <c r="E218" s="247">
        <v>1.7309333107858809</v>
      </c>
      <c r="F218" s="247">
        <v>1.7309333107858809</v>
      </c>
      <c r="G218" s="247">
        <v>1.7309333107858809</v>
      </c>
      <c r="H218" s="247">
        <v>1.7309333107858809</v>
      </c>
      <c r="I218" s="247">
        <v>1.7309333107858809</v>
      </c>
      <c r="J218" s="247">
        <v>1.7309333107858809</v>
      </c>
      <c r="K218" s="247">
        <v>1.7309333107858809</v>
      </c>
      <c r="L218" s="247">
        <v>1.7309333107858809</v>
      </c>
      <c r="M218" s="247">
        <v>1.7309333107858809</v>
      </c>
      <c r="N218" s="247">
        <v>1.7309333107858809</v>
      </c>
      <c r="O218" s="247">
        <v>1.7309333107858809</v>
      </c>
      <c r="P218" s="247">
        <v>1.7309333107858809</v>
      </c>
      <c r="Q218" s="247">
        <v>1.7309333107858809</v>
      </c>
      <c r="R218" s="247">
        <v>1.7309333107858809</v>
      </c>
      <c r="S218" s="247">
        <v>1.7309333107858809</v>
      </c>
      <c r="T218" s="247">
        <v>1.7309333107858809</v>
      </c>
      <c r="U218" s="247">
        <v>1.7309333107858809</v>
      </c>
      <c r="V218" s="247">
        <v>1.7309333107858809</v>
      </c>
      <c r="W218" s="247">
        <v>1.7309333107858809</v>
      </c>
      <c r="X218" s="247">
        <v>1.7309333107858809</v>
      </c>
      <c r="Y218" s="247">
        <v>1.7309333107858809</v>
      </c>
      <c r="Z218" s="247">
        <v>1.7309333107858809</v>
      </c>
      <c r="AA218" s="247">
        <v>1.7309333107858809</v>
      </c>
      <c r="AB218" s="247">
        <v>1.7309333107858809</v>
      </c>
      <c r="AC218" s="247">
        <v>1.7309333107858809</v>
      </c>
      <c r="AD218" s="247">
        <v>1.7309333107858809</v>
      </c>
    </row>
    <row r="219" spans="2:30">
      <c r="B219" s="201" t="s">
        <v>334</v>
      </c>
      <c r="C219" s="201" t="s">
        <v>593</v>
      </c>
      <c r="D219" s="247">
        <v>1.9263070883172582</v>
      </c>
      <c r="E219" s="247">
        <v>1.9263070883172582</v>
      </c>
      <c r="F219" s="247">
        <v>1.9263070883172582</v>
      </c>
      <c r="G219" s="247">
        <v>1.9263070883172582</v>
      </c>
      <c r="H219" s="247">
        <v>1.9263070883172582</v>
      </c>
      <c r="I219" s="247">
        <v>1.9263070883172582</v>
      </c>
      <c r="J219" s="247">
        <v>1.9263070883172582</v>
      </c>
      <c r="K219" s="247">
        <v>1.9263070883172582</v>
      </c>
      <c r="L219" s="247">
        <v>1.9263070883172582</v>
      </c>
      <c r="M219" s="247">
        <v>1.9263070883172582</v>
      </c>
      <c r="N219" s="247">
        <v>1.9263070883172582</v>
      </c>
      <c r="O219" s="247">
        <v>1.9263070883172582</v>
      </c>
      <c r="P219" s="247">
        <v>1.9263070883172582</v>
      </c>
      <c r="Q219" s="247">
        <v>1.9263070883172582</v>
      </c>
      <c r="R219" s="247">
        <v>1.9263070883172582</v>
      </c>
      <c r="S219" s="247">
        <v>1.9263070883172582</v>
      </c>
      <c r="T219" s="247">
        <v>1.9263070883172582</v>
      </c>
      <c r="U219" s="247">
        <v>1.9263070883172582</v>
      </c>
      <c r="V219" s="247">
        <v>1.9263070883172582</v>
      </c>
      <c r="W219" s="247">
        <v>1.9263070883172582</v>
      </c>
      <c r="X219" s="247">
        <v>1.9263070883172582</v>
      </c>
      <c r="Y219" s="247">
        <v>1.9263070883172582</v>
      </c>
      <c r="Z219" s="247">
        <v>1.9263070883172582</v>
      </c>
      <c r="AA219" s="247">
        <v>1.9263070883172582</v>
      </c>
      <c r="AB219" s="247">
        <v>1.9263070883172582</v>
      </c>
      <c r="AC219" s="247">
        <v>1.9263070883172582</v>
      </c>
      <c r="AD219" s="247">
        <v>1.9263070883172582</v>
      </c>
    </row>
    <row r="220" spans="2:30">
      <c r="B220" s="201" t="s">
        <v>335</v>
      </c>
      <c r="C220" s="201" t="s">
        <v>593</v>
      </c>
      <c r="D220" s="247">
        <v>1.9413405466554232</v>
      </c>
      <c r="E220" s="247">
        <v>1.9413405466554232</v>
      </c>
      <c r="F220" s="247">
        <v>1.9413405466554232</v>
      </c>
      <c r="G220" s="247">
        <v>1.9413405466554232</v>
      </c>
      <c r="H220" s="247">
        <v>1.9413405466554232</v>
      </c>
      <c r="I220" s="247">
        <v>1.9413405466554232</v>
      </c>
      <c r="J220" s="247">
        <v>1.9413405466554232</v>
      </c>
      <c r="K220" s="247">
        <v>1.9413405466554232</v>
      </c>
      <c r="L220" s="247">
        <v>1.9413405466554232</v>
      </c>
      <c r="M220" s="247">
        <v>1.9413405466554232</v>
      </c>
      <c r="N220" s="247">
        <v>1.9413405466554232</v>
      </c>
      <c r="O220" s="247">
        <v>1.9413405466554232</v>
      </c>
      <c r="P220" s="247">
        <v>1.9413405466554232</v>
      </c>
      <c r="Q220" s="247">
        <v>1.9413405466554232</v>
      </c>
      <c r="R220" s="247">
        <v>1.9413405466554232</v>
      </c>
      <c r="S220" s="247">
        <v>1.9413405466554232</v>
      </c>
      <c r="T220" s="247">
        <v>1.9413405466554232</v>
      </c>
      <c r="U220" s="247">
        <v>1.9413405466554232</v>
      </c>
      <c r="V220" s="247">
        <v>1.9413405466554232</v>
      </c>
      <c r="W220" s="247">
        <v>1.9413405466554232</v>
      </c>
      <c r="X220" s="247">
        <v>1.9413405466554232</v>
      </c>
      <c r="Y220" s="247">
        <v>1.9413405466554232</v>
      </c>
      <c r="Z220" s="247">
        <v>1.9413405466554232</v>
      </c>
      <c r="AA220" s="247">
        <v>1.9413405466554232</v>
      </c>
      <c r="AB220" s="247">
        <v>1.9413405466554232</v>
      </c>
      <c r="AC220" s="247">
        <v>1.9413405466554232</v>
      </c>
      <c r="AD220" s="247">
        <v>1.9413405466554232</v>
      </c>
    </row>
    <row r="221" spans="2:30">
      <c r="B221" s="201" t="s">
        <v>336</v>
      </c>
      <c r="C221" s="201" t="s">
        <v>593</v>
      </c>
      <c r="D221" s="247">
        <v>2.161431948665991</v>
      </c>
      <c r="E221" s="247">
        <v>2.161431948665991</v>
      </c>
      <c r="F221" s="247">
        <v>2.161431948665991</v>
      </c>
      <c r="G221" s="247">
        <v>2.161431948665991</v>
      </c>
      <c r="H221" s="247">
        <v>2.161431948665991</v>
      </c>
      <c r="I221" s="247">
        <v>2.161431948665991</v>
      </c>
      <c r="J221" s="247">
        <v>2.161431948665991</v>
      </c>
      <c r="K221" s="247">
        <v>2.161431948665991</v>
      </c>
      <c r="L221" s="247">
        <v>2.161431948665991</v>
      </c>
      <c r="M221" s="247">
        <v>2.161431948665991</v>
      </c>
      <c r="N221" s="247">
        <v>2.161431948665991</v>
      </c>
      <c r="O221" s="247">
        <v>2.161431948665991</v>
      </c>
      <c r="P221" s="247">
        <v>2.161431948665991</v>
      </c>
      <c r="Q221" s="247">
        <v>2.161431948665991</v>
      </c>
      <c r="R221" s="247">
        <v>2.161431948665991</v>
      </c>
      <c r="S221" s="247">
        <v>2.161431948665991</v>
      </c>
      <c r="T221" s="247">
        <v>2.161431948665991</v>
      </c>
      <c r="U221" s="247">
        <v>2.161431948665991</v>
      </c>
      <c r="V221" s="247">
        <v>2.161431948665991</v>
      </c>
      <c r="W221" s="247">
        <v>2.161431948665991</v>
      </c>
      <c r="X221" s="247">
        <v>2.161431948665991</v>
      </c>
      <c r="Y221" s="247">
        <v>2.161431948665991</v>
      </c>
      <c r="Z221" s="247">
        <v>2.161431948665991</v>
      </c>
      <c r="AA221" s="247">
        <v>2.161431948665991</v>
      </c>
      <c r="AB221" s="247">
        <v>2.161431948665991</v>
      </c>
      <c r="AC221" s="247">
        <v>2.161431948665991</v>
      </c>
      <c r="AD221" s="247">
        <v>2.161431948665991</v>
      </c>
    </row>
    <row r="222" spans="2:30">
      <c r="B222" s="201" t="s">
        <v>337</v>
      </c>
      <c r="C222" s="201" t="s">
        <v>593</v>
      </c>
      <c r="D222" s="247">
        <v>2.1989941802073991</v>
      </c>
      <c r="E222" s="247">
        <v>2.1989941802073991</v>
      </c>
      <c r="F222" s="247">
        <v>2.1989941802073991</v>
      </c>
      <c r="G222" s="247">
        <v>2.1989941802073991</v>
      </c>
      <c r="H222" s="247">
        <v>2.1989941802073991</v>
      </c>
      <c r="I222" s="247">
        <v>2.1989941802073991</v>
      </c>
      <c r="J222" s="247">
        <v>2.1989941802073991</v>
      </c>
      <c r="K222" s="247">
        <v>2.1989941802073991</v>
      </c>
      <c r="L222" s="247">
        <v>2.1989941802073991</v>
      </c>
      <c r="M222" s="247">
        <v>2.1989941802073991</v>
      </c>
      <c r="N222" s="247">
        <v>2.1989941802073991</v>
      </c>
      <c r="O222" s="247">
        <v>2.1989941802073991</v>
      </c>
      <c r="P222" s="247">
        <v>2.1989941802073991</v>
      </c>
      <c r="Q222" s="247">
        <v>2.1989941802073991</v>
      </c>
      <c r="R222" s="247">
        <v>2.1989941802073991</v>
      </c>
      <c r="S222" s="247">
        <v>2.1989941802073991</v>
      </c>
      <c r="T222" s="247">
        <v>2.1989941802073991</v>
      </c>
      <c r="U222" s="247">
        <v>2.1989941802073991</v>
      </c>
      <c r="V222" s="247">
        <v>2.1989941802073991</v>
      </c>
      <c r="W222" s="247">
        <v>2.1989941802073991</v>
      </c>
      <c r="X222" s="247">
        <v>2.1989941802073991</v>
      </c>
      <c r="Y222" s="247">
        <v>2.1989941802073991</v>
      </c>
      <c r="Z222" s="247">
        <v>2.1989941802073991</v>
      </c>
      <c r="AA222" s="247">
        <v>2.1989941802073991</v>
      </c>
      <c r="AB222" s="247">
        <v>2.1989941802073991</v>
      </c>
      <c r="AC222" s="247">
        <v>2.1989941802073991</v>
      </c>
      <c r="AD222" s="247">
        <v>2.1989941802073991</v>
      </c>
    </row>
    <row r="223" spans="2:30">
      <c r="B223" s="200" t="s">
        <v>338</v>
      </c>
      <c r="C223" s="200" t="s">
        <v>593</v>
      </c>
      <c r="D223" s="248">
        <v>2.290790924916851</v>
      </c>
      <c r="E223" s="248">
        <v>2.290790924916851</v>
      </c>
      <c r="F223" s="248">
        <v>2.290790924916851</v>
      </c>
      <c r="G223" s="248">
        <v>2.290790924916851</v>
      </c>
      <c r="H223" s="248">
        <v>2.290790924916851</v>
      </c>
      <c r="I223" s="248">
        <v>2.290790924916851</v>
      </c>
      <c r="J223" s="248">
        <v>2.290790924916851</v>
      </c>
      <c r="K223" s="248">
        <v>2.290790924916851</v>
      </c>
      <c r="L223" s="248">
        <v>2.290790924916851</v>
      </c>
      <c r="M223" s="248">
        <v>2.290790924916851</v>
      </c>
      <c r="N223" s="248">
        <v>2.290790924916851</v>
      </c>
      <c r="O223" s="248">
        <v>2.290790924916851</v>
      </c>
      <c r="P223" s="248">
        <v>2.290790924916851</v>
      </c>
      <c r="Q223" s="248">
        <v>2.290790924916851</v>
      </c>
      <c r="R223" s="248">
        <v>2.290790924916851</v>
      </c>
      <c r="S223" s="248">
        <v>2.290790924916851</v>
      </c>
      <c r="T223" s="248">
        <v>2.290790924916851</v>
      </c>
      <c r="U223" s="248">
        <v>2.290790924916851</v>
      </c>
      <c r="V223" s="248">
        <v>2.290790924916851</v>
      </c>
      <c r="W223" s="248">
        <v>2.290790924916851</v>
      </c>
      <c r="X223" s="248">
        <v>2.290790924916851</v>
      </c>
      <c r="Y223" s="248">
        <v>2.290790924916851</v>
      </c>
      <c r="Z223" s="248">
        <v>2.290790924916851</v>
      </c>
      <c r="AA223" s="248">
        <v>2.290790924916851</v>
      </c>
      <c r="AB223" s="248">
        <v>2.290790924916851</v>
      </c>
      <c r="AC223" s="248">
        <v>2.290790924916851</v>
      </c>
      <c r="AD223" s="248">
        <v>2.290790924916851</v>
      </c>
    </row>
    <row r="224" spans="2:30">
      <c r="B224" s="252" t="s">
        <v>597</v>
      </c>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c r="AC224" s="201"/>
      <c r="AD224" s="201"/>
    </row>
    <row r="227" spans="1:30">
      <c r="B227" s="201"/>
    </row>
    <row r="228" spans="1:30" ht="15.6">
      <c r="B228" s="167" t="s">
        <v>603</v>
      </c>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row>
    <row r="229" spans="1:30">
      <c r="B229" s="114" t="s">
        <v>588</v>
      </c>
      <c r="C229" s="114" t="s">
        <v>63</v>
      </c>
      <c r="D229" s="114" t="str">
        <f>D216</f>
        <v>IE</v>
      </c>
      <c r="E229" s="114" t="str">
        <f t="shared" ref="E229:AD229" si="100">E216</f>
        <v>IE-CW</v>
      </c>
      <c r="F229" s="114" t="str">
        <f t="shared" si="100"/>
        <v>IE-D</v>
      </c>
      <c r="G229" s="114" t="str">
        <f t="shared" si="100"/>
        <v>IE-KE</v>
      </c>
      <c r="H229" s="114" t="str">
        <f t="shared" si="100"/>
        <v>IE-KK</v>
      </c>
      <c r="I229" s="114" t="str">
        <f t="shared" si="100"/>
        <v>IE-LS</v>
      </c>
      <c r="J229" s="114" t="str">
        <f t="shared" si="100"/>
        <v>IE-LD</v>
      </c>
      <c r="K229" s="114" t="str">
        <f t="shared" si="100"/>
        <v>IE-LH</v>
      </c>
      <c r="L229" s="114" t="str">
        <f t="shared" si="100"/>
        <v>IE-MH</v>
      </c>
      <c r="M229" s="114" t="str">
        <f t="shared" si="100"/>
        <v>IE-OY</v>
      </c>
      <c r="N229" s="114" t="str">
        <f t="shared" si="100"/>
        <v>IE-WH</v>
      </c>
      <c r="O229" s="114" t="str">
        <f t="shared" si="100"/>
        <v>IE-WX</v>
      </c>
      <c r="P229" s="114" t="str">
        <f t="shared" si="100"/>
        <v>IE-WW</v>
      </c>
      <c r="Q229" s="114" t="str">
        <f t="shared" si="100"/>
        <v>IE-CE</v>
      </c>
      <c r="R229" s="114" t="str">
        <f t="shared" si="100"/>
        <v>IE-CO</v>
      </c>
      <c r="S229" s="114" t="str">
        <f t="shared" si="100"/>
        <v>IE-KY</v>
      </c>
      <c r="T229" s="114" t="str">
        <f t="shared" si="100"/>
        <v>IE-LK</v>
      </c>
      <c r="U229" s="114" t="str">
        <f t="shared" si="100"/>
        <v>IE-TA</v>
      </c>
      <c r="V229" s="114" t="str">
        <f t="shared" si="100"/>
        <v>IE-WD</v>
      </c>
      <c r="W229" s="114" t="str">
        <f t="shared" si="100"/>
        <v>IE-G</v>
      </c>
      <c r="X229" s="114" t="str">
        <f t="shared" si="100"/>
        <v>IE-LM</v>
      </c>
      <c r="Y229" s="114" t="str">
        <f t="shared" si="100"/>
        <v>IE-MO</v>
      </c>
      <c r="Z229" s="114" t="str">
        <f t="shared" si="100"/>
        <v>IE-RN</v>
      </c>
      <c r="AA229" s="114" t="str">
        <f t="shared" si="100"/>
        <v>IE-SO</v>
      </c>
      <c r="AB229" s="114" t="str">
        <f t="shared" si="100"/>
        <v>IE-CN</v>
      </c>
      <c r="AC229" s="114" t="str">
        <f t="shared" si="100"/>
        <v>IE-DL</v>
      </c>
      <c r="AD229" s="114" t="str">
        <f t="shared" si="100"/>
        <v>IE-MN</v>
      </c>
    </row>
    <row r="230" spans="1:30">
      <c r="B230" s="201" t="s">
        <v>609</v>
      </c>
      <c r="C230" s="201" t="s">
        <v>593</v>
      </c>
      <c r="D230" s="247">
        <f>SUMPRODUCT(D204:D210,D217:D223)</f>
        <v>1.9907750239914981</v>
      </c>
      <c r="E230" s="247">
        <f>IF(E197&gt;1,SUMPRODUCT(E204:E210,E217:E223),$D$230)</f>
        <v>1.9907750239914981</v>
      </c>
      <c r="F230" s="247">
        <f t="shared" ref="F230:AD230" si="101">IF(F197&gt;1,SUMPRODUCT(F204:F210,F217:F223),$D$230)</f>
        <v>1.9322339095618617</v>
      </c>
      <c r="G230" s="247">
        <f t="shared" si="101"/>
        <v>1.9907750239914981</v>
      </c>
      <c r="H230" s="247">
        <f t="shared" si="101"/>
        <v>1.9907750239914981</v>
      </c>
      <c r="I230" s="247">
        <f t="shared" si="101"/>
        <v>1.9907750239914981</v>
      </c>
      <c r="J230" s="247">
        <f t="shared" si="101"/>
        <v>2.1989941802073991</v>
      </c>
      <c r="K230" s="247">
        <f t="shared" si="101"/>
        <v>1.9907750239914981</v>
      </c>
      <c r="L230" s="247">
        <f t="shared" si="101"/>
        <v>2.1802130644366953</v>
      </c>
      <c r="M230" s="247">
        <f t="shared" si="101"/>
        <v>2.1005888918429378</v>
      </c>
      <c r="N230" s="247">
        <f t="shared" si="101"/>
        <v>1.9907750239914981</v>
      </c>
      <c r="O230" s="247">
        <f t="shared" si="101"/>
        <v>2.2476712661665643</v>
      </c>
      <c r="P230" s="247">
        <f t="shared" si="101"/>
        <v>1.8903695153417397</v>
      </c>
      <c r="Q230" s="247">
        <f t="shared" si="101"/>
        <v>1.9907750239914981</v>
      </c>
      <c r="R230" s="247">
        <f t="shared" si="101"/>
        <v>2.041395308408581</v>
      </c>
      <c r="S230" s="247">
        <f t="shared" si="101"/>
        <v>1.9468181122654045</v>
      </c>
      <c r="T230" s="247">
        <f t="shared" si="101"/>
        <v>1.9338238174863407</v>
      </c>
      <c r="U230" s="247">
        <f t="shared" si="101"/>
        <v>1.9907750239914981</v>
      </c>
      <c r="V230" s="247">
        <f t="shared" si="101"/>
        <v>1.9907750239914981</v>
      </c>
      <c r="W230" s="247">
        <f t="shared" si="101"/>
        <v>1.9983046136198885</v>
      </c>
      <c r="X230" s="247">
        <f t="shared" si="101"/>
        <v>1.9907750239914981</v>
      </c>
      <c r="Y230" s="247">
        <f t="shared" si="101"/>
        <v>1.9907750239914981</v>
      </c>
      <c r="Z230" s="247">
        <f t="shared" si="101"/>
        <v>1.9907750239914981</v>
      </c>
      <c r="AA230" s="247">
        <f t="shared" si="101"/>
        <v>1.9907750239914981</v>
      </c>
      <c r="AB230" s="247">
        <f t="shared" si="101"/>
        <v>1.9907750239914981</v>
      </c>
      <c r="AC230" s="247">
        <f t="shared" si="101"/>
        <v>1.949556895070395</v>
      </c>
      <c r="AD230" s="247">
        <f t="shared" si="101"/>
        <v>1.9907750239914981</v>
      </c>
    </row>
    <row r="231" spans="1:30">
      <c r="B231" s="200"/>
      <c r="C231" s="200" t="s">
        <v>581</v>
      </c>
      <c r="D231" s="250">
        <f>1000/D230</f>
        <v>502.31693081772892</v>
      </c>
      <c r="E231" s="250">
        <f>1000/E230</f>
        <v>502.31693081772892</v>
      </c>
      <c r="F231" s="250">
        <f>1000/F230</f>
        <v>517.53568501794496</v>
      </c>
      <c r="G231" s="250">
        <f>1000/G230</f>
        <v>502.31693081772892</v>
      </c>
      <c r="H231" s="250">
        <f t="shared" ref="H231" si="102">1000/H230</f>
        <v>502.31693081772892</v>
      </c>
      <c r="I231" s="250">
        <f t="shared" ref="I231" si="103">1000/I230</f>
        <v>502.31693081772892</v>
      </c>
      <c r="J231" s="250">
        <f t="shared" ref="J231" si="104">1000/J230</f>
        <v>454.7533636063032</v>
      </c>
      <c r="K231" s="250">
        <f t="shared" ref="K231" si="105">1000/K230</f>
        <v>502.31693081772892</v>
      </c>
      <c r="L231" s="250">
        <f t="shared" ref="L231" si="106">1000/L230</f>
        <v>458.67076769323523</v>
      </c>
      <c r="M231" s="250">
        <f t="shared" ref="M231" si="107">1000/M230</f>
        <v>476.05697806135527</v>
      </c>
      <c r="N231" s="250">
        <f t="shared" ref="N231" si="108">1000/N230</f>
        <v>502.31693081772892</v>
      </c>
      <c r="O231" s="250">
        <f t="shared" ref="O231" si="109">1000/O230</f>
        <v>444.9049178377025</v>
      </c>
      <c r="P231" s="250">
        <f t="shared" ref="P231" si="110">1000/P230</f>
        <v>528.99710447310122</v>
      </c>
      <c r="Q231" s="250">
        <f t="shared" ref="Q231" si="111">1000/Q230</f>
        <v>502.31693081772892</v>
      </c>
      <c r="R231" s="250">
        <f t="shared" ref="R231" si="112">1000/R230</f>
        <v>489.86102587821375</v>
      </c>
      <c r="S231" s="250">
        <f t="shared" ref="S231" si="113">1000/S230</f>
        <v>513.65866882980424</v>
      </c>
      <c r="T231" s="250">
        <f t="shared" ref="T231" si="114">1000/T230</f>
        <v>517.11018912769362</v>
      </c>
      <c r="U231" s="250">
        <f t="shared" ref="U231" si="115">1000/U230</f>
        <v>502.31693081772892</v>
      </c>
      <c r="V231" s="250">
        <f t="shared" ref="V231" si="116">1000/V230</f>
        <v>502.31693081772892</v>
      </c>
      <c r="W231" s="250">
        <f t="shared" ref="W231" si="117">1000/W230</f>
        <v>500.42420619172776</v>
      </c>
      <c r="X231" s="250">
        <f t="shared" ref="X231" si="118">1000/X230</f>
        <v>502.31693081772892</v>
      </c>
      <c r="Y231" s="250">
        <f t="shared" ref="Y231" si="119">1000/Y230</f>
        <v>502.31693081772892</v>
      </c>
      <c r="Z231" s="250">
        <f t="shared" ref="Z231" si="120">1000/Z230</f>
        <v>502.31693081772892</v>
      </c>
      <c r="AA231" s="250">
        <f t="shared" ref="AA231" si="121">1000/AA230</f>
        <v>502.31693081772892</v>
      </c>
      <c r="AB231" s="250">
        <f t="shared" ref="AB231" si="122">1000/AB230</f>
        <v>502.31693081772892</v>
      </c>
      <c r="AC231" s="250">
        <f t="shared" ref="AC231" si="123">1000/AC230</f>
        <v>512.93706920202078</v>
      </c>
      <c r="AD231" s="250">
        <f t="shared" ref="AD231" si="124">1000/AD230</f>
        <v>502.31693081772892</v>
      </c>
    </row>
    <row r="232" spans="1:30">
      <c r="B232" s="22" t="s">
        <v>598</v>
      </c>
    </row>
    <row r="234" spans="1:30" s="201" customFormat="1">
      <c r="A234" s="548"/>
    </row>
    <row r="236" spans="1:30">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row>
    <row r="237" spans="1:30" ht="15.6">
      <c r="B237" s="143" t="s">
        <v>602</v>
      </c>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c r="AC237" s="201"/>
      <c r="AD237" s="201"/>
    </row>
    <row r="238" spans="1:30">
      <c r="B238" s="114" t="s">
        <v>588</v>
      </c>
      <c r="C238" s="114" t="s">
        <v>63</v>
      </c>
      <c r="D238" s="114" t="str">
        <f>D229</f>
        <v>IE</v>
      </c>
      <c r="E238" s="114" t="str">
        <f t="shared" ref="E238:AD238" si="125">E229</f>
        <v>IE-CW</v>
      </c>
      <c r="F238" s="114" t="str">
        <f t="shared" si="125"/>
        <v>IE-D</v>
      </c>
      <c r="G238" s="114" t="str">
        <f t="shared" si="125"/>
        <v>IE-KE</v>
      </c>
      <c r="H238" s="114" t="str">
        <f t="shared" si="125"/>
        <v>IE-KK</v>
      </c>
      <c r="I238" s="114" t="str">
        <f t="shared" si="125"/>
        <v>IE-LS</v>
      </c>
      <c r="J238" s="114" t="str">
        <f t="shared" si="125"/>
        <v>IE-LD</v>
      </c>
      <c r="K238" s="114" t="str">
        <f t="shared" si="125"/>
        <v>IE-LH</v>
      </c>
      <c r="L238" s="114" t="str">
        <f t="shared" si="125"/>
        <v>IE-MH</v>
      </c>
      <c r="M238" s="114" t="str">
        <f t="shared" si="125"/>
        <v>IE-OY</v>
      </c>
      <c r="N238" s="114" t="str">
        <f t="shared" si="125"/>
        <v>IE-WH</v>
      </c>
      <c r="O238" s="114" t="str">
        <f t="shared" si="125"/>
        <v>IE-WX</v>
      </c>
      <c r="P238" s="114" t="str">
        <f t="shared" si="125"/>
        <v>IE-WW</v>
      </c>
      <c r="Q238" s="114" t="str">
        <f t="shared" si="125"/>
        <v>IE-CE</v>
      </c>
      <c r="R238" s="114" t="str">
        <f t="shared" si="125"/>
        <v>IE-CO</v>
      </c>
      <c r="S238" s="114" t="str">
        <f t="shared" si="125"/>
        <v>IE-KY</v>
      </c>
      <c r="T238" s="114" t="str">
        <f t="shared" si="125"/>
        <v>IE-LK</v>
      </c>
      <c r="U238" s="114" t="str">
        <f t="shared" si="125"/>
        <v>IE-TA</v>
      </c>
      <c r="V238" s="114" t="str">
        <f t="shared" si="125"/>
        <v>IE-WD</v>
      </c>
      <c r="W238" s="114" t="str">
        <f t="shared" si="125"/>
        <v>IE-G</v>
      </c>
      <c r="X238" s="114" t="str">
        <f t="shared" si="125"/>
        <v>IE-LM</v>
      </c>
      <c r="Y238" s="114" t="str">
        <f t="shared" si="125"/>
        <v>IE-MO</v>
      </c>
      <c r="Z238" s="114" t="str">
        <f t="shared" si="125"/>
        <v>IE-RN</v>
      </c>
      <c r="AA238" s="114" t="str">
        <f t="shared" si="125"/>
        <v>IE-SO</v>
      </c>
      <c r="AB238" s="114" t="str">
        <f t="shared" si="125"/>
        <v>IE-CN</v>
      </c>
      <c r="AC238" s="114" t="str">
        <f t="shared" si="125"/>
        <v>IE-DL</v>
      </c>
      <c r="AD238" s="114" t="str">
        <f t="shared" si="125"/>
        <v>IE-MN</v>
      </c>
    </row>
    <row r="239" spans="1:30">
      <c r="B239" s="201" t="s">
        <v>332</v>
      </c>
      <c r="C239" s="201" t="s">
        <v>516</v>
      </c>
      <c r="D239" s="10">
        <f>SUM(E239:AD239)</f>
        <v>0</v>
      </c>
      <c r="E239" s="10">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c r="V239" s="10">
        <v>0</v>
      </c>
      <c r="W239" s="10">
        <v>0</v>
      </c>
      <c r="X239" s="10">
        <v>0</v>
      </c>
      <c r="Y239" s="10">
        <v>0</v>
      </c>
      <c r="Z239" s="10">
        <v>0</v>
      </c>
      <c r="AA239" s="10">
        <v>0</v>
      </c>
      <c r="AB239" s="10">
        <v>0</v>
      </c>
      <c r="AC239" s="10">
        <v>0</v>
      </c>
      <c r="AD239" s="10">
        <v>0</v>
      </c>
    </row>
    <row r="240" spans="1:30">
      <c r="B240" s="201" t="s">
        <v>333</v>
      </c>
      <c r="C240" s="201" t="s">
        <v>516</v>
      </c>
      <c r="D240" s="10">
        <f t="shared" ref="D240:D245" si="126">SUM(E240:AD240)</f>
        <v>5667</v>
      </c>
      <c r="E240" s="10">
        <v>72</v>
      </c>
      <c r="F240" s="10">
        <v>157</v>
      </c>
      <c r="G240" s="10">
        <v>210</v>
      </c>
      <c r="H240" s="10">
        <v>418</v>
      </c>
      <c r="I240" s="10">
        <v>87</v>
      </c>
      <c r="J240" s="10">
        <v>215</v>
      </c>
      <c r="K240" s="10">
        <v>32</v>
      </c>
      <c r="L240" s="10">
        <v>43</v>
      </c>
      <c r="M240" s="10">
        <v>43</v>
      </c>
      <c r="N240" s="10">
        <v>182</v>
      </c>
      <c r="O240" s="10">
        <v>147</v>
      </c>
      <c r="P240" s="10">
        <v>252</v>
      </c>
      <c r="Q240" s="10">
        <v>144</v>
      </c>
      <c r="R240" s="10">
        <v>806</v>
      </c>
      <c r="S240" s="10">
        <v>214</v>
      </c>
      <c r="T240" s="10">
        <v>25</v>
      </c>
      <c r="U240" s="10">
        <v>61</v>
      </c>
      <c r="V240" s="10">
        <v>160</v>
      </c>
      <c r="W240" s="10">
        <v>1421</v>
      </c>
      <c r="X240" s="10">
        <v>79</v>
      </c>
      <c r="Y240" s="10">
        <v>194</v>
      </c>
      <c r="Z240" s="10">
        <v>64</v>
      </c>
      <c r="AA240" s="10">
        <v>59</v>
      </c>
      <c r="AB240" s="10">
        <v>75</v>
      </c>
      <c r="AC240" s="10">
        <v>145</v>
      </c>
      <c r="AD240" s="10">
        <v>362</v>
      </c>
    </row>
    <row r="241" spans="2:30">
      <c r="B241" s="201" t="s">
        <v>334</v>
      </c>
      <c r="C241" s="201" t="s">
        <v>516</v>
      </c>
      <c r="D241" s="10">
        <f t="shared" si="126"/>
        <v>0</v>
      </c>
      <c r="E241" s="10">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c r="V241" s="10">
        <v>0</v>
      </c>
      <c r="W241" s="10">
        <v>0</v>
      </c>
      <c r="X241" s="10">
        <v>0</v>
      </c>
      <c r="Y241" s="10">
        <v>0</v>
      </c>
      <c r="Z241" s="10">
        <v>0</v>
      </c>
      <c r="AA241" s="10">
        <v>0</v>
      </c>
      <c r="AB241" s="10">
        <v>0</v>
      </c>
      <c r="AC241" s="10">
        <v>0</v>
      </c>
      <c r="AD241" s="10">
        <v>0</v>
      </c>
    </row>
    <row r="242" spans="2:30">
      <c r="B242" s="201" t="s">
        <v>335</v>
      </c>
      <c r="C242" s="201" t="s">
        <v>516</v>
      </c>
      <c r="D242" s="10">
        <f t="shared" si="126"/>
        <v>33</v>
      </c>
      <c r="E242" s="10">
        <v>1</v>
      </c>
      <c r="F242" s="10"/>
      <c r="G242" s="10">
        <v>3</v>
      </c>
      <c r="H242" s="10">
        <v>2</v>
      </c>
      <c r="I242" s="10">
        <v>1</v>
      </c>
      <c r="J242" s="10">
        <v>1</v>
      </c>
      <c r="K242" s="10"/>
      <c r="L242" s="10">
        <v>1</v>
      </c>
      <c r="M242" s="10"/>
      <c r="N242" s="10"/>
      <c r="O242" s="10"/>
      <c r="P242" s="10"/>
      <c r="Q242" s="10">
        <v>1</v>
      </c>
      <c r="R242" s="10">
        <v>2</v>
      </c>
      <c r="S242" s="10">
        <v>1</v>
      </c>
      <c r="T242" s="10"/>
      <c r="U242" s="10"/>
      <c r="V242" s="10"/>
      <c r="W242" s="10">
        <v>14</v>
      </c>
      <c r="X242" s="10"/>
      <c r="Y242" s="10">
        <v>1</v>
      </c>
      <c r="Z242" s="10">
        <v>1</v>
      </c>
      <c r="AA242" s="10"/>
      <c r="AB242" s="10"/>
      <c r="AC242" s="10"/>
      <c r="AD242" s="10">
        <v>4</v>
      </c>
    </row>
    <row r="243" spans="2:30">
      <c r="B243" s="201" t="s">
        <v>336</v>
      </c>
      <c r="C243" s="201" t="s">
        <v>516</v>
      </c>
      <c r="D243" s="10">
        <f t="shared" si="126"/>
        <v>1726</v>
      </c>
      <c r="E243" s="10">
        <v>18</v>
      </c>
      <c r="F243" s="10">
        <v>63</v>
      </c>
      <c r="G243" s="10">
        <v>42</v>
      </c>
      <c r="H243" s="10">
        <v>104</v>
      </c>
      <c r="I243" s="10">
        <v>19</v>
      </c>
      <c r="J243" s="10">
        <v>61</v>
      </c>
      <c r="K243" s="10">
        <v>9</v>
      </c>
      <c r="L243" s="10">
        <v>17</v>
      </c>
      <c r="M243" s="10">
        <v>3</v>
      </c>
      <c r="N243" s="10">
        <v>43</v>
      </c>
      <c r="O243" s="10">
        <v>13</v>
      </c>
      <c r="P243" s="10">
        <v>36</v>
      </c>
      <c r="Q243" s="10">
        <v>42</v>
      </c>
      <c r="R243" s="10">
        <v>212</v>
      </c>
      <c r="S243" s="10">
        <v>96</v>
      </c>
      <c r="T243" s="10">
        <v>2</v>
      </c>
      <c r="U243" s="10">
        <v>9</v>
      </c>
      <c r="V243" s="10">
        <v>45</v>
      </c>
      <c r="W243" s="10">
        <v>720</v>
      </c>
      <c r="X243" s="10">
        <v>21</v>
      </c>
      <c r="Y243" s="10">
        <v>35</v>
      </c>
      <c r="Z243" s="10">
        <v>16</v>
      </c>
      <c r="AA243" s="10">
        <v>7</v>
      </c>
      <c r="AB243" s="10">
        <v>7</v>
      </c>
      <c r="AC243" s="10">
        <v>22</v>
      </c>
      <c r="AD243" s="10">
        <v>64</v>
      </c>
    </row>
    <row r="244" spans="2:30">
      <c r="B244" s="201" t="s">
        <v>337</v>
      </c>
      <c r="C244" s="201" t="s">
        <v>516</v>
      </c>
      <c r="D244" s="10">
        <f t="shared" si="126"/>
        <v>1103</v>
      </c>
      <c r="E244" s="10">
        <v>7</v>
      </c>
      <c r="F244" s="10">
        <v>45</v>
      </c>
      <c r="G244" s="10">
        <v>26</v>
      </c>
      <c r="H244" s="10">
        <v>50</v>
      </c>
      <c r="I244" s="10">
        <v>17</v>
      </c>
      <c r="J244" s="10">
        <v>39</v>
      </c>
      <c r="K244" s="10">
        <v>0</v>
      </c>
      <c r="L244" s="10">
        <v>22</v>
      </c>
      <c r="M244" s="10">
        <v>7</v>
      </c>
      <c r="N244" s="10">
        <v>35</v>
      </c>
      <c r="O244" s="10">
        <v>17</v>
      </c>
      <c r="P244" s="10">
        <v>27</v>
      </c>
      <c r="Q244" s="10">
        <v>18</v>
      </c>
      <c r="R244" s="10">
        <v>142</v>
      </c>
      <c r="S244" s="10">
        <v>39</v>
      </c>
      <c r="T244" s="10">
        <v>6</v>
      </c>
      <c r="U244" s="10">
        <v>5</v>
      </c>
      <c r="V244" s="10">
        <v>24</v>
      </c>
      <c r="W244" s="10">
        <v>471</v>
      </c>
      <c r="X244" s="10">
        <v>7</v>
      </c>
      <c r="Y244" s="10">
        <v>17</v>
      </c>
      <c r="Z244" s="10">
        <v>4</v>
      </c>
      <c r="AA244" s="10">
        <v>9</v>
      </c>
      <c r="AB244" s="10">
        <v>9</v>
      </c>
      <c r="AC244" s="10">
        <v>18</v>
      </c>
      <c r="AD244" s="10">
        <v>42</v>
      </c>
    </row>
    <row r="245" spans="2:30">
      <c r="B245" s="201" t="s">
        <v>338</v>
      </c>
      <c r="C245" s="201" t="s">
        <v>516</v>
      </c>
      <c r="D245" s="10">
        <f t="shared" si="126"/>
        <v>0</v>
      </c>
      <c r="E245" s="138">
        <v>0</v>
      </c>
      <c r="F245" s="138">
        <v>0</v>
      </c>
      <c r="G245" s="138">
        <v>0</v>
      </c>
      <c r="H245" s="138">
        <v>0</v>
      </c>
      <c r="I245" s="138">
        <v>0</v>
      </c>
      <c r="J245" s="138">
        <v>0</v>
      </c>
      <c r="K245" s="138">
        <v>0</v>
      </c>
      <c r="L245" s="138">
        <v>0</v>
      </c>
      <c r="M245" s="138">
        <v>0</v>
      </c>
      <c r="N245" s="138">
        <v>0</v>
      </c>
      <c r="O245" s="138">
        <v>0</v>
      </c>
      <c r="P245" s="138">
        <v>0</v>
      </c>
      <c r="Q245" s="138">
        <v>0</v>
      </c>
      <c r="R245" s="138">
        <v>0</v>
      </c>
      <c r="S245" s="138">
        <v>0</v>
      </c>
      <c r="T245" s="138">
        <v>0</v>
      </c>
      <c r="U245" s="138">
        <v>0</v>
      </c>
      <c r="V245" s="138">
        <v>0</v>
      </c>
      <c r="W245" s="138">
        <v>0</v>
      </c>
      <c r="X245" s="138">
        <v>0</v>
      </c>
      <c r="Y245" s="138">
        <v>0</v>
      </c>
      <c r="Z245" s="138">
        <v>0</v>
      </c>
      <c r="AA245" s="138">
        <v>0</v>
      </c>
      <c r="AB245" s="138">
        <v>0</v>
      </c>
      <c r="AC245" s="138">
        <v>0</v>
      </c>
      <c r="AD245" s="138">
        <v>0</v>
      </c>
    </row>
    <row r="246" spans="2:30">
      <c r="B246" s="200" t="s">
        <v>16</v>
      </c>
      <c r="C246" s="200" t="s">
        <v>516</v>
      </c>
      <c r="D246" s="246">
        <f>SUM(D239:D245)</f>
        <v>8529</v>
      </c>
      <c r="E246" s="246">
        <f t="shared" ref="E246:AD246" si="127">SUM(E239:E245)</f>
        <v>98</v>
      </c>
      <c r="F246" s="246">
        <f t="shared" si="127"/>
        <v>265</v>
      </c>
      <c r="G246" s="246">
        <f t="shared" si="127"/>
        <v>281</v>
      </c>
      <c r="H246" s="246">
        <f t="shared" si="127"/>
        <v>574</v>
      </c>
      <c r="I246" s="246">
        <f t="shared" si="127"/>
        <v>124</v>
      </c>
      <c r="J246" s="246">
        <f t="shared" si="127"/>
        <v>316</v>
      </c>
      <c r="K246" s="246">
        <f t="shared" si="127"/>
        <v>41</v>
      </c>
      <c r="L246" s="246">
        <f t="shared" si="127"/>
        <v>83</v>
      </c>
      <c r="M246" s="246">
        <f t="shared" si="127"/>
        <v>53</v>
      </c>
      <c r="N246" s="246">
        <f t="shared" si="127"/>
        <v>260</v>
      </c>
      <c r="O246" s="246">
        <f t="shared" si="127"/>
        <v>177</v>
      </c>
      <c r="P246" s="246">
        <f t="shared" si="127"/>
        <v>315</v>
      </c>
      <c r="Q246" s="246">
        <f t="shared" si="127"/>
        <v>205</v>
      </c>
      <c r="R246" s="246">
        <f t="shared" si="127"/>
        <v>1162</v>
      </c>
      <c r="S246" s="246">
        <f t="shared" si="127"/>
        <v>350</v>
      </c>
      <c r="T246" s="246">
        <f t="shared" si="127"/>
        <v>33</v>
      </c>
      <c r="U246" s="246">
        <f t="shared" si="127"/>
        <v>75</v>
      </c>
      <c r="V246" s="246">
        <f t="shared" si="127"/>
        <v>229</v>
      </c>
      <c r="W246" s="246">
        <f t="shared" si="127"/>
        <v>2626</v>
      </c>
      <c r="X246" s="246">
        <f t="shared" si="127"/>
        <v>107</v>
      </c>
      <c r="Y246" s="246">
        <f t="shared" si="127"/>
        <v>247</v>
      </c>
      <c r="Z246" s="246">
        <f t="shared" si="127"/>
        <v>85</v>
      </c>
      <c r="AA246" s="246">
        <f t="shared" si="127"/>
        <v>75</v>
      </c>
      <c r="AB246" s="246">
        <f t="shared" si="127"/>
        <v>91</v>
      </c>
      <c r="AC246" s="246">
        <f t="shared" si="127"/>
        <v>185</v>
      </c>
      <c r="AD246" s="246">
        <f t="shared" si="127"/>
        <v>472</v>
      </c>
    </row>
    <row r="247" spans="2:30">
      <c r="B247" s="201" t="s">
        <v>599</v>
      </c>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c r="AC247" s="201"/>
      <c r="AD247" s="201"/>
    </row>
    <row r="251" spans="2:30" ht="15.6">
      <c r="B251" s="167" t="s">
        <v>600</v>
      </c>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c r="AC251" s="201"/>
      <c r="AD251" s="201"/>
    </row>
    <row r="252" spans="2:30">
      <c r="B252" s="114" t="s">
        <v>588</v>
      </c>
      <c r="C252" s="114" t="s">
        <v>63</v>
      </c>
      <c r="D252" s="114" t="str">
        <f>D238</f>
        <v>IE</v>
      </c>
      <c r="E252" s="114" t="str">
        <f t="shared" ref="E252:AD252" si="128">E238</f>
        <v>IE-CW</v>
      </c>
      <c r="F252" s="114" t="str">
        <f t="shared" si="128"/>
        <v>IE-D</v>
      </c>
      <c r="G252" s="114" t="str">
        <f t="shared" si="128"/>
        <v>IE-KE</v>
      </c>
      <c r="H252" s="114" t="str">
        <f t="shared" si="128"/>
        <v>IE-KK</v>
      </c>
      <c r="I252" s="114" t="str">
        <f t="shared" si="128"/>
        <v>IE-LS</v>
      </c>
      <c r="J252" s="114" t="str">
        <f t="shared" si="128"/>
        <v>IE-LD</v>
      </c>
      <c r="K252" s="114" t="str">
        <f t="shared" si="128"/>
        <v>IE-LH</v>
      </c>
      <c r="L252" s="114" t="str">
        <f t="shared" si="128"/>
        <v>IE-MH</v>
      </c>
      <c r="M252" s="114" t="str">
        <f t="shared" si="128"/>
        <v>IE-OY</v>
      </c>
      <c r="N252" s="114" t="str">
        <f t="shared" si="128"/>
        <v>IE-WH</v>
      </c>
      <c r="O252" s="114" t="str">
        <f t="shared" si="128"/>
        <v>IE-WX</v>
      </c>
      <c r="P252" s="114" t="str">
        <f t="shared" si="128"/>
        <v>IE-WW</v>
      </c>
      <c r="Q252" s="114" t="str">
        <f t="shared" si="128"/>
        <v>IE-CE</v>
      </c>
      <c r="R252" s="114" t="str">
        <f t="shared" si="128"/>
        <v>IE-CO</v>
      </c>
      <c r="S252" s="114" t="str">
        <f t="shared" si="128"/>
        <v>IE-KY</v>
      </c>
      <c r="T252" s="114" t="str">
        <f t="shared" si="128"/>
        <v>IE-LK</v>
      </c>
      <c r="U252" s="114" t="str">
        <f t="shared" si="128"/>
        <v>IE-TA</v>
      </c>
      <c r="V252" s="114" t="str">
        <f t="shared" si="128"/>
        <v>IE-WD</v>
      </c>
      <c r="W252" s="114" t="str">
        <f t="shared" si="128"/>
        <v>IE-G</v>
      </c>
      <c r="X252" s="114" t="str">
        <f t="shared" si="128"/>
        <v>IE-LM</v>
      </c>
      <c r="Y252" s="114" t="str">
        <f t="shared" si="128"/>
        <v>IE-MO</v>
      </c>
      <c r="Z252" s="114" t="str">
        <f t="shared" si="128"/>
        <v>IE-RN</v>
      </c>
      <c r="AA252" s="114" t="str">
        <f t="shared" si="128"/>
        <v>IE-SO</v>
      </c>
      <c r="AB252" s="114" t="str">
        <f t="shared" si="128"/>
        <v>IE-CN</v>
      </c>
      <c r="AC252" s="114" t="str">
        <f t="shared" si="128"/>
        <v>IE-DL</v>
      </c>
      <c r="AD252" s="114" t="str">
        <f t="shared" si="128"/>
        <v>IE-MN</v>
      </c>
    </row>
    <row r="253" spans="2:30">
      <c r="B253" s="201" t="s">
        <v>332</v>
      </c>
      <c r="C253" s="249" t="s">
        <v>592</v>
      </c>
      <c r="D253" s="35">
        <f>D239/D$246</f>
        <v>0</v>
      </c>
      <c r="E253" s="35">
        <f t="shared" ref="E253:AD259" si="129">E239/E$246</f>
        <v>0</v>
      </c>
      <c r="F253" s="35">
        <f>F239/F$246</f>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c r="AD253" s="35">
        <f t="shared" si="129"/>
        <v>0</v>
      </c>
    </row>
    <row r="254" spans="2:30">
      <c r="B254" s="201" t="s">
        <v>333</v>
      </c>
      <c r="C254" s="2" t="s">
        <v>592</v>
      </c>
      <c r="D254" s="35">
        <f t="shared" ref="D254:S258" si="130">D240/D$246</f>
        <v>0.6644389729159339</v>
      </c>
      <c r="E254" s="35">
        <f t="shared" si="130"/>
        <v>0.73469387755102045</v>
      </c>
      <c r="F254" s="35">
        <f t="shared" si="130"/>
        <v>0.59245283018867922</v>
      </c>
      <c r="G254" s="35">
        <f t="shared" si="130"/>
        <v>0.74733096085409256</v>
      </c>
      <c r="H254" s="35">
        <f t="shared" si="130"/>
        <v>0.72822299651567945</v>
      </c>
      <c r="I254" s="35">
        <f t="shared" si="130"/>
        <v>0.70161290322580649</v>
      </c>
      <c r="J254" s="35">
        <f t="shared" si="130"/>
        <v>0.680379746835443</v>
      </c>
      <c r="K254" s="35">
        <f t="shared" si="130"/>
        <v>0.78048780487804881</v>
      </c>
      <c r="L254" s="35">
        <f t="shared" si="130"/>
        <v>0.51807228915662651</v>
      </c>
      <c r="M254" s="35">
        <f t="shared" si="130"/>
        <v>0.81132075471698117</v>
      </c>
      <c r="N254" s="35">
        <f t="shared" si="130"/>
        <v>0.7</v>
      </c>
      <c r="O254" s="35">
        <f t="shared" si="130"/>
        <v>0.83050847457627119</v>
      </c>
      <c r="P254" s="35">
        <f t="shared" si="130"/>
        <v>0.8</v>
      </c>
      <c r="Q254" s="35">
        <f t="shared" si="130"/>
        <v>0.70243902439024386</v>
      </c>
      <c r="R254" s="35">
        <f t="shared" si="130"/>
        <v>0.69363166953528399</v>
      </c>
      <c r="S254" s="35">
        <f t="shared" si="130"/>
        <v>0.61142857142857143</v>
      </c>
      <c r="T254" s="35">
        <f t="shared" si="129"/>
        <v>0.75757575757575757</v>
      </c>
      <c r="U254" s="35">
        <f t="shared" si="129"/>
        <v>0.81333333333333335</v>
      </c>
      <c r="V254" s="35">
        <f t="shared" si="129"/>
        <v>0.69868995633187769</v>
      </c>
      <c r="W254" s="35">
        <f t="shared" si="129"/>
        <v>0.5411271896420411</v>
      </c>
      <c r="X254" s="35">
        <f t="shared" si="129"/>
        <v>0.73831775700934577</v>
      </c>
      <c r="Y254" s="35">
        <f t="shared" si="129"/>
        <v>0.78542510121457487</v>
      </c>
      <c r="Z254" s="35">
        <f t="shared" si="129"/>
        <v>0.75294117647058822</v>
      </c>
      <c r="AA254" s="35">
        <f t="shared" si="129"/>
        <v>0.78666666666666663</v>
      </c>
      <c r="AB254" s="35">
        <f t="shared" si="129"/>
        <v>0.82417582417582413</v>
      </c>
      <c r="AC254" s="35">
        <f t="shared" si="129"/>
        <v>0.78378378378378377</v>
      </c>
      <c r="AD254" s="35">
        <f t="shared" si="129"/>
        <v>0.76694915254237284</v>
      </c>
    </row>
    <row r="255" spans="2:30">
      <c r="B255" s="201" t="s">
        <v>334</v>
      </c>
      <c r="C255" s="2" t="s">
        <v>592</v>
      </c>
      <c r="D255" s="35">
        <f t="shared" si="130"/>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c r="AD255" s="35">
        <f t="shared" si="129"/>
        <v>0</v>
      </c>
    </row>
    <row r="256" spans="2:30">
      <c r="B256" s="201" t="s">
        <v>335</v>
      </c>
      <c r="C256" s="2" t="s">
        <v>592</v>
      </c>
      <c r="D256" s="35">
        <f t="shared" si="130"/>
        <v>3.8691523039043265E-3</v>
      </c>
      <c r="E256" s="35">
        <f t="shared" si="129"/>
        <v>1.020408163265306E-2</v>
      </c>
      <c r="F256" s="35">
        <f t="shared" si="129"/>
        <v>0</v>
      </c>
      <c r="G256" s="35">
        <f t="shared" si="129"/>
        <v>1.0676156583629894E-2</v>
      </c>
      <c r="H256" s="35">
        <f t="shared" si="129"/>
        <v>3.4843205574912892E-3</v>
      </c>
      <c r="I256" s="35">
        <f t="shared" si="129"/>
        <v>8.0645161290322578E-3</v>
      </c>
      <c r="J256" s="35">
        <f t="shared" si="129"/>
        <v>3.1645569620253164E-3</v>
      </c>
      <c r="K256" s="35">
        <f t="shared" si="129"/>
        <v>0</v>
      </c>
      <c r="L256" s="35">
        <f t="shared" si="129"/>
        <v>1.2048192771084338E-2</v>
      </c>
      <c r="M256" s="35">
        <f t="shared" si="129"/>
        <v>0</v>
      </c>
      <c r="N256" s="35">
        <f t="shared" si="129"/>
        <v>0</v>
      </c>
      <c r="O256" s="35">
        <f t="shared" si="129"/>
        <v>0</v>
      </c>
      <c r="P256" s="35">
        <f t="shared" si="129"/>
        <v>0</v>
      </c>
      <c r="Q256" s="35">
        <f t="shared" si="129"/>
        <v>4.8780487804878049E-3</v>
      </c>
      <c r="R256" s="35">
        <f t="shared" si="129"/>
        <v>1.7211703958691911E-3</v>
      </c>
      <c r="S256" s="35">
        <f t="shared" si="129"/>
        <v>2.8571428571428571E-3</v>
      </c>
      <c r="T256" s="35">
        <f t="shared" si="129"/>
        <v>0</v>
      </c>
      <c r="U256" s="35">
        <f t="shared" si="129"/>
        <v>0</v>
      </c>
      <c r="V256" s="35">
        <f t="shared" si="129"/>
        <v>0</v>
      </c>
      <c r="W256" s="35">
        <f t="shared" si="129"/>
        <v>5.3313023610053311E-3</v>
      </c>
      <c r="X256" s="35">
        <f t="shared" si="129"/>
        <v>0</v>
      </c>
      <c r="Y256" s="35">
        <f t="shared" si="129"/>
        <v>4.048582995951417E-3</v>
      </c>
      <c r="Z256" s="35">
        <f t="shared" si="129"/>
        <v>1.1764705882352941E-2</v>
      </c>
      <c r="AA256" s="35">
        <f t="shared" si="129"/>
        <v>0</v>
      </c>
      <c r="AB256" s="35">
        <f t="shared" si="129"/>
        <v>0</v>
      </c>
      <c r="AC256" s="35">
        <f t="shared" si="129"/>
        <v>0</v>
      </c>
      <c r="AD256" s="35">
        <f t="shared" si="129"/>
        <v>8.4745762711864406E-3</v>
      </c>
    </row>
    <row r="257" spans="2:30">
      <c r="B257" s="201" t="s">
        <v>336</v>
      </c>
      <c r="C257" s="2" t="s">
        <v>592</v>
      </c>
      <c r="D257" s="35">
        <f t="shared" si="130"/>
        <v>0.20236839019814751</v>
      </c>
      <c r="E257" s="35">
        <f t="shared" si="129"/>
        <v>0.18367346938775511</v>
      </c>
      <c r="F257" s="35">
        <f t="shared" si="129"/>
        <v>0.23773584905660378</v>
      </c>
      <c r="G257" s="35">
        <f t="shared" si="129"/>
        <v>0.1494661921708185</v>
      </c>
      <c r="H257" s="35">
        <f t="shared" si="129"/>
        <v>0.18118466898954705</v>
      </c>
      <c r="I257" s="35">
        <f t="shared" si="129"/>
        <v>0.15322580645161291</v>
      </c>
      <c r="J257" s="35">
        <f t="shared" si="129"/>
        <v>0.19303797468354431</v>
      </c>
      <c r="K257" s="35">
        <f t="shared" si="129"/>
        <v>0.21951219512195122</v>
      </c>
      <c r="L257" s="35">
        <f t="shared" si="129"/>
        <v>0.20481927710843373</v>
      </c>
      <c r="M257" s="35">
        <f t="shared" si="129"/>
        <v>5.6603773584905662E-2</v>
      </c>
      <c r="N257" s="35">
        <f t="shared" si="129"/>
        <v>0.16538461538461538</v>
      </c>
      <c r="O257" s="35">
        <f t="shared" si="129"/>
        <v>7.3446327683615822E-2</v>
      </c>
      <c r="P257" s="35">
        <f t="shared" si="129"/>
        <v>0.11428571428571428</v>
      </c>
      <c r="Q257" s="35">
        <f t="shared" si="129"/>
        <v>0.20487804878048779</v>
      </c>
      <c r="R257" s="35">
        <f t="shared" si="129"/>
        <v>0.18244406196213425</v>
      </c>
      <c r="S257" s="35">
        <f t="shared" si="129"/>
        <v>0.2742857142857143</v>
      </c>
      <c r="T257" s="35">
        <f t="shared" si="129"/>
        <v>6.0606060606060608E-2</v>
      </c>
      <c r="U257" s="35">
        <f t="shared" si="129"/>
        <v>0.12</v>
      </c>
      <c r="V257" s="35">
        <f t="shared" si="129"/>
        <v>0.1965065502183406</v>
      </c>
      <c r="W257" s="35">
        <f t="shared" si="129"/>
        <v>0.27418126428027417</v>
      </c>
      <c r="X257" s="35">
        <f t="shared" si="129"/>
        <v>0.19626168224299065</v>
      </c>
      <c r="Y257" s="35">
        <f t="shared" si="129"/>
        <v>0.1417004048582996</v>
      </c>
      <c r="Z257" s="35">
        <f t="shared" si="129"/>
        <v>0.18823529411764706</v>
      </c>
      <c r="AA257" s="35">
        <f t="shared" si="129"/>
        <v>9.3333333333333338E-2</v>
      </c>
      <c r="AB257" s="35">
        <f t="shared" si="129"/>
        <v>7.6923076923076927E-2</v>
      </c>
      <c r="AC257" s="35">
        <f t="shared" si="129"/>
        <v>0.11891891891891893</v>
      </c>
      <c r="AD257" s="35">
        <f t="shared" si="129"/>
        <v>0.13559322033898305</v>
      </c>
    </row>
    <row r="258" spans="2:30">
      <c r="B258" s="201" t="s">
        <v>337</v>
      </c>
      <c r="C258" s="2" t="s">
        <v>592</v>
      </c>
      <c r="D258" s="35">
        <f t="shared" si="130"/>
        <v>0.12932348458201431</v>
      </c>
      <c r="E258" s="35">
        <f t="shared" si="129"/>
        <v>7.1428571428571425E-2</v>
      </c>
      <c r="F258" s="35">
        <f t="shared" si="129"/>
        <v>0.16981132075471697</v>
      </c>
      <c r="G258" s="35">
        <f t="shared" si="129"/>
        <v>9.2526690391459068E-2</v>
      </c>
      <c r="H258" s="35">
        <f t="shared" si="129"/>
        <v>8.7108013937282236E-2</v>
      </c>
      <c r="I258" s="35">
        <f t="shared" si="129"/>
        <v>0.13709677419354838</v>
      </c>
      <c r="J258" s="35">
        <f t="shared" si="129"/>
        <v>0.12341772151898735</v>
      </c>
      <c r="K258" s="35">
        <f t="shared" si="129"/>
        <v>0</v>
      </c>
      <c r="L258" s="35">
        <f t="shared" si="129"/>
        <v>0.26506024096385544</v>
      </c>
      <c r="M258" s="35">
        <f t="shared" si="129"/>
        <v>0.13207547169811321</v>
      </c>
      <c r="N258" s="35">
        <f t="shared" si="129"/>
        <v>0.13461538461538461</v>
      </c>
      <c r="O258" s="35">
        <f t="shared" si="129"/>
        <v>9.6045197740112997E-2</v>
      </c>
      <c r="P258" s="35">
        <f t="shared" si="129"/>
        <v>8.5714285714285715E-2</v>
      </c>
      <c r="Q258" s="35">
        <f t="shared" si="129"/>
        <v>8.7804878048780483E-2</v>
      </c>
      <c r="R258" s="35">
        <f t="shared" si="129"/>
        <v>0.12220309810671257</v>
      </c>
      <c r="S258" s="35">
        <f t="shared" si="129"/>
        <v>0.11142857142857143</v>
      </c>
      <c r="T258" s="35">
        <f t="shared" si="129"/>
        <v>0.18181818181818182</v>
      </c>
      <c r="U258" s="35">
        <f t="shared" si="129"/>
        <v>6.6666666666666666E-2</v>
      </c>
      <c r="V258" s="35">
        <f t="shared" si="129"/>
        <v>0.10480349344978165</v>
      </c>
      <c r="W258" s="35">
        <f t="shared" si="129"/>
        <v>0.17936024371667936</v>
      </c>
      <c r="X258" s="35">
        <f t="shared" si="129"/>
        <v>6.5420560747663545E-2</v>
      </c>
      <c r="Y258" s="35">
        <f t="shared" si="129"/>
        <v>6.8825910931174086E-2</v>
      </c>
      <c r="Z258" s="35">
        <f t="shared" si="129"/>
        <v>4.7058823529411764E-2</v>
      </c>
      <c r="AA258" s="35">
        <f t="shared" si="129"/>
        <v>0.12</v>
      </c>
      <c r="AB258" s="35">
        <f t="shared" si="129"/>
        <v>9.8901098901098897E-2</v>
      </c>
      <c r="AC258" s="35">
        <f t="shared" si="129"/>
        <v>9.7297297297297303E-2</v>
      </c>
      <c r="AD258" s="35">
        <f t="shared" si="129"/>
        <v>8.8983050847457626E-2</v>
      </c>
    </row>
    <row r="259" spans="2:30">
      <c r="B259" s="201" t="s">
        <v>338</v>
      </c>
      <c r="C259" s="2" t="s">
        <v>592</v>
      </c>
      <c r="D259" s="35">
        <f>D245/D$246</f>
        <v>0</v>
      </c>
      <c r="E259" s="35">
        <f>E245/E246</f>
        <v>0</v>
      </c>
      <c r="F259" s="35">
        <f>F245/F$246</f>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c r="AD259" s="35">
        <f t="shared" si="129"/>
        <v>0</v>
      </c>
    </row>
    <row r="260" spans="2:30">
      <c r="B260" s="200" t="s">
        <v>16</v>
      </c>
      <c r="C260" s="200" t="s">
        <v>592</v>
      </c>
      <c r="D260" s="145">
        <f t="shared" ref="D260:AD260" si="131">SUM(D253:D259)</f>
        <v>1</v>
      </c>
      <c r="E260" s="145">
        <f t="shared" si="131"/>
        <v>1</v>
      </c>
      <c r="F260" s="145">
        <f t="shared" si="131"/>
        <v>1</v>
      </c>
      <c r="G260" s="145">
        <f t="shared" si="131"/>
        <v>1</v>
      </c>
      <c r="H260" s="145">
        <f t="shared" si="131"/>
        <v>1</v>
      </c>
      <c r="I260" s="145">
        <f t="shared" si="131"/>
        <v>1</v>
      </c>
      <c r="J260" s="145">
        <f t="shared" si="131"/>
        <v>1</v>
      </c>
      <c r="K260" s="145">
        <f t="shared" si="131"/>
        <v>1</v>
      </c>
      <c r="L260" s="145">
        <f t="shared" si="131"/>
        <v>1</v>
      </c>
      <c r="M260" s="145">
        <f t="shared" si="131"/>
        <v>1</v>
      </c>
      <c r="N260" s="145">
        <f t="shared" si="131"/>
        <v>0.99999999999999989</v>
      </c>
      <c r="O260" s="145">
        <f t="shared" si="131"/>
        <v>1</v>
      </c>
      <c r="P260" s="145">
        <f t="shared" si="131"/>
        <v>1</v>
      </c>
      <c r="Q260" s="145">
        <f t="shared" si="131"/>
        <v>0.99999999999999989</v>
      </c>
      <c r="R260" s="145">
        <f t="shared" si="131"/>
        <v>1</v>
      </c>
      <c r="S260" s="145">
        <f t="shared" si="131"/>
        <v>1</v>
      </c>
      <c r="T260" s="145">
        <f t="shared" si="131"/>
        <v>1</v>
      </c>
      <c r="U260" s="145">
        <f t="shared" si="131"/>
        <v>1</v>
      </c>
      <c r="V260" s="145">
        <f t="shared" si="131"/>
        <v>1</v>
      </c>
      <c r="W260" s="145">
        <f t="shared" si="131"/>
        <v>0.99999999999999989</v>
      </c>
      <c r="X260" s="145">
        <f t="shared" si="131"/>
        <v>1</v>
      </c>
      <c r="Y260" s="145">
        <f t="shared" si="131"/>
        <v>1</v>
      </c>
      <c r="Z260" s="145">
        <f t="shared" si="131"/>
        <v>1</v>
      </c>
      <c r="AA260" s="145">
        <f t="shared" si="131"/>
        <v>1</v>
      </c>
      <c r="AB260" s="145">
        <f t="shared" si="131"/>
        <v>0.99999999999999989</v>
      </c>
      <c r="AC260" s="145">
        <f t="shared" si="131"/>
        <v>1</v>
      </c>
      <c r="AD260" s="145">
        <f t="shared" si="131"/>
        <v>0.99999999999999989</v>
      </c>
    </row>
    <row r="264" spans="2:30" ht="15.6">
      <c r="B264" s="167" t="s">
        <v>601</v>
      </c>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c r="AC264" s="201"/>
      <c r="AD264" s="201"/>
    </row>
    <row r="265" spans="2:30">
      <c r="B265" s="114" t="s">
        <v>588</v>
      </c>
      <c r="C265" s="114" t="s">
        <v>63</v>
      </c>
      <c r="D265" s="114" t="str">
        <f>D252</f>
        <v>IE</v>
      </c>
      <c r="E265" s="114" t="str">
        <f t="shared" ref="E265:AD265" si="132">E252</f>
        <v>IE-CW</v>
      </c>
      <c r="F265" s="114" t="str">
        <f t="shared" si="132"/>
        <v>IE-D</v>
      </c>
      <c r="G265" s="114" t="str">
        <f t="shared" si="132"/>
        <v>IE-KE</v>
      </c>
      <c r="H265" s="114" t="str">
        <f t="shared" si="132"/>
        <v>IE-KK</v>
      </c>
      <c r="I265" s="114" t="str">
        <f t="shared" si="132"/>
        <v>IE-LS</v>
      </c>
      <c r="J265" s="114" t="str">
        <f t="shared" si="132"/>
        <v>IE-LD</v>
      </c>
      <c r="K265" s="114" t="str">
        <f t="shared" si="132"/>
        <v>IE-LH</v>
      </c>
      <c r="L265" s="114" t="str">
        <f t="shared" si="132"/>
        <v>IE-MH</v>
      </c>
      <c r="M265" s="114" t="str">
        <f t="shared" si="132"/>
        <v>IE-OY</v>
      </c>
      <c r="N265" s="114" t="str">
        <f t="shared" si="132"/>
        <v>IE-WH</v>
      </c>
      <c r="O265" s="114" t="str">
        <f t="shared" si="132"/>
        <v>IE-WX</v>
      </c>
      <c r="P265" s="114" t="str">
        <f t="shared" si="132"/>
        <v>IE-WW</v>
      </c>
      <c r="Q265" s="114" t="str">
        <f t="shared" si="132"/>
        <v>IE-CE</v>
      </c>
      <c r="R265" s="114" t="str">
        <f t="shared" si="132"/>
        <v>IE-CO</v>
      </c>
      <c r="S265" s="114" t="str">
        <f t="shared" si="132"/>
        <v>IE-KY</v>
      </c>
      <c r="T265" s="114" t="str">
        <f t="shared" si="132"/>
        <v>IE-LK</v>
      </c>
      <c r="U265" s="114" t="str">
        <f t="shared" si="132"/>
        <v>IE-TA</v>
      </c>
      <c r="V265" s="114" t="str">
        <f t="shared" si="132"/>
        <v>IE-WD</v>
      </c>
      <c r="W265" s="114" t="str">
        <f t="shared" si="132"/>
        <v>IE-G</v>
      </c>
      <c r="X265" s="114" t="str">
        <f t="shared" si="132"/>
        <v>IE-LM</v>
      </c>
      <c r="Y265" s="114" t="str">
        <f t="shared" si="132"/>
        <v>IE-MO</v>
      </c>
      <c r="Z265" s="114" t="str">
        <f t="shared" si="132"/>
        <v>IE-RN</v>
      </c>
      <c r="AA265" s="114" t="str">
        <f t="shared" si="132"/>
        <v>IE-SO</v>
      </c>
      <c r="AB265" s="114" t="str">
        <f t="shared" si="132"/>
        <v>IE-CN</v>
      </c>
      <c r="AC265" s="114" t="str">
        <f t="shared" si="132"/>
        <v>IE-DL</v>
      </c>
      <c r="AD265" s="114" t="str">
        <f t="shared" si="132"/>
        <v>IE-MN</v>
      </c>
    </row>
    <row r="266" spans="2:30">
      <c r="B266" s="201" t="s">
        <v>332</v>
      </c>
      <c r="C266" s="201" t="s">
        <v>593</v>
      </c>
      <c r="D266" s="247">
        <v>1.5410369892896236</v>
      </c>
      <c r="E266" s="247">
        <v>1.5410369892896236</v>
      </c>
      <c r="F266" s="247">
        <v>1.5410369892896236</v>
      </c>
      <c r="G266" s="247">
        <v>1.5410369892896236</v>
      </c>
      <c r="H266" s="247">
        <v>1.5410369892896236</v>
      </c>
      <c r="I266" s="247">
        <v>1.5410369892896236</v>
      </c>
      <c r="J266" s="247">
        <v>1.5410369892896236</v>
      </c>
      <c r="K266" s="247">
        <v>1.5410369892896236</v>
      </c>
      <c r="L266" s="247">
        <v>1.5410369892896236</v>
      </c>
      <c r="M266" s="247">
        <v>1.5410369892896236</v>
      </c>
      <c r="N266" s="247">
        <v>1.5410369892896236</v>
      </c>
      <c r="O266" s="247">
        <v>1.5410369892896236</v>
      </c>
      <c r="P266" s="247">
        <v>1.5410369892896236</v>
      </c>
      <c r="Q266" s="247">
        <v>1.5410369892896236</v>
      </c>
      <c r="R266" s="247">
        <v>1.5410369892896236</v>
      </c>
      <c r="S266" s="247">
        <v>1.5410369892896236</v>
      </c>
      <c r="T266" s="247">
        <v>1.5410369892896236</v>
      </c>
      <c r="U266" s="247">
        <v>1.5410369892896236</v>
      </c>
      <c r="V266" s="247">
        <v>1.5410369892896236</v>
      </c>
      <c r="W266" s="247">
        <v>1.5410369892896236</v>
      </c>
      <c r="X266" s="247">
        <v>1.5410369892896236</v>
      </c>
      <c r="Y266" s="247">
        <v>1.5410369892896236</v>
      </c>
      <c r="Z266" s="247">
        <v>1.5410369892896236</v>
      </c>
      <c r="AA266" s="247">
        <v>1.5410369892896236</v>
      </c>
      <c r="AB266" s="247">
        <v>1.5410369892896236</v>
      </c>
      <c r="AC266" s="247">
        <v>1.5410369892896236</v>
      </c>
      <c r="AD266" s="247">
        <v>1.5410369892896236</v>
      </c>
    </row>
    <row r="267" spans="2:30">
      <c r="B267" s="201" t="s">
        <v>333</v>
      </c>
      <c r="C267" s="201" t="s">
        <v>593</v>
      </c>
      <c r="D267" s="247">
        <v>1.5689674081337737</v>
      </c>
      <c r="E267" s="247">
        <v>1.5689674081337737</v>
      </c>
      <c r="F267" s="247">
        <v>1.5689674081337737</v>
      </c>
      <c r="G267" s="247">
        <v>1.5689674081337737</v>
      </c>
      <c r="H267" s="247">
        <v>1.5689674081337737</v>
      </c>
      <c r="I267" s="247">
        <v>1.5689674081337737</v>
      </c>
      <c r="J267" s="247">
        <v>1.5689674081337737</v>
      </c>
      <c r="K267" s="247">
        <v>1.5689674081337737</v>
      </c>
      <c r="L267" s="247">
        <v>1.5689674081337737</v>
      </c>
      <c r="M267" s="247">
        <v>1.5689674081337737</v>
      </c>
      <c r="N267" s="247">
        <v>1.5689674081337737</v>
      </c>
      <c r="O267" s="247">
        <v>1.5689674081337737</v>
      </c>
      <c r="P267" s="247">
        <v>1.5689674081337737</v>
      </c>
      <c r="Q267" s="247">
        <v>1.5689674081337737</v>
      </c>
      <c r="R267" s="247">
        <v>1.5689674081337737</v>
      </c>
      <c r="S267" s="247">
        <v>1.5689674081337737</v>
      </c>
      <c r="T267" s="247">
        <v>1.5689674081337737</v>
      </c>
      <c r="U267" s="247">
        <v>1.5689674081337737</v>
      </c>
      <c r="V267" s="247">
        <v>1.5689674081337737</v>
      </c>
      <c r="W267" s="247">
        <v>1.5689674081337737</v>
      </c>
      <c r="X267" s="247">
        <v>1.5689674081337737</v>
      </c>
      <c r="Y267" s="247">
        <v>1.5689674081337737</v>
      </c>
      <c r="Z267" s="247">
        <v>1.5689674081337737</v>
      </c>
      <c r="AA267" s="247">
        <v>1.5689674081337737</v>
      </c>
      <c r="AB267" s="247">
        <v>1.5689674081337737</v>
      </c>
      <c r="AC267" s="247">
        <v>1.5689674081337737</v>
      </c>
      <c r="AD267" s="247">
        <v>1.5689674081337737</v>
      </c>
    </row>
    <row r="268" spans="2:30">
      <c r="B268" s="201" t="s">
        <v>334</v>
      </c>
      <c r="C268" s="201" t="s">
        <v>593</v>
      </c>
      <c r="D268" s="247">
        <v>1.7415357309829498</v>
      </c>
      <c r="E268" s="247">
        <v>1.7415357309829498</v>
      </c>
      <c r="F268" s="247">
        <v>1.7415357309829498</v>
      </c>
      <c r="G268" s="247">
        <v>1.7415357309829498</v>
      </c>
      <c r="H268" s="247">
        <v>1.7415357309829498</v>
      </c>
      <c r="I268" s="247">
        <v>1.7415357309829498</v>
      </c>
      <c r="J268" s="247">
        <v>1.7415357309829498</v>
      </c>
      <c r="K268" s="247">
        <v>1.7415357309829498</v>
      </c>
      <c r="L268" s="247">
        <v>1.7415357309829498</v>
      </c>
      <c r="M268" s="247">
        <v>1.7415357309829498</v>
      </c>
      <c r="N268" s="247">
        <v>1.7415357309829498</v>
      </c>
      <c r="O268" s="247">
        <v>1.7415357309829498</v>
      </c>
      <c r="P268" s="247">
        <v>1.7415357309829498</v>
      </c>
      <c r="Q268" s="247">
        <v>1.7415357309829498</v>
      </c>
      <c r="R268" s="247">
        <v>1.7415357309829498</v>
      </c>
      <c r="S268" s="247">
        <v>1.7415357309829498</v>
      </c>
      <c r="T268" s="247">
        <v>1.7415357309829498</v>
      </c>
      <c r="U268" s="247">
        <v>1.7415357309829498</v>
      </c>
      <c r="V268" s="247">
        <v>1.7415357309829498</v>
      </c>
      <c r="W268" s="247">
        <v>1.7415357309829498</v>
      </c>
      <c r="X268" s="247">
        <v>1.7415357309829498</v>
      </c>
      <c r="Y268" s="247">
        <v>1.7415357309829498</v>
      </c>
      <c r="Z268" s="247">
        <v>1.7415357309829498</v>
      </c>
      <c r="AA268" s="247">
        <v>1.7415357309829498</v>
      </c>
      <c r="AB268" s="247">
        <v>1.7415357309829498</v>
      </c>
      <c r="AC268" s="247">
        <v>1.7415357309829498</v>
      </c>
      <c r="AD268" s="247">
        <v>1.7415357309829498</v>
      </c>
    </row>
    <row r="269" spans="2:30">
      <c r="B269" s="201" t="s">
        <v>335</v>
      </c>
      <c r="C269" s="201" t="s">
        <v>593</v>
      </c>
      <c r="D269" s="247">
        <v>1.7596865383612372</v>
      </c>
      <c r="E269" s="247">
        <v>1.7596865383612372</v>
      </c>
      <c r="F269" s="247">
        <v>1.7596865383612372</v>
      </c>
      <c r="G269" s="247">
        <v>1.7596865383612372</v>
      </c>
      <c r="H269" s="247">
        <v>1.7596865383612372</v>
      </c>
      <c r="I269" s="247">
        <v>1.7596865383612372</v>
      </c>
      <c r="J269" s="247">
        <v>1.7596865383612372</v>
      </c>
      <c r="K269" s="247">
        <v>1.7596865383612372</v>
      </c>
      <c r="L269" s="247">
        <v>1.7596865383612372</v>
      </c>
      <c r="M269" s="247">
        <v>1.7596865383612372</v>
      </c>
      <c r="N269" s="247">
        <v>1.7596865383612372</v>
      </c>
      <c r="O269" s="247">
        <v>1.7596865383612372</v>
      </c>
      <c r="P269" s="247">
        <v>1.7596865383612372</v>
      </c>
      <c r="Q269" s="247">
        <v>1.7596865383612372</v>
      </c>
      <c r="R269" s="247">
        <v>1.7596865383612372</v>
      </c>
      <c r="S269" s="247">
        <v>1.7596865383612372</v>
      </c>
      <c r="T269" s="247">
        <v>1.7596865383612372</v>
      </c>
      <c r="U269" s="247">
        <v>1.7596865383612372</v>
      </c>
      <c r="V269" s="247">
        <v>1.7596865383612372</v>
      </c>
      <c r="W269" s="247">
        <v>1.7596865383612372</v>
      </c>
      <c r="X269" s="247">
        <v>1.7596865383612372</v>
      </c>
      <c r="Y269" s="247">
        <v>1.7596865383612372</v>
      </c>
      <c r="Z269" s="247">
        <v>1.7596865383612372</v>
      </c>
      <c r="AA269" s="247">
        <v>1.7596865383612372</v>
      </c>
      <c r="AB269" s="247">
        <v>1.7596865383612372</v>
      </c>
      <c r="AC269" s="247">
        <v>1.7596865383612372</v>
      </c>
      <c r="AD269" s="247">
        <v>1.7596865383612372</v>
      </c>
    </row>
    <row r="270" spans="2:30">
      <c r="B270" s="201" t="s">
        <v>336</v>
      </c>
      <c r="C270" s="201" t="s">
        <v>593</v>
      </c>
      <c r="D270" s="247">
        <v>1.8433586255014824</v>
      </c>
      <c r="E270" s="247">
        <v>1.8433586255014824</v>
      </c>
      <c r="F270" s="247">
        <v>1.8433586255014824</v>
      </c>
      <c r="G270" s="247">
        <v>1.8433586255014824</v>
      </c>
      <c r="H270" s="247">
        <v>1.8433586255014824</v>
      </c>
      <c r="I270" s="247">
        <v>1.8433586255014824</v>
      </c>
      <c r="J270" s="247">
        <v>1.8433586255014824</v>
      </c>
      <c r="K270" s="247">
        <v>1.8433586255014824</v>
      </c>
      <c r="L270" s="247">
        <v>1.8433586255014824</v>
      </c>
      <c r="M270" s="247">
        <v>1.8433586255014824</v>
      </c>
      <c r="N270" s="247">
        <v>1.8433586255014824</v>
      </c>
      <c r="O270" s="247">
        <v>1.8433586255014824</v>
      </c>
      <c r="P270" s="247">
        <v>1.8433586255014824</v>
      </c>
      <c r="Q270" s="247">
        <v>1.8433586255014824</v>
      </c>
      <c r="R270" s="247">
        <v>1.8433586255014824</v>
      </c>
      <c r="S270" s="247">
        <v>1.8433586255014824</v>
      </c>
      <c r="T270" s="247">
        <v>1.8433586255014824</v>
      </c>
      <c r="U270" s="247">
        <v>1.8433586255014824</v>
      </c>
      <c r="V270" s="247">
        <v>1.8433586255014824</v>
      </c>
      <c r="W270" s="247">
        <v>1.8433586255014824</v>
      </c>
      <c r="X270" s="247">
        <v>1.8433586255014824</v>
      </c>
      <c r="Y270" s="247">
        <v>1.8433586255014824</v>
      </c>
      <c r="Z270" s="247">
        <v>1.8433586255014824</v>
      </c>
      <c r="AA270" s="247">
        <v>1.8433586255014824</v>
      </c>
      <c r="AB270" s="247">
        <v>1.8433586255014824</v>
      </c>
      <c r="AC270" s="247">
        <v>1.8433586255014824</v>
      </c>
      <c r="AD270" s="247">
        <v>1.8433586255014824</v>
      </c>
    </row>
    <row r="271" spans="2:30">
      <c r="B271" s="201" t="s">
        <v>337</v>
      </c>
      <c r="C271" s="201" t="s">
        <v>593</v>
      </c>
      <c r="D271" s="247">
        <v>1.8529030871906271</v>
      </c>
      <c r="E271" s="247">
        <v>1.8529030871906271</v>
      </c>
      <c r="F271" s="247">
        <v>1.8529030871906271</v>
      </c>
      <c r="G271" s="247">
        <v>1.8529030871906271</v>
      </c>
      <c r="H271" s="247">
        <v>1.8529030871906271</v>
      </c>
      <c r="I271" s="247">
        <v>1.8529030871906271</v>
      </c>
      <c r="J271" s="247">
        <v>1.8529030871906271</v>
      </c>
      <c r="K271" s="247">
        <v>1.8529030871906271</v>
      </c>
      <c r="L271" s="247">
        <v>1.8529030871906271</v>
      </c>
      <c r="M271" s="247">
        <v>1.8529030871906271</v>
      </c>
      <c r="N271" s="247">
        <v>1.8529030871906271</v>
      </c>
      <c r="O271" s="247">
        <v>1.8529030871906271</v>
      </c>
      <c r="P271" s="247">
        <v>1.8529030871906271</v>
      </c>
      <c r="Q271" s="247">
        <v>1.8529030871906271</v>
      </c>
      <c r="R271" s="247">
        <v>1.8529030871906271</v>
      </c>
      <c r="S271" s="247">
        <v>1.8529030871906271</v>
      </c>
      <c r="T271" s="247">
        <v>1.8529030871906271</v>
      </c>
      <c r="U271" s="247">
        <v>1.8529030871906271</v>
      </c>
      <c r="V271" s="247">
        <v>1.8529030871906271</v>
      </c>
      <c r="W271" s="247">
        <v>1.8529030871906271</v>
      </c>
      <c r="X271" s="247">
        <v>1.8529030871906271</v>
      </c>
      <c r="Y271" s="247">
        <v>1.8529030871906271</v>
      </c>
      <c r="Z271" s="247">
        <v>1.8529030871906271</v>
      </c>
      <c r="AA271" s="247">
        <v>1.8529030871906271</v>
      </c>
      <c r="AB271" s="247">
        <v>1.8529030871906271</v>
      </c>
      <c r="AC271" s="247">
        <v>1.8529030871906271</v>
      </c>
      <c r="AD271" s="247">
        <v>1.8529030871906271</v>
      </c>
    </row>
    <row r="272" spans="2:30">
      <c r="B272" s="200" t="s">
        <v>338</v>
      </c>
      <c r="C272" s="200" t="s">
        <v>593</v>
      </c>
      <c r="D272" s="248">
        <v>2.076438345513917</v>
      </c>
      <c r="E272" s="248">
        <v>2.076438345513917</v>
      </c>
      <c r="F272" s="248">
        <v>2.076438345513917</v>
      </c>
      <c r="G272" s="248">
        <v>2.076438345513917</v>
      </c>
      <c r="H272" s="248">
        <v>2.076438345513917</v>
      </c>
      <c r="I272" s="248">
        <v>2.076438345513917</v>
      </c>
      <c r="J272" s="248">
        <v>2.076438345513917</v>
      </c>
      <c r="K272" s="248">
        <v>2.076438345513917</v>
      </c>
      <c r="L272" s="248">
        <v>2.076438345513917</v>
      </c>
      <c r="M272" s="248">
        <v>2.076438345513917</v>
      </c>
      <c r="N272" s="248">
        <v>2.076438345513917</v>
      </c>
      <c r="O272" s="248">
        <v>2.076438345513917</v>
      </c>
      <c r="P272" s="248">
        <v>2.076438345513917</v>
      </c>
      <c r="Q272" s="248">
        <v>2.076438345513917</v>
      </c>
      <c r="R272" s="248">
        <v>2.076438345513917</v>
      </c>
      <c r="S272" s="248">
        <v>2.076438345513917</v>
      </c>
      <c r="T272" s="248">
        <v>2.076438345513917</v>
      </c>
      <c r="U272" s="248">
        <v>2.076438345513917</v>
      </c>
      <c r="V272" s="248">
        <v>2.076438345513917</v>
      </c>
      <c r="W272" s="248">
        <v>2.076438345513917</v>
      </c>
      <c r="X272" s="248">
        <v>2.076438345513917</v>
      </c>
      <c r="Y272" s="248">
        <v>2.076438345513917</v>
      </c>
      <c r="Z272" s="248">
        <v>2.076438345513917</v>
      </c>
      <c r="AA272" s="248">
        <v>2.076438345513917</v>
      </c>
      <c r="AB272" s="248">
        <v>2.076438345513917</v>
      </c>
      <c r="AC272" s="248">
        <v>2.076438345513917</v>
      </c>
      <c r="AD272" s="248">
        <v>2.076438345513917</v>
      </c>
    </row>
    <row r="273" spans="2:30">
      <c r="B273" s="252" t="s">
        <v>597</v>
      </c>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c r="AC273" s="201"/>
      <c r="AD273" s="201"/>
    </row>
    <row r="276" spans="2:30">
      <c r="B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c r="AC276" s="201"/>
      <c r="AD276" s="201"/>
    </row>
    <row r="277" spans="2:30" ht="15.6">
      <c r="B277" s="167" t="s">
        <v>601</v>
      </c>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c r="AC277" s="201"/>
      <c r="AD277" s="201"/>
    </row>
    <row r="278" spans="2:30">
      <c r="B278" s="114" t="s">
        <v>588</v>
      </c>
      <c r="C278" s="114" t="s">
        <v>63</v>
      </c>
      <c r="D278" s="114" t="str">
        <f>D265</f>
        <v>IE</v>
      </c>
      <c r="E278" s="114" t="str">
        <f t="shared" ref="E278:AD278" si="133">E265</f>
        <v>IE-CW</v>
      </c>
      <c r="F278" s="114" t="str">
        <f t="shared" si="133"/>
        <v>IE-D</v>
      </c>
      <c r="G278" s="114" t="str">
        <f t="shared" si="133"/>
        <v>IE-KE</v>
      </c>
      <c r="H278" s="114" t="str">
        <f t="shared" si="133"/>
        <v>IE-KK</v>
      </c>
      <c r="I278" s="114" t="str">
        <f t="shared" si="133"/>
        <v>IE-LS</v>
      </c>
      <c r="J278" s="114" t="str">
        <f t="shared" si="133"/>
        <v>IE-LD</v>
      </c>
      <c r="K278" s="114" t="str">
        <f t="shared" si="133"/>
        <v>IE-LH</v>
      </c>
      <c r="L278" s="114" t="str">
        <f t="shared" si="133"/>
        <v>IE-MH</v>
      </c>
      <c r="M278" s="114" t="str">
        <f t="shared" si="133"/>
        <v>IE-OY</v>
      </c>
      <c r="N278" s="114" t="str">
        <f t="shared" si="133"/>
        <v>IE-WH</v>
      </c>
      <c r="O278" s="114" t="str">
        <f t="shared" si="133"/>
        <v>IE-WX</v>
      </c>
      <c r="P278" s="114" t="str">
        <f t="shared" si="133"/>
        <v>IE-WW</v>
      </c>
      <c r="Q278" s="114" t="str">
        <f t="shared" si="133"/>
        <v>IE-CE</v>
      </c>
      <c r="R278" s="114" t="str">
        <f t="shared" si="133"/>
        <v>IE-CO</v>
      </c>
      <c r="S278" s="114" t="str">
        <f t="shared" si="133"/>
        <v>IE-KY</v>
      </c>
      <c r="T278" s="114" t="str">
        <f t="shared" si="133"/>
        <v>IE-LK</v>
      </c>
      <c r="U278" s="114" t="str">
        <f t="shared" si="133"/>
        <v>IE-TA</v>
      </c>
      <c r="V278" s="114" t="str">
        <f t="shared" si="133"/>
        <v>IE-WD</v>
      </c>
      <c r="W278" s="114" t="str">
        <f t="shared" si="133"/>
        <v>IE-G</v>
      </c>
      <c r="X278" s="114" t="str">
        <f t="shared" si="133"/>
        <v>IE-LM</v>
      </c>
      <c r="Y278" s="114" t="str">
        <f t="shared" si="133"/>
        <v>IE-MO</v>
      </c>
      <c r="Z278" s="114" t="str">
        <f t="shared" si="133"/>
        <v>IE-RN</v>
      </c>
      <c r="AA278" s="114" t="str">
        <f t="shared" si="133"/>
        <v>IE-SO</v>
      </c>
      <c r="AB278" s="114" t="str">
        <f t="shared" si="133"/>
        <v>IE-CN</v>
      </c>
      <c r="AC278" s="114" t="str">
        <f t="shared" si="133"/>
        <v>IE-DL</v>
      </c>
      <c r="AD278" s="114" t="str">
        <f t="shared" si="133"/>
        <v>IE-MN</v>
      </c>
    </row>
    <row r="279" spans="2:30">
      <c r="B279" s="201" t="s">
        <v>609</v>
      </c>
      <c r="C279" s="201" t="s">
        <v>593</v>
      </c>
      <c r="D279" s="247">
        <f>SUMPRODUCT(D253:D259,D266:D272)</f>
        <v>1.6619529898518981</v>
      </c>
      <c r="E279" s="247">
        <f>IF(E246&gt;1,SUMPRODUCT(E253:E259,E266:E272),$D$230)</f>
        <v>1.6415930285036124</v>
      </c>
      <c r="F279" s="247">
        <f t="shared" ref="F279:AD279" si="134">IF(F246&gt;1,SUMPRODUCT(F253:F259,F266:F272),$D$230)</f>
        <v>1.6824155298383927</v>
      </c>
      <c r="G279" s="247">
        <f t="shared" si="134"/>
        <v>1.6382873945238248</v>
      </c>
      <c r="H279" s="247">
        <f t="shared" si="134"/>
        <v>1.6440804897009154</v>
      </c>
      <c r="I279" s="247">
        <f t="shared" si="134"/>
        <v>1.6514759468771643</v>
      </c>
      <c r="J279" s="247">
        <f t="shared" si="134"/>
        <v>1.6575815691238844</v>
      </c>
      <c r="K279" s="247">
        <f t="shared" si="134"/>
        <v>1.6291996265803439</v>
      </c>
      <c r="L279" s="247">
        <f t="shared" si="134"/>
        <v>1.7027258992750904</v>
      </c>
      <c r="M279" s="247">
        <f t="shared" si="134"/>
        <v>1.6219999252187001</v>
      </c>
      <c r="N279" s="247">
        <f t="shared" si="134"/>
        <v>1.6525696047253173</v>
      </c>
      <c r="O279" s="247">
        <f t="shared" si="134"/>
        <v>1.6163910938385573</v>
      </c>
      <c r="P279" s="247">
        <f t="shared" si="134"/>
        <v>1.6246637483235278</v>
      </c>
      <c r="Q279" s="247">
        <f t="shared" si="134"/>
        <v>1.6510454202444789</v>
      </c>
      <c r="R279" s="247">
        <f t="shared" si="134"/>
        <v>1.6540545361617276</v>
      </c>
      <c r="S279" s="247">
        <f t="shared" si="134"/>
        <v>1.6764124580787587</v>
      </c>
      <c r="T279" s="247">
        <f t="shared" si="134"/>
        <v>1.6372218478027598</v>
      </c>
      <c r="U279" s="247">
        <f t="shared" si="134"/>
        <v>1.6208233994883556</v>
      </c>
      <c r="V279" s="247">
        <f t="shared" si="134"/>
        <v>1.6526445307491071</v>
      </c>
      <c r="W279" s="247">
        <f t="shared" si="134"/>
        <v>1.6961438929638242</v>
      </c>
      <c r="X279" s="247">
        <f t="shared" si="134"/>
        <v>1.6413951213872302</v>
      </c>
      <c r="Y279" s="247">
        <f t="shared" si="134"/>
        <v>1.6281630287089306</v>
      </c>
      <c r="Z279" s="247">
        <f t="shared" si="134"/>
        <v>1.636222953125988</v>
      </c>
      <c r="AA279" s="247">
        <f t="shared" si="134"/>
        <v>1.6286495365749154</v>
      </c>
      <c r="AB279" s="247">
        <f t="shared" si="134"/>
        <v>1.618155975530319</v>
      </c>
      <c r="AC279" s="247">
        <f t="shared" si="134"/>
        <v>1.6292238892424922</v>
      </c>
      <c r="AD279" s="247">
        <f t="shared" si="134"/>
        <v>1.6330547237118052</v>
      </c>
    </row>
    <row r="280" spans="2:30">
      <c r="B280" s="200"/>
      <c r="C280" s="200" t="s">
        <v>581</v>
      </c>
      <c r="D280" s="250">
        <f>1000/D279</f>
        <v>601.70173651488972</v>
      </c>
      <c r="E280" s="250">
        <f>1000/E279</f>
        <v>609.16438035287342</v>
      </c>
      <c r="F280" s="250">
        <f>1000/F279</f>
        <v>594.38348152674075</v>
      </c>
      <c r="G280" s="250">
        <f>1000/G279</f>
        <v>610.39351419208981</v>
      </c>
      <c r="H280" s="250">
        <f t="shared" ref="H280" si="135">1000/H279</f>
        <v>608.24272671827407</v>
      </c>
      <c r="I280" s="250">
        <f t="shared" ref="I280" si="136">1000/I279</f>
        <v>605.51896132119646</v>
      </c>
      <c r="J280" s="250">
        <f t="shared" ref="J280" si="137">1000/J279</f>
        <v>603.28856125526931</v>
      </c>
      <c r="K280" s="250">
        <f t="shared" ref="K280" si="138">1000/K279</f>
        <v>613.79832384259703</v>
      </c>
      <c r="L280" s="250">
        <f t="shared" ref="L280" si="139">1000/L279</f>
        <v>587.29358637566668</v>
      </c>
      <c r="M280" s="250">
        <f t="shared" ref="M280" si="140">1000/M279</f>
        <v>616.52283976842136</v>
      </c>
      <c r="N280" s="250">
        <f t="shared" ref="N280" si="141">1000/N279</f>
        <v>605.11823353196394</v>
      </c>
      <c r="O280" s="250">
        <f t="shared" ref="O280" si="142">1000/O279</f>
        <v>618.66215658565022</v>
      </c>
      <c r="P280" s="250">
        <f t="shared" ref="P280" si="143">1000/P279</f>
        <v>615.51197965233655</v>
      </c>
      <c r="Q280" s="250">
        <f t="shared" ref="Q280" si="144">1000/Q279</f>
        <v>605.67685645615052</v>
      </c>
      <c r="R280" s="250">
        <f t="shared" ref="R280" si="145">1000/R279</f>
        <v>604.57498718302452</v>
      </c>
      <c r="S280" s="250">
        <f t="shared" ref="S280" si="146">1000/S279</f>
        <v>596.51191160082601</v>
      </c>
      <c r="T280" s="250">
        <f t="shared" ref="T280" si="147">1000/T279</f>
        <v>610.79077422650698</v>
      </c>
      <c r="U280" s="250">
        <f t="shared" ref="U280" si="148">1000/U279</f>
        <v>616.9703622958981</v>
      </c>
      <c r="V280" s="250">
        <f t="shared" ref="V280" si="149">1000/V279</f>
        <v>605.09079925779452</v>
      </c>
      <c r="W280" s="250">
        <f t="shared" ref="W280" si="150">1000/W279</f>
        <v>589.57262066522571</v>
      </c>
      <c r="X280" s="250">
        <f t="shared" ref="X280" si="151">1000/X279</f>
        <v>609.23782882627734</v>
      </c>
      <c r="Y280" s="250">
        <f t="shared" ref="Y280" si="152">1000/Y279</f>
        <v>614.18910905559676</v>
      </c>
      <c r="Z280" s="250">
        <f t="shared" ref="Z280" si="153">1000/Z279</f>
        <v>611.16365473880546</v>
      </c>
      <c r="AA280" s="250">
        <f t="shared" ref="AA280" si="154">1000/AA279</f>
        <v>614.00563936119818</v>
      </c>
      <c r="AB280" s="250">
        <f t="shared" ref="AB280" si="155">1000/AB279</f>
        <v>617.98739745856051</v>
      </c>
      <c r="AC280" s="250">
        <f t="shared" ref="AC280" si="156">1000/AC279</f>
        <v>613.78918306000912</v>
      </c>
      <c r="AD280" s="250">
        <f t="shared" ref="AD280" si="157">1000/AD279</f>
        <v>612.34935086993198</v>
      </c>
    </row>
    <row r="284" spans="2:30">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row>
    <row r="285" spans="2:30" ht="15.6">
      <c r="B285" s="143" t="s">
        <v>608</v>
      </c>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c r="AC285" s="201"/>
      <c r="AD285" s="201"/>
    </row>
    <row r="286" spans="2:30">
      <c r="B286" s="114" t="s">
        <v>588</v>
      </c>
      <c r="C286" s="114" t="s">
        <v>63</v>
      </c>
      <c r="D286" s="114" t="str">
        <f t="shared" ref="D286:AD286" si="158">D278</f>
        <v>IE</v>
      </c>
      <c r="E286" s="114" t="str">
        <f t="shared" si="158"/>
        <v>IE-CW</v>
      </c>
      <c r="F286" s="114" t="str">
        <f t="shared" si="158"/>
        <v>IE-D</v>
      </c>
      <c r="G286" s="114" t="str">
        <f t="shared" si="158"/>
        <v>IE-KE</v>
      </c>
      <c r="H286" s="114" t="str">
        <f t="shared" si="158"/>
        <v>IE-KK</v>
      </c>
      <c r="I286" s="114" t="str">
        <f t="shared" si="158"/>
        <v>IE-LS</v>
      </c>
      <c r="J286" s="114" t="str">
        <f t="shared" si="158"/>
        <v>IE-LD</v>
      </c>
      <c r="K286" s="114" t="str">
        <f t="shared" si="158"/>
        <v>IE-LH</v>
      </c>
      <c r="L286" s="114" t="str">
        <f t="shared" si="158"/>
        <v>IE-MH</v>
      </c>
      <c r="M286" s="114" t="str">
        <f t="shared" si="158"/>
        <v>IE-OY</v>
      </c>
      <c r="N286" s="114" t="str">
        <f t="shared" si="158"/>
        <v>IE-WH</v>
      </c>
      <c r="O286" s="114" t="str">
        <f t="shared" si="158"/>
        <v>IE-WX</v>
      </c>
      <c r="P286" s="114" t="str">
        <f t="shared" si="158"/>
        <v>IE-WW</v>
      </c>
      <c r="Q286" s="114" t="str">
        <f t="shared" si="158"/>
        <v>IE-CE</v>
      </c>
      <c r="R286" s="114" t="str">
        <f t="shared" si="158"/>
        <v>IE-CO</v>
      </c>
      <c r="S286" s="114" t="str">
        <f t="shared" si="158"/>
        <v>IE-KY</v>
      </c>
      <c r="T286" s="114" t="str">
        <f t="shared" si="158"/>
        <v>IE-LK</v>
      </c>
      <c r="U286" s="114" t="str">
        <f t="shared" si="158"/>
        <v>IE-TA</v>
      </c>
      <c r="V286" s="114" t="str">
        <f t="shared" si="158"/>
        <v>IE-WD</v>
      </c>
      <c r="W286" s="114" t="str">
        <f t="shared" si="158"/>
        <v>IE-G</v>
      </c>
      <c r="X286" s="114" t="str">
        <f t="shared" si="158"/>
        <v>IE-LM</v>
      </c>
      <c r="Y286" s="114" t="str">
        <f t="shared" si="158"/>
        <v>IE-MO</v>
      </c>
      <c r="Z286" s="114" t="str">
        <f t="shared" si="158"/>
        <v>IE-RN</v>
      </c>
      <c r="AA286" s="114" t="str">
        <f t="shared" si="158"/>
        <v>IE-SO</v>
      </c>
      <c r="AB286" s="114" t="str">
        <f t="shared" si="158"/>
        <v>IE-CN</v>
      </c>
      <c r="AC286" s="114" t="str">
        <f t="shared" si="158"/>
        <v>IE-DL</v>
      </c>
      <c r="AD286" s="114" t="str">
        <f t="shared" si="158"/>
        <v>IE-MN</v>
      </c>
    </row>
    <row r="287" spans="2:30">
      <c r="B287" s="201" t="s">
        <v>332</v>
      </c>
      <c r="C287" s="201" t="s">
        <v>516</v>
      </c>
      <c r="D287" s="10">
        <f>SUM(E287:AD287)</f>
        <v>2</v>
      </c>
      <c r="E287" s="254">
        <v>0</v>
      </c>
      <c r="F287" s="254">
        <v>0</v>
      </c>
      <c r="G287" s="254">
        <v>0</v>
      </c>
      <c r="H287" s="254">
        <v>0</v>
      </c>
      <c r="I287" s="254">
        <v>0</v>
      </c>
      <c r="J287" s="254">
        <v>0</v>
      </c>
      <c r="K287" s="254">
        <v>0</v>
      </c>
      <c r="L287" s="254">
        <v>0</v>
      </c>
      <c r="M287" s="254">
        <v>0</v>
      </c>
      <c r="N287" s="254">
        <v>0</v>
      </c>
      <c r="O287" s="254">
        <v>0</v>
      </c>
      <c r="P287" s="254">
        <v>0</v>
      </c>
      <c r="Q287" s="254">
        <v>0</v>
      </c>
      <c r="R287" s="254">
        <v>0</v>
      </c>
      <c r="S287" s="254">
        <v>1</v>
      </c>
      <c r="T287" s="254">
        <v>0</v>
      </c>
      <c r="U287" s="254">
        <v>0</v>
      </c>
      <c r="V287" s="254">
        <v>0</v>
      </c>
      <c r="W287" s="254">
        <v>1</v>
      </c>
      <c r="X287" s="254">
        <v>0</v>
      </c>
      <c r="Y287" s="254">
        <v>0</v>
      </c>
      <c r="Z287" s="254">
        <v>0</v>
      </c>
      <c r="AA287" s="254">
        <v>0</v>
      </c>
      <c r="AB287" s="254">
        <v>0</v>
      </c>
      <c r="AC287" s="254">
        <v>0</v>
      </c>
      <c r="AD287" s="254">
        <v>0</v>
      </c>
    </row>
    <row r="288" spans="2:30">
      <c r="B288" s="201" t="s">
        <v>333</v>
      </c>
      <c r="C288" s="201" t="s">
        <v>516</v>
      </c>
      <c r="D288" s="10">
        <f t="shared" ref="D288:D293" si="159">SUM(E288:AD288)</f>
        <v>0</v>
      </c>
      <c r="E288" s="254">
        <v>0</v>
      </c>
      <c r="F288" s="254">
        <v>0</v>
      </c>
      <c r="G288" s="254">
        <v>0</v>
      </c>
      <c r="H288" s="254">
        <v>0</v>
      </c>
      <c r="I288" s="254">
        <v>0</v>
      </c>
      <c r="J288" s="254">
        <v>0</v>
      </c>
      <c r="K288" s="254">
        <v>0</v>
      </c>
      <c r="L288" s="254">
        <v>0</v>
      </c>
      <c r="M288" s="254">
        <v>0</v>
      </c>
      <c r="N288" s="254">
        <v>0</v>
      </c>
      <c r="O288" s="254">
        <v>0</v>
      </c>
      <c r="P288" s="254">
        <v>0</v>
      </c>
      <c r="Q288" s="254">
        <v>0</v>
      </c>
      <c r="R288" s="254">
        <v>0</v>
      </c>
      <c r="S288" s="254">
        <v>0</v>
      </c>
      <c r="T288" s="254">
        <v>0</v>
      </c>
      <c r="U288" s="254">
        <v>0</v>
      </c>
      <c r="V288" s="254">
        <v>0</v>
      </c>
      <c r="W288" s="254">
        <v>0</v>
      </c>
      <c r="X288" s="254">
        <v>0</v>
      </c>
      <c r="Y288" s="254">
        <v>0</v>
      </c>
      <c r="Z288" s="254">
        <v>0</v>
      </c>
      <c r="AA288" s="254">
        <v>0</v>
      </c>
      <c r="AB288" s="254">
        <v>0</v>
      </c>
      <c r="AC288" s="254">
        <v>0</v>
      </c>
      <c r="AD288" s="254">
        <v>0</v>
      </c>
    </row>
    <row r="289" spans="2:30">
      <c r="B289" s="201" t="s">
        <v>334</v>
      </c>
      <c r="C289" s="201" t="s">
        <v>516</v>
      </c>
      <c r="D289" s="10">
        <f t="shared" si="159"/>
        <v>3181</v>
      </c>
      <c r="E289" s="254">
        <v>26</v>
      </c>
      <c r="F289" s="254">
        <v>122</v>
      </c>
      <c r="G289" s="254">
        <v>40</v>
      </c>
      <c r="H289" s="254">
        <v>187</v>
      </c>
      <c r="I289" s="254">
        <v>39</v>
      </c>
      <c r="J289" s="254">
        <v>75</v>
      </c>
      <c r="K289" s="254">
        <v>10</v>
      </c>
      <c r="L289" s="254">
        <v>35</v>
      </c>
      <c r="M289" s="254">
        <v>11</v>
      </c>
      <c r="N289" s="254">
        <v>50</v>
      </c>
      <c r="O289" s="254">
        <v>31</v>
      </c>
      <c r="P289" s="254">
        <v>67</v>
      </c>
      <c r="Q289" s="254">
        <v>52</v>
      </c>
      <c r="R289" s="254">
        <v>216</v>
      </c>
      <c r="S289" s="254">
        <v>109</v>
      </c>
      <c r="T289" s="254">
        <v>9</v>
      </c>
      <c r="U289" s="254">
        <v>16</v>
      </c>
      <c r="V289" s="254">
        <v>70</v>
      </c>
      <c r="W289" s="254">
        <v>1666</v>
      </c>
      <c r="X289" s="254">
        <v>55</v>
      </c>
      <c r="Y289" s="254">
        <v>58</v>
      </c>
      <c r="Z289" s="254">
        <v>35</v>
      </c>
      <c r="AA289" s="254">
        <v>18</v>
      </c>
      <c r="AB289" s="254">
        <v>23</v>
      </c>
      <c r="AC289" s="254">
        <v>20</v>
      </c>
      <c r="AD289" s="254">
        <v>141</v>
      </c>
    </row>
    <row r="290" spans="2:30">
      <c r="B290" s="201" t="s">
        <v>335</v>
      </c>
      <c r="C290" s="201" t="s">
        <v>516</v>
      </c>
      <c r="D290" s="10">
        <f t="shared" si="159"/>
        <v>7669</v>
      </c>
      <c r="E290" s="254">
        <v>57</v>
      </c>
      <c r="F290" s="254">
        <v>320</v>
      </c>
      <c r="G290" s="254">
        <v>170</v>
      </c>
      <c r="H290" s="254">
        <v>357</v>
      </c>
      <c r="I290" s="254">
        <v>118</v>
      </c>
      <c r="J290" s="254">
        <v>219</v>
      </c>
      <c r="K290" s="254">
        <v>38</v>
      </c>
      <c r="L290" s="254">
        <v>107</v>
      </c>
      <c r="M290" s="254">
        <v>49</v>
      </c>
      <c r="N290" s="254">
        <v>134</v>
      </c>
      <c r="O290" s="254">
        <v>157</v>
      </c>
      <c r="P290" s="254">
        <v>177</v>
      </c>
      <c r="Q290" s="254">
        <v>151</v>
      </c>
      <c r="R290" s="254">
        <v>702</v>
      </c>
      <c r="S290" s="254">
        <v>406</v>
      </c>
      <c r="T290" s="254">
        <v>25</v>
      </c>
      <c r="U290" s="254">
        <v>107</v>
      </c>
      <c r="V290" s="254">
        <v>155</v>
      </c>
      <c r="W290" s="254">
        <v>3249</v>
      </c>
      <c r="X290" s="254">
        <v>89</v>
      </c>
      <c r="Y290" s="254">
        <v>187</v>
      </c>
      <c r="Z290" s="254">
        <v>117</v>
      </c>
      <c r="AA290" s="254">
        <v>58</v>
      </c>
      <c r="AB290" s="254">
        <v>74</v>
      </c>
      <c r="AC290" s="254">
        <v>189</v>
      </c>
      <c r="AD290" s="254">
        <v>257</v>
      </c>
    </row>
    <row r="291" spans="2:30">
      <c r="B291" s="201" t="s">
        <v>336</v>
      </c>
      <c r="C291" s="201" t="s">
        <v>516</v>
      </c>
      <c r="D291" s="10">
        <f t="shared" si="159"/>
        <v>12248</v>
      </c>
      <c r="E291" s="254">
        <v>75</v>
      </c>
      <c r="F291" s="254">
        <v>421</v>
      </c>
      <c r="G291" s="254">
        <v>250</v>
      </c>
      <c r="H291" s="254">
        <v>607</v>
      </c>
      <c r="I291" s="254">
        <v>153</v>
      </c>
      <c r="J291" s="254">
        <v>381</v>
      </c>
      <c r="K291" s="254">
        <v>81</v>
      </c>
      <c r="L291" s="254">
        <v>212</v>
      </c>
      <c r="M291" s="254">
        <v>69</v>
      </c>
      <c r="N291" s="254">
        <v>152</v>
      </c>
      <c r="O291" s="254">
        <v>221</v>
      </c>
      <c r="P291" s="254">
        <v>279</v>
      </c>
      <c r="Q291" s="254">
        <v>197</v>
      </c>
      <c r="R291" s="254">
        <v>1273</v>
      </c>
      <c r="S291" s="254">
        <v>710</v>
      </c>
      <c r="T291" s="254">
        <v>39</v>
      </c>
      <c r="U291" s="254">
        <v>121</v>
      </c>
      <c r="V291" s="254">
        <v>239</v>
      </c>
      <c r="W291" s="254">
        <v>5301</v>
      </c>
      <c r="X291" s="254">
        <v>121</v>
      </c>
      <c r="Y291" s="254">
        <v>252</v>
      </c>
      <c r="Z291" s="254">
        <v>133</v>
      </c>
      <c r="AA291" s="254">
        <v>124</v>
      </c>
      <c r="AB291" s="254">
        <v>107</v>
      </c>
      <c r="AC291" s="254">
        <v>278</v>
      </c>
      <c r="AD291" s="254">
        <v>452</v>
      </c>
    </row>
    <row r="292" spans="2:30">
      <c r="B292" s="201" t="s">
        <v>337</v>
      </c>
      <c r="C292" s="201" t="s">
        <v>516</v>
      </c>
      <c r="D292" s="10">
        <f t="shared" si="159"/>
        <v>157</v>
      </c>
      <c r="E292" s="254">
        <v>1</v>
      </c>
      <c r="F292" s="254">
        <v>8</v>
      </c>
      <c r="G292" s="254">
        <v>4</v>
      </c>
      <c r="H292" s="254">
        <v>8</v>
      </c>
      <c r="I292" s="254">
        <v>0</v>
      </c>
      <c r="J292" s="254">
        <v>4</v>
      </c>
      <c r="K292" s="254">
        <v>0</v>
      </c>
      <c r="L292" s="254">
        <v>1</v>
      </c>
      <c r="M292" s="254">
        <v>1</v>
      </c>
      <c r="N292" s="254">
        <v>4</v>
      </c>
      <c r="O292" s="254">
        <v>2</v>
      </c>
      <c r="P292" s="254">
        <v>1</v>
      </c>
      <c r="Q292" s="254">
        <v>1</v>
      </c>
      <c r="R292" s="254">
        <v>14</v>
      </c>
      <c r="S292" s="254">
        <v>11</v>
      </c>
      <c r="T292" s="254">
        <v>0</v>
      </c>
      <c r="U292" s="254">
        <v>1</v>
      </c>
      <c r="V292" s="254">
        <v>3</v>
      </c>
      <c r="W292" s="254">
        <v>81</v>
      </c>
      <c r="X292" s="254">
        <v>1</v>
      </c>
      <c r="Y292" s="254">
        <v>2</v>
      </c>
      <c r="Z292" s="254">
        <v>1</v>
      </c>
      <c r="AA292" s="254">
        <v>2</v>
      </c>
      <c r="AB292" s="254">
        <v>0</v>
      </c>
      <c r="AC292" s="254">
        <v>2</v>
      </c>
      <c r="AD292" s="254">
        <v>4</v>
      </c>
    </row>
    <row r="293" spans="2:30">
      <c r="B293" s="201" t="s">
        <v>338</v>
      </c>
      <c r="C293" s="201" t="s">
        <v>516</v>
      </c>
      <c r="D293" s="10">
        <f t="shared" si="159"/>
        <v>6543</v>
      </c>
      <c r="E293" s="254">
        <v>46</v>
      </c>
      <c r="F293" s="254">
        <v>238</v>
      </c>
      <c r="G293" s="254">
        <v>108</v>
      </c>
      <c r="H293" s="254">
        <v>269</v>
      </c>
      <c r="I293" s="254">
        <v>55</v>
      </c>
      <c r="J293" s="254">
        <v>126</v>
      </c>
      <c r="K293" s="254">
        <v>30</v>
      </c>
      <c r="L293" s="254">
        <v>102</v>
      </c>
      <c r="M293" s="254">
        <v>31</v>
      </c>
      <c r="N293" s="254">
        <v>78</v>
      </c>
      <c r="O293" s="254">
        <v>77</v>
      </c>
      <c r="P293" s="254">
        <v>92</v>
      </c>
      <c r="Q293" s="254">
        <v>91</v>
      </c>
      <c r="R293" s="254">
        <v>724</v>
      </c>
      <c r="S293" s="254">
        <v>426</v>
      </c>
      <c r="T293" s="254">
        <v>17</v>
      </c>
      <c r="U293" s="254">
        <v>28</v>
      </c>
      <c r="V293" s="254">
        <v>98</v>
      </c>
      <c r="W293" s="254">
        <v>3271</v>
      </c>
      <c r="X293" s="254">
        <v>41</v>
      </c>
      <c r="Y293" s="254">
        <v>84</v>
      </c>
      <c r="Z293" s="254">
        <v>61</v>
      </c>
      <c r="AA293" s="254">
        <v>63</v>
      </c>
      <c r="AB293" s="254">
        <v>52</v>
      </c>
      <c r="AC293" s="254">
        <v>84</v>
      </c>
      <c r="AD293" s="254">
        <v>251</v>
      </c>
    </row>
    <row r="294" spans="2:30">
      <c r="B294" s="200" t="s">
        <v>16</v>
      </c>
      <c r="C294" s="200" t="s">
        <v>516</v>
      </c>
      <c r="D294" s="246">
        <f>SUM(D287:D293)</f>
        <v>29800</v>
      </c>
      <c r="E294" s="246">
        <f>SUM(E287:E293)</f>
        <v>205</v>
      </c>
      <c r="F294" s="246">
        <f t="shared" ref="F294" si="160">SUM(F287:F293)</f>
        <v>1109</v>
      </c>
      <c r="G294" s="246">
        <f t="shared" ref="G294" si="161">SUM(G287:G293)</f>
        <v>572</v>
      </c>
      <c r="H294" s="246">
        <f t="shared" ref="H294" si="162">SUM(H287:H293)</f>
        <v>1428</v>
      </c>
      <c r="I294" s="246">
        <f t="shared" ref="I294" si="163">SUM(I287:I293)</f>
        <v>365</v>
      </c>
      <c r="J294" s="246">
        <f t="shared" ref="J294" si="164">SUM(J287:J293)</f>
        <v>805</v>
      </c>
      <c r="K294" s="246">
        <f t="shared" ref="K294" si="165">SUM(K287:K293)</f>
        <v>159</v>
      </c>
      <c r="L294" s="246">
        <f t="shared" ref="L294" si="166">SUM(L287:L293)</f>
        <v>457</v>
      </c>
      <c r="M294" s="246">
        <f t="shared" ref="M294" si="167">SUM(M287:M293)</f>
        <v>161</v>
      </c>
      <c r="N294" s="246">
        <f t="shared" ref="N294" si="168">SUM(N287:N293)</f>
        <v>418</v>
      </c>
      <c r="O294" s="246">
        <f t="shared" ref="O294" si="169">SUM(O287:O293)</f>
        <v>488</v>
      </c>
      <c r="P294" s="246">
        <f t="shared" ref="P294" si="170">SUM(P287:P293)</f>
        <v>616</v>
      </c>
      <c r="Q294" s="246">
        <f t="shared" ref="Q294" si="171">SUM(Q287:Q293)</f>
        <v>492</v>
      </c>
      <c r="R294" s="246">
        <f t="shared" ref="R294" si="172">SUM(R287:R293)</f>
        <v>2929</v>
      </c>
      <c r="S294" s="246">
        <f t="shared" ref="S294" si="173">SUM(S287:S293)</f>
        <v>1663</v>
      </c>
      <c r="T294" s="246">
        <f t="shared" ref="T294" si="174">SUM(T287:T293)</f>
        <v>90</v>
      </c>
      <c r="U294" s="246">
        <f t="shared" ref="U294" si="175">SUM(U287:U293)</f>
        <v>273</v>
      </c>
      <c r="V294" s="246">
        <f t="shared" ref="V294" si="176">SUM(V287:V293)</f>
        <v>565</v>
      </c>
      <c r="W294" s="246">
        <f t="shared" ref="W294" si="177">SUM(W287:W293)</f>
        <v>13569</v>
      </c>
      <c r="X294" s="246">
        <f t="shared" ref="X294" si="178">SUM(X287:X293)</f>
        <v>307</v>
      </c>
      <c r="Y294" s="246">
        <f t="shared" ref="Y294" si="179">SUM(Y287:Y293)</f>
        <v>583</v>
      </c>
      <c r="Z294" s="246">
        <f t="shared" ref="Z294" si="180">SUM(Z287:Z293)</f>
        <v>347</v>
      </c>
      <c r="AA294" s="246">
        <f t="shared" ref="AA294" si="181">SUM(AA287:AA293)</f>
        <v>265</v>
      </c>
      <c r="AB294" s="246">
        <f t="shared" ref="AB294" si="182">SUM(AB287:AB293)</f>
        <v>256</v>
      </c>
      <c r="AC294" s="246">
        <f t="shared" ref="AC294" si="183">SUM(AC287:AC293)</f>
        <v>573</v>
      </c>
      <c r="AD294" s="246">
        <f t="shared" ref="AD294" si="184">SUM(AD287:AD293)</f>
        <v>1105</v>
      </c>
    </row>
    <row r="295" spans="2:30">
      <c r="B295" s="201" t="s">
        <v>599</v>
      </c>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c r="AC295" s="201"/>
      <c r="AD295" s="201"/>
    </row>
    <row r="299" spans="2:30" ht="15.6">
      <c r="B299" s="143" t="s">
        <v>607</v>
      </c>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c r="AC299" s="201"/>
      <c r="AD299" s="201"/>
    </row>
    <row r="300" spans="2:30">
      <c r="B300" s="114" t="s">
        <v>588</v>
      </c>
      <c r="C300" s="114" t="s">
        <v>63</v>
      </c>
      <c r="D300" s="114" t="str">
        <f>D286</f>
        <v>IE</v>
      </c>
      <c r="E300" s="114" t="str">
        <f t="shared" ref="E300:AD300" si="185">E286</f>
        <v>IE-CW</v>
      </c>
      <c r="F300" s="114" t="str">
        <f t="shared" si="185"/>
        <v>IE-D</v>
      </c>
      <c r="G300" s="114" t="str">
        <f t="shared" si="185"/>
        <v>IE-KE</v>
      </c>
      <c r="H300" s="114" t="str">
        <f t="shared" si="185"/>
        <v>IE-KK</v>
      </c>
      <c r="I300" s="114" t="str">
        <f t="shared" si="185"/>
        <v>IE-LS</v>
      </c>
      <c r="J300" s="114" t="str">
        <f t="shared" si="185"/>
        <v>IE-LD</v>
      </c>
      <c r="K300" s="114" t="str">
        <f t="shared" si="185"/>
        <v>IE-LH</v>
      </c>
      <c r="L300" s="114" t="str">
        <f t="shared" si="185"/>
        <v>IE-MH</v>
      </c>
      <c r="M300" s="114" t="str">
        <f t="shared" si="185"/>
        <v>IE-OY</v>
      </c>
      <c r="N300" s="114" t="str">
        <f t="shared" si="185"/>
        <v>IE-WH</v>
      </c>
      <c r="O300" s="114" t="str">
        <f t="shared" si="185"/>
        <v>IE-WX</v>
      </c>
      <c r="P300" s="114" t="str">
        <f t="shared" si="185"/>
        <v>IE-WW</v>
      </c>
      <c r="Q300" s="114" t="str">
        <f t="shared" si="185"/>
        <v>IE-CE</v>
      </c>
      <c r="R300" s="114" t="str">
        <f t="shared" si="185"/>
        <v>IE-CO</v>
      </c>
      <c r="S300" s="114" t="str">
        <f t="shared" si="185"/>
        <v>IE-KY</v>
      </c>
      <c r="T300" s="114" t="str">
        <f t="shared" si="185"/>
        <v>IE-LK</v>
      </c>
      <c r="U300" s="114" t="str">
        <f t="shared" si="185"/>
        <v>IE-TA</v>
      </c>
      <c r="V300" s="114" t="str">
        <f t="shared" si="185"/>
        <v>IE-WD</v>
      </c>
      <c r="W300" s="114" t="str">
        <f t="shared" si="185"/>
        <v>IE-G</v>
      </c>
      <c r="X300" s="114" t="str">
        <f t="shared" si="185"/>
        <v>IE-LM</v>
      </c>
      <c r="Y300" s="114" t="str">
        <f t="shared" si="185"/>
        <v>IE-MO</v>
      </c>
      <c r="Z300" s="114" t="str">
        <f t="shared" si="185"/>
        <v>IE-RN</v>
      </c>
      <c r="AA300" s="114" t="str">
        <f t="shared" si="185"/>
        <v>IE-SO</v>
      </c>
      <c r="AB300" s="114" t="str">
        <f t="shared" si="185"/>
        <v>IE-CN</v>
      </c>
      <c r="AC300" s="114" t="str">
        <f t="shared" si="185"/>
        <v>IE-DL</v>
      </c>
      <c r="AD300" s="114" t="str">
        <f t="shared" si="185"/>
        <v>IE-MN</v>
      </c>
    </row>
    <row r="301" spans="2:30">
      <c r="B301" s="201" t="s">
        <v>332</v>
      </c>
      <c r="C301" s="249" t="s">
        <v>592</v>
      </c>
      <c r="D301" s="35">
        <f t="shared" ref="D301:AD301" si="186">D287/D$294</f>
        <v>6.7114093959731537E-5</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0</v>
      </c>
      <c r="S301" s="35">
        <f t="shared" si="186"/>
        <v>6.0132291040288638E-4</v>
      </c>
      <c r="T301" s="35">
        <f t="shared" si="186"/>
        <v>0</v>
      </c>
      <c r="U301" s="35">
        <f t="shared" si="186"/>
        <v>0</v>
      </c>
      <c r="V301" s="35">
        <f t="shared" si="186"/>
        <v>0</v>
      </c>
      <c r="W301" s="35">
        <f t="shared" si="186"/>
        <v>7.3697398481833586E-5</v>
      </c>
      <c r="X301" s="35">
        <f t="shared" si="186"/>
        <v>0</v>
      </c>
      <c r="Y301" s="35">
        <f t="shared" si="186"/>
        <v>0</v>
      </c>
      <c r="Z301" s="35">
        <f t="shared" si="186"/>
        <v>0</v>
      </c>
      <c r="AA301" s="35">
        <f t="shared" si="186"/>
        <v>0</v>
      </c>
      <c r="AB301" s="35">
        <f t="shared" si="186"/>
        <v>0</v>
      </c>
      <c r="AC301" s="35">
        <f t="shared" si="186"/>
        <v>0</v>
      </c>
      <c r="AD301" s="35">
        <f t="shared" si="186"/>
        <v>0</v>
      </c>
    </row>
    <row r="302" spans="2:30">
      <c r="B302" s="201" t="s">
        <v>333</v>
      </c>
      <c r="C302" s="2" t="s">
        <v>592</v>
      </c>
      <c r="D302" s="35">
        <f t="shared" ref="D302:S307" si="187">D288/D$294</f>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si="187"/>
        <v>0</v>
      </c>
      <c r="T302" s="35">
        <f t="shared" ref="T302:AD302" si="188">T288/T$294</f>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c r="AD302" s="35">
        <f t="shared" si="188"/>
        <v>0</v>
      </c>
    </row>
    <row r="303" spans="2:30">
      <c r="B303" s="201" t="s">
        <v>334</v>
      </c>
      <c r="C303" s="2" t="s">
        <v>592</v>
      </c>
      <c r="D303" s="35">
        <f t="shared" si="187"/>
        <v>0.10674496644295302</v>
      </c>
      <c r="E303" s="35">
        <f t="shared" ref="E303:S303" si="189">E289/E$294</f>
        <v>0.12682926829268293</v>
      </c>
      <c r="F303" s="35">
        <f t="shared" si="189"/>
        <v>0.11000901713255185</v>
      </c>
      <c r="G303" s="35">
        <f t="shared" si="189"/>
        <v>6.9930069930069935E-2</v>
      </c>
      <c r="H303" s="35">
        <f t="shared" si="189"/>
        <v>0.13095238095238096</v>
      </c>
      <c r="I303" s="35">
        <f t="shared" si="189"/>
        <v>0.10684931506849316</v>
      </c>
      <c r="J303" s="35">
        <f t="shared" si="189"/>
        <v>9.3167701863354033E-2</v>
      </c>
      <c r="K303" s="35">
        <f t="shared" si="189"/>
        <v>6.2893081761006289E-2</v>
      </c>
      <c r="L303" s="35">
        <f t="shared" si="189"/>
        <v>7.6586433260393869E-2</v>
      </c>
      <c r="M303" s="35">
        <f t="shared" si="189"/>
        <v>6.8322981366459631E-2</v>
      </c>
      <c r="N303" s="35">
        <f t="shared" si="189"/>
        <v>0.11961722488038277</v>
      </c>
      <c r="O303" s="35">
        <f t="shared" si="189"/>
        <v>6.3524590163934427E-2</v>
      </c>
      <c r="P303" s="35">
        <f t="shared" si="189"/>
        <v>0.10876623376623376</v>
      </c>
      <c r="Q303" s="35">
        <f t="shared" si="189"/>
        <v>0.10569105691056911</v>
      </c>
      <c r="R303" s="35">
        <f t="shared" si="189"/>
        <v>7.3745305565039262E-2</v>
      </c>
      <c r="S303" s="35">
        <f t="shared" si="189"/>
        <v>6.5544197233914608E-2</v>
      </c>
      <c r="T303" s="35">
        <f t="shared" ref="T303:AD303" si="190">T289/T$294</f>
        <v>0.1</v>
      </c>
      <c r="U303" s="35">
        <f t="shared" si="190"/>
        <v>5.8608058608058608E-2</v>
      </c>
      <c r="V303" s="35">
        <f t="shared" si="190"/>
        <v>0.12389380530973451</v>
      </c>
      <c r="W303" s="35">
        <f t="shared" si="190"/>
        <v>0.12277986587073476</v>
      </c>
      <c r="X303" s="35">
        <f t="shared" si="190"/>
        <v>0.17915309446254071</v>
      </c>
      <c r="Y303" s="35">
        <f t="shared" si="190"/>
        <v>9.9485420240137221E-2</v>
      </c>
      <c r="Z303" s="35">
        <f t="shared" si="190"/>
        <v>0.10086455331412104</v>
      </c>
      <c r="AA303" s="35">
        <f t="shared" si="190"/>
        <v>6.7924528301886791E-2</v>
      </c>
      <c r="AB303" s="35">
        <f t="shared" si="190"/>
        <v>8.984375E-2</v>
      </c>
      <c r="AC303" s="35">
        <f t="shared" si="190"/>
        <v>3.4904013961605584E-2</v>
      </c>
      <c r="AD303" s="35">
        <f t="shared" si="190"/>
        <v>0.12760180995475112</v>
      </c>
    </row>
    <row r="304" spans="2:30">
      <c r="B304" s="201" t="s">
        <v>335</v>
      </c>
      <c r="C304" s="2" t="s">
        <v>592</v>
      </c>
      <c r="D304" s="35">
        <f t="shared" si="187"/>
        <v>0.25734899328859062</v>
      </c>
      <c r="E304" s="35">
        <f t="shared" si="187"/>
        <v>0.2780487804878049</v>
      </c>
      <c r="F304" s="35">
        <f t="shared" si="187"/>
        <v>0.28854824165915238</v>
      </c>
      <c r="G304" s="35">
        <f t="shared" si="187"/>
        <v>0.29720279720279719</v>
      </c>
      <c r="H304" s="35">
        <f t="shared" si="187"/>
        <v>0.25</v>
      </c>
      <c r="I304" s="35">
        <f t="shared" si="187"/>
        <v>0.32328767123287672</v>
      </c>
      <c r="J304" s="35">
        <f t="shared" si="187"/>
        <v>0.27204968944099378</v>
      </c>
      <c r="K304" s="35">
        <f t="shared" si="187"/>
        <v>0.2389937106918239</v>
      </c>
      <c r="L304" s="35">
        <f t="shared" si="187"/>
        <v>0.23413566739606126</v>
      </c>
      <c r="M304" s="35">
        <f t="shared" si="187"/>
        <v>0.30434782608695654</v>
      </c>
      <c r="N304" s="35">
        <f t="shared" si="187"/>
        <v>0.32057416267942584</v>
      </c>
      <c r="O304" s="35">
        <f t="shared" si="187"/>
        <v>0.32172131147540983</v>
      </c>
      <c r="P304" s="35">
        <f t="shared" si="187"/>
        <v>0.28733766233766234</v>
      </c>
      <c r="Q304" s="35">
        <f t="shared" si="187"/>
        <v>0.30691056910569103</v>
      </c>
      <c r="R304" s="35">
        <f t="shared" si="187"/>
        <v>0.23967224308637761</v>
      </c>
      <c r="S304" s="35">
        <f t="shared" si="187"/>
        <v>0.24413710162357186</v>
      </c>
      <c r="T304" s="35">
        <f t="shared" ref="T304:AD304" si="191">T290/T$294</f>
        <v>0.27777777777777779</v>
      </c>
      <c r="U304" s="35">
        <f t="shared" si="191"/>
        <v>0.39194139194139194</v>
      </c>
      <c r="V304" s="35">
        <f t="shared" si="191"/>
        <v>0.27433628318584069</v>
      </c>
      <c r="W304" s="35">
        <f t="shared" si="191"/>
        <v>0.23944284766747734</v>
      </c>
      <c r="X304" s="35">
        <f t="shared" si="191"/>
        <v>0.28990228013029318</v>
      </c>
      <c r="Y304" s="35">
        <f t="shared" si="191"/>
        <v>0.32075471698113206</v>
      </c>
      <c r="Z304" s="35">
        <f t="shared" si="191"/>
        <v>0.33717579250720459</v>
      </c>
      <c r="AA304" s="35">
        <f t="shared" si="191"/>
        <v>0.21886792452830189</v>
      </c>
      <c r="AB304" s="35">
        <f t="shared" si="191"/>
        <v>0.2890625</v>
      </c>
      <c r="AC304" s="35">
        <f t="shared" si="191"/>
        <v>0.32984293193717279</v>
      </c>
      <c r="AD304" s="35">
        <f t="shared" si="191"/>
        <v>0.232579185520362</v>
      </c>
    </row>
    <row r="305" spans="2:30">
      <c r="B305" s="201" t="s">
        <v>336</v>
      </c>
      <c r="C305" s="2" t="s">
        <v>592</v>
      </c>
      <c r="D305" s="35">
        <f t="shared" si="187"/>
        <v>0.41100671140939599</v>
      </c>
      <c r="E305" s="35">
        <f t="shared" si="187"/>
        <v>0.36585365853658536</v>
      </c>
      <c r="F305" s="35">
        <f t="shared" si="187"/>
        <v>0.37962128043282234</v>
      </c>
      <c r="G305" s="35">
        <f t="shared" si="187"/>
        <v>0.43706293706293708</v>
      </c>
      <c r="H305" s="35">
        <f t="shared" si="187"/>
        <v>0.42507002801120447</v>
      </c>
      <c r="I305" s="35">
        <f t="shared" si="187"/>
        <v>0.41917808219178082</v>
      </c>
      <c r="J305" s="35">
        <f t="shared" si="187"/>
        <v>0.47329192546583854</v>
      </c>
      <c r="K305" s="35">
        <f t="shared" si="187"/>
        <v>0.50943396226415094</v>
      </c>
      <c r="L305" s="35">
        <f t="shared" si="187"/>
        <v>0.46389496717724288</v>
      </c>
      <c r="M305" s="35">
        <f t="shared" si="187"/>
        <v>0.42857142857142855</v>
      </c>
      <c r="N305" s="35">
        <f t="shared" si="187"/>
        <v>0.36363636363636365</v>
      </c>
      <c r="O305" s="35">
        <f t="shared" si="187"/>
        <v>0.45286885245901637</v>
      </c>
      <c r="P305" s="35">
        <f t="shared" si="187"/>
        <v>0.45292207792207795</v>
      </c>
      <c r="Q305" s="35">
        <f t="shared" si="187"/>
        <v>0.40040650406504064</v>
      </c>
      <c r="R305" s="35">
        <f t="shared" si="187"/>
        <v>0.43461932400136566</v>
      </c>
      <c r="S305" s="35">
        <f t="shared" si="187"/>
        <v>0.42693926638604929</v>
      </c>
      <c r="T305" s="35">
        <f t="shared" ref="T305:AD305" si="192">T291/T$294</f>
        <v>0.43333333333333335</v>
      </c>
      <c r="U305" s="35">
        <f t="shared" si="192"/>
        <v>0.4432234432234432</v>
      </c>
      <c r="V305" s="35">
        <f t="shared" si="192"/>
        <v>0.4230088495575221</v>
      </c>
      <c r="W305" s="35">
        <f t="shared" si="192"/>
        <v>0.39066990935219986</v>
      </c>
      <c r="X305" s="35">
        <f t="shared" si="192"/>
        <v>0.39413680781758959</v>
      </c>
      <c r="Y305" s="35">
        <f t="shared" si="192"/>
        <v>0.43224699828473412</v>
      </c>
      <c r="Z305" s="35">
        <f t="shared" si="192"/>
        <v>0.38328530259365995</v>
      </c>
      <c r="AA305" s="35">
        <f t="shared" si="192"/>
        <v>0.4679245283018868</v>
      </c>
      <c r="AB305" s="35">
        <f t="shared" si="192"/>
        <v>0.41796875</v>
      </c>
      <c r="AC305" s="35">
        <f t="shared" si="192"/>
        <v>0.4851657940663176</v>
      </c>
      <c r="AD305" s="35">
        <f t="shared" si="192"/>
        <v>0.4090497737556561</v>
      </c>
    </row>
    <row r="306" spans="2:30">
      <c r="B306" s="201" t="s">
        <v>337</v>
      </c>
      <c r="C306" s="2" t="s">
        <v>592</v>
      </c>
      <c r="D306" s="35">
        <f t="shared" si="187"/>
        <v>5.2684563758389263E-3</v>
      </c>
      <c r="E306" s="35">
        <f t="shared" si="187"/>
        <v>4.8780487804878049E-3</v>
      </c>
      <c r="F306" s="35">
        <f t="shared" si="187"/>
        <v>7.2137060414788094E-3</v>
      </c>
      <c r="G306" s="35">
        <f t="shared" si="187"/>
        <v>6.993006993006993E-3</v>
      </c>
      <c r="H306" s="35">
        <f t="shared" si="187"/>
        <v>5.6022408963585435E-3</v>
      </c>
      <c r="I306" s="35">
        <f t="shared" si="187"/>
        <v>0</v>
      </c>
      <c r="J306" s="35">
        <f t="shared" si="187"/>
        <v>4.9689440993788822E-3</v>
      </c>
      <c r="K306" s="35">
        <f t="shared" si="187"/>
        <v>0</v>
      </c>
      <c r="L306" s="35">
        <f t="shared" si="187"/>
        <v>2.1881838074398249E-3</v>
      </c>
      <c r="M306" s="35">
        <f t="shared" si="187"/>
        <v>6.2111801242236021E-3</v>
      </c>
      <c r="N306" s="35">
        <f t="shared" si="187"/>
        <v>9.5693779904306216E-3</v>
      </c>
      <c r="O306" s="35">
        <f t="shared" si="187"/>
        <v>4.0983606557377051E-3</v>
      </c>
      <c r="P306" s="35">
        <f t="shared" si="187"/>
        <v>1.6233766233766235E-3</v>
      </c>
      <c r="Q306" s="35">
        <f t="shared" si="187"/>
        <v>2.0325203252032522E-3</v>
      </c>
      <c r="R306" s="35">
        <f t="shared" si="187"/>
        <v>4.7797883236599522E-3</v>
      </c>
      <c r="S306" s="35">
        <f t="shared" si="187"/>
        <v>6.6145520144317502E-3</v>
      </c>
      <c r="T306" s="35">
        <f t="shared" ref="T306:AD306" si="193">T292/T$294</f>
        <v>0</v>
      </c>
      <c r="U306" s="35">
        <f t="shared" si="193"/>
        <v>3.663003663003663E-3</v>
      </c>
      <c r="V306" s="35">
        <f t="shared" si="193"/>
        <v>5.3097345132743362E-3</v>
      </c>
      <c r="W306" s="35">
        <f t="shared" si="193"/>
        <v>5.9694892770285205E-3</v>
      </c>
      <c r="X306" s="35">
        <f t="shared" si="193"/>
        <v>3.2573289902280132E-3</v>
      </c>
      <c r="Y306" s="35">
        <f t="shared" si="193"/>
        <v>3.4305317324185248E-3</v>
      </c>
      <c r="Z306" s="35">
        <f t="shared" si="193"/>
        <v>2.881844380403458E-3</v>
      </c>
      <c r="AA306" s="35">
        <f t="shared" si="193"/>
        <v>7.5471698113207548E-3</v>
      </c>
      <c r="AB306" s="35">
        <f t="shared" si="193"/>
        <v>0</v>
      </c>
      <c r="AC306" s="35">
        <f t="shared" si="193"/>
        <v>3.4904013961605585E-3</v>
      </c>
      <c r="AD306" s="35">
        <f t="shared" si="193"/>
        <v>3.6199095022624436E-3</v>
      </c>
    </row>
    <row r="307" spans="2:30">
      <c r="B307" s="201" t="s">
        <v>338</v>
      </c>
      <c r="C307" s="2" t="s">
        <v>592</v>
      </c>
      <c r="D307" s="35">
        <f t="shared" si="187"/>
        <v>0.21956375838926173</v>
      </c>
      <c r="E307" s="35">
        <f t="shared" si="187"/>
        <v>0.22439024390243903</v>
      </c>
      <c r="F307" s="35">
        <f t="shared" si="187"/>
        <v>0.2146077547339946</v>
      </c>
      <c r="G307" s="35">
        <f t="shared" si="187"/>
        <v>0.1888111888111888</v>
      </c>
      <c r="H307" s="35">
        <f t="shared" si="187"/>
        <v>0.18837535014005602</v>
      </c>
      <c r="I307" s="35">
        <f t="shared" si="187"/>
        <v>0.15068493150684931</v>
      </c>
      <c r="J307" s="35">
        <f t="shared" si="187"/>
        <v>0.15652173913043479</v>
      </c>
      <c r="K307" s="35">
        <f t="shared" si="187"/>
        <v>0.18867924528301888</v>
      </c>
      <c r="L307" s="35">
        <f t="shared" si="187"/>
        <v>0.22319474835886213</v>
      </c>
      <c r="M307" s="35">
        <f t="shared" si="187"/>
        <v>0.19254658385093168</v>
      </c>
      <c r="N307" s="35">
        <f t="shared" si="187"/>
        <v>0.18660287081339713</v>
      </c>
      <c r="O307" s="35">
        <f t="shared" si="187"/>
        <v>0.15778688524590165</v>
      </c>
      <c r="P307" s="35">
        <f t="shared" si="187"/>
        <v>0.14935064935064934</v>
      </c>
      <c r="Q307" s="35">
        <f t="shared" si="187"/>
        <v>0.18495934959349594</v>
      </c>
      <c r="R307" s="35">
        <f t="shared" si="187"/>
        <v>0.24718333902355752</v>
      </c>
      <c r="S307" s="35">
        <f t="shared" si="187"/>
        <v>0.25616355983162958</v>
      </c>
      <c r="T307" s="35">
        <f t="shared" ref="T307:AD307" si="194">T293/T$294</f>
        <v>0.18888888888888888</v>
      </c>
      <c r="U307" s="35">
        <f t="shared" si="194"/>
        <v>0.10256410256410256</v>
      </c>
      <c r="V307" s="35">
        <f t="shared" si="194"/>
        <v>0.17345132743362832</v>
      </c>
      <c r="W307" s="35">
        <f t="shared" si="194"/>
        <v>0.24106419043407767</v>
      </c>
      <c r="X307" s="35">
        <f t="shared" si="194"/>
        <v>0.13355048859934854</v>
      </c>
      <c r="Y307" s="35">
        <f t="shared" si="194"/>
        <v>0.14408233276157806</v>
      </c>
      <c r="Z307" s="35">
        <f t="shared" si="194"/>
        <v>0.17579250720461095</v>
      </c>
      <c r="AA307" s="35">
        <f t="shared" si="194"/>
        <v>0.23773584905660378</v>
      </c>
      <c r="AB307" s="35">
        <f t="shared" si="194"/>
        <v>0.203125</v>
      </c>
      <c r="AC307" s="35">
        <f t="shared" si="194"/>
        <v>0.14659685863874344</v>
      </c>
      <c r="AD307" s="35">
        <f t="shared" si="194"/>
        <v>0.22714932126696832</v>
      </c>
    </row>
    <row r="308" spans="2:30">
      <c r="B308" s="200" t="s">
        <v>16</v>
      </c>
      <c r="C308" s="200" t="s">
        <v>592</v>
      </c>
      <c r="D308" s="145">
        <f t="shared" ref="D308:AD308" si="195">SUM(D301:D307)</f>
        <v>1</v>
      </c>
      <c r="E308" s="145">
        <f t="shared" si="195"/>
        <v>1</v>
      </c>
      <c r="F308" s="145">
        <f t="shared" si="195"/>
        <v>1</v>
      </c>
      <c r="G308" s="145">
        <f t="shared" si="195"/>
        <v>1</v>
      </c>
      <c r="H308" s="145">
        <f t="shared" si="195"/>
        <v>1</v>
      </c>
      <c r="I308" s="145">
        <f t="shared" si="195"/>
        <v>1</v>
      </c>
      <c r="J308" s="145">
        <f t="shared" si="195"/>
        <v>1</v>
      </c>
      <c r="K308" s="145">
        <f t="shared" si="195"/>
        <v>1</v>
      </c>
      <c r="L308" s="145">
        <f t="shared" si="195"/>
        <v>0.99999999999999989</v>
      </c>
      <c r="M308" s="145">
        <f t="shared" si="195"/>
        <v>1</v>
      </c>
      <c r="N308" s="145">
        <f t="shared" si="195"/>
        <v>1</v>
      </c>
      <c r="O308" s="145">
        <f t="shared" si="195"/>
        <v>1</v>
      </c>
      <c r="P308" s="145">
        <f t="shared" si="195"/>
        <v>1</v>
      </c>
      <c r="Q308" s="145">
        <f t="shared" si="195"/>
        <v>1</v>
      </c>
      <c r="R308" s="145">
        <f t="shared" si="195"/>
        <v>1</v>
      </c>
      <c r="S308" s="145">
        <f t="shared" si="195"/>
        <v>1</v>
      </c>
      <c r="T308" s="145">
        <f t="shared" si="195"/>
        <v>1</v>
      </c>
      <c r="U308" s="145">
        <f t="shared" si="195"/>
        <v>0.99999999999999989</v>
      </c>
      <c r="V308" s="145">
        <f t="shared" si="195"/>
        <v>1</v>
      </c>
      <c r="W308" s="145">
        <f t="shared" si="195"/>
        <v>1</v>
      </c>
      <c r="X308" s="145">
        <f t="shared" si="195"/>
        <v>1</v>
      </c>
      <c r="Y308" s="145">
        <f t="shared" si="195"/>
        <v>1</v>
      </c>
      <c r="Z308" s="145">
        <f t="shared" si="195"/>
        <v>1</v>
      </c>
      <c r="AA308" s="145">
        <f t="shared" si="195"/>
        <v>1</v>
      </c>
      <c r="AB308" s="145">
        <f t="shared" si="195"/>
        <v>1</v>
      </c>
      <c r="AC308" s="145">
        <f t="shared" si="195"/>
        <v>1</v>
      </c>
      <c r="AD308" s="145">
        <f t="shared" si="195"/>
        <v>0.99999999999999989</v>
      </c>
    </row>
    <row r="312" spans="2:30" ht="15.6">
      <c r="B312" s="167" t="s">
        <v>606</v>
      </c>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c r="AC312" s="201"/>
      <c r="AD312" s="201"/>
    </row>
    <row r="313" spans="2:30">
      <c r="B313" s="114" t="s">
        <v>588</v>
      </c>
      <c r="C313" s="114" t="s">
        <v>63</v>
      </c>
      <c r="D313" s="114" t="str">
        <f>D300</f>
        <v>IE</v>
      </c>
      <c r="E313" s="114" t="str">
        <f t="shared" ref="E313:AD313" si="196">E300</f>
        <v>IE-CW</v>
      </c>
      <c r="F313" s="114" t="str">
        <f t="shared" si="196"/>
        <v>IE-D</v>
      </c>
      <c r="G313" s="114" t="str">
        <f t="shared" si="196"/>
        <v>IE-KE</v>
      </c>
      <c r="H313" s="114" t="str">
        <f t="shared" si="196"/>
        <v>IE-KK</v>
      </c>
      <c r="I313" s="114" t="str">
        <f t="shared" si="196"/>
        <v>IE-LS</v>
      </c>
      <c r="J313" s="114" t="str">
        <f t="shared" si="196"/>
        <v>IE-LD</v>
      </c>
      <c r="K313" s="114" t="str">
        <f t="shared" si="196"/>
        <v>IE-LH</v>
      </c>
      <c r="L313" s="114" t="str">
        <f t="shared" si="196"/>
        <v>IE-MH</v>
      </c>
      <c r="M313" s="114" t="str">
        <f t="shared" si="196"/>
        <v>IE-OY</v>
      </c>
      <c r="N313" s="114" t="str">
        <f t="shared" si="196"/>
        <v>IE-WH</v>
      </c>
      <c r="O313" s="114" t="str">
        <f t="shared" si="196"/>
        <v>IE-WX</v>
      </c>
      <c r="P313" s="114" t="str">
        <f t="shared" si="196"/>
        <v>IE-WW</v>
      </c>
      <c r="Q313" s="114" t="str">
        <f t="shared" si="196"/>
        <v>IE-CE</v>
      </c>
      <c r="R313" s="114" t="str">
        <f t="shared" si="196"/>
        <v>IE-CO</v>
      </c>
      <c r="S313" s="114" t="str">
        <f t="shared" si="196"/>
        <v>IE-KY</v>
      </c>
      <c r="T313" s="114" t="str">
        <f t="shared" si="196"/>
        <v>IE-LK</v>
      </c>
      <c r="U313" s="114" t="str">
        <f t="shared" si="196"/>
        <v>IE-TA</v>
      </c>
      <c r="V313" s="114" t="str">
        <f t="shared" si="196"/>
        <v>IE-WD</v>
      </c>
      <c r="W313" s="114" t="str">
        <f t="shared" si="196"/>
        <v>IE-G</v>
      </c>
      <c r="X313" s="114" t="str">
        <f t="shared" si="196"/>
        <v>IE-LM</v>
      </c>
      <c r="Y313" s="114" t="str">
        <f t="shared" si="196"/>
        <v>IE-MO</v>
      </c>
      <c r="Z313" s="114" t="str">
        <f t="shared" si="196"/>
        <v>IE-RN</v>
      </c>
      <c r="AA313" s="114" t="str">
        <f t="shared" si="196"/>
        <v>IE-SO</v>
      </c>
      <c r="AB313" s="114" t="str">
        <f t="shared" si="196"/>
        <v>IE-CN</v>
      </c>
      <c r="AC313" s="114" t="str">
        <f t="shared" si="196"/>
        <v>IE-DL</v>
      </c>
      <c r="AD313" s="114" t="str">
        <f t="shared" si="196"/>
        <v>IE-MN</v>
      </c>
    </row>
    <row r="314" spans="2:30">
      <c r="B314" s="201" t="s">
        <v>332</v>
      </c>
      <c r="C314" s="201" t="s">
        <v>593</v>
      </c>
      <c r="D314" s="247">
        <v>1.171188111860114</v>
      </c>
      <c r="E314" s="247">
        <v>1.171188111860114</v>
      </c>
      <c r="F314" s="247">
        <v>1.171188111860114</v>
      </c>
      <c r="G314" s="247">
        <v>1.171188111860114</v>
      </c>
      <c r="H314" s="247">
        <v>1.171188111860114</v>
      </c>
      <c r="I314" s="247">
        <v>1.171188111860114</v>
      </c>
      <c r="J314" s="247">
        <v>1.171188111860114</v>
      </c>
      <c r="K314" s="247">
        <v>1.171188111860114</v>
      </c>
      <c r="L314" s="247">
        <v>1.171188111860114</v>
      </c>
      <c r="M314" s="247">
        <v>1.171188111860114</v>
      </c>
      <c r="N314" s="247">
        <v>1.171188111860114</v>
      </c>
      <c r="O314" s="247">
        <v>1.171188111860114</v>
      </c>
      <c r="P314" s="247">
        <v>1.171188111860114</v>
      </c>
      <c r="Q314" s="247">
        <v>1.171188111860114</v>
      </c>
      <c r="R314" s="247">
        <v>1.171188111860114</v>
      </c>
      <c r="S314" s="247">
        <v>1.171188111860114</v>
      </c>
      <c r="T314" s="247">
        <v>1.171188111860114</v>
      </c>
      <c r="U314" s="247">
        <v>1.171188111860114</v>
      </c>
      <c r="V314" s="247">
        <v>1.171188111860114</v>
      </c>
      <c r="W314" s="247">
        <v>1.171188111860114</v>
      </c>
      <c r="X314" s="247">
        <v>1.171188111860114</v>
      </c>
      <c r="Y314" s="247">
        <v>1.171188111860114</v>
      </c>
      <c r="Z314" s="247">
        <v>1.171188111860114</v>
      </c>
      <c r="AA314" s="247">
        <v>1.171188111860114</v>
      </c>
      <c r="AB314" s="247">
        <v>1.171188111860114</v>
      </c>
      <c r="AC314" s="247">
        <v>1.171188111860114</v>
      </c>
      <c r="AD314" s="247">
        <v>1.171188111860114</v>
      </c>
    </row>
    <row r="315" spans="2:30">
      <c r="B315" s="201" t="s">
        <v>333</v>
      </c>
      <c r="C315" s="201" t="s">
        <v>593</v>
      </c>
      <c r="D315" s="247">
        <v>1.192415230181668</v>
      </c>
      <c r="E315" s="247">
        <v>1.192415230181668</v>
      </c>
      <c r="F315" s="247">
        <v>1.192415230181668</v>
      </c>
      <c r="G315" s="247">
        <v>1.192415230181668</v>
      </c>
      <c r="H315" s="247">
        <v>1.192415230181668</v>
      </c>
      <c r="I315" s="247">
        <v>1.192415230181668</v>
      </c>
      <c r="J315" s="247">
        <v>1.192415230181668</v>
      </c>
      <c r="K315" s="247">
        <v>1.192415230181668</v>
      </c>
      <c r="L315" s="247">
        <v>1.192415230181668</v>
      </c>
      <c r="M315" s="247">
        <v>1.192415230181668</v>
      </c>
      <c r="N315" s="247">
        <v>1.192415230181668</v>
      </c>
      <c r="O315" s="247">
        <v>1.192415230181668</v>
      </c>
      <c r="P315" s="247">
        <v>1.192415230181668</v>
      </c>
      <c r="Q315" s="247">
        <v>1.192415230181668</v>
      </c>
      <c r="R315" s="247">
        <v>1.192415230181668</v>
      </c>
      <c r="S315" s="247">
        <v>1.192415230181668</v>
      </c>
      <c r="T315" s="247">
        <v>1.192415230181668</v>
      </c>
      <c r="U315" s="247">
        <v>1.192415230181668</v>
      </c>
      <c r="V315" s="247">
        <v>1.192415230181668</v>
      </c>
      <c r="W315" s="247">
        <v>1.192415230181668</v>
      </c>
      <c r="X315" s="247">
        <v>1.192415230181668</v>
      </c>
      <c r="Y315" s="247">
        <v>1.192415230181668</v>
      </c>
      <c r="Z315" s="247">
        <v>1.192415230181668</v>
      </c>
      <c r="AA315" s="247">
        <v>1.192415230181668</v>
      </c>
      <c r="AB315" s="247">
        <v>1.192415230181668</v>
      </c>
      <c r="AC315" s="247">
        <v>1.192415230181668</v>
      </c>
      <c r="AD315" s="247">
        <v>1.192415230181668</v>
      </c>
    </row>
    <row r="316" spans="2:30">
      <c r="B316" s="201" t="s">
        <v>334</v>
      </c>
      <c r="C316" s="201" t="s">
        <v>593</v>
      </c>
      <c r="D316" s="247">
        <v>1.3235671555470419</v>
      </c>
      <c r="E316" s="247">
        <v>1.3235671555470419</v>
      </c>
      <c r="F316" s="247">
        <v>1.3235671555470419</v>
      </c>
      <c r="G316" s="247">
        <v>1.3235671555470419</v>
      </c>
      <c r="H316" s="247">
        <v>1.3235671555470419</v>
      </c>
      <c r="I316" s="247">
        <v>1.3235671555470419</v>
      </c>
      <c r="J316" s="247">
        <v>1.3235671555470419</v>
      </c>
      <c r="K316" s="247">
        <v>1.3235671555470419</v>
      </c>
      <c r="L316" s="247">
        <v>1.3235671555470419</v>
      </c>
      <c r="M316" s="247">
        <v>1.3235671555470419</v>
      </c>
      <c r="N316" s="247">
        <v>1.3235671555470419</v>
      </c>
      <c r="O316" s="247">
        <v>1.3235671555470419</v>
      </c>
      <c r="P316" s="247">
        <v>1.3235671555470419</v>
      </c>
      <c r="Q316" s="247">
        <v>1.3235671555470419</v>
      </c>
      <c r="R316" s="247">
        <v>1.3235671555470419</v>
      </c>
      <c r="S316" s="247">
        <v>1.3235671555470419</v>
      </c>
      <c r="T316" s="247">
        <v>1.3235671555470419</v>
      </c>
      <c r="U316" s="247">
        <v>1.3235671555470419</v>
      </c>
      <c r="V316" s="247">
        <v>1.3235671555470419</v>
      </c>
      <c r="W316" s="247">
        <v>1.3235671555470419</v>
      </c>
      <c r="X316" s="247">
        <v>1.3235671555470419</v>
      </c>
      <c r="Y316" s="247">
        <v>1.3235671555470419</v>
      </c>
      <c r="Z316" s="247">
        <v>1.3235671555470419</v>
      </c>
      <c r="AA316" s="247">
        <v>1.3235671555470419</v>
      </c>
      <c r="AB316" s="247">
        <v>1.3235671555470419</v>
      </c>
      <c r="AC316" s="247">
        <v>1.3235671555470419</v>
      </c>
      <c r="AD316" s="247">
        <v>1.3235671555470419</v>
      </c>
    </row>
    <row r="317" spans="2:30">
      <c r="B317" s="201" t="s">
        <v>335</v>
      </c>
      <c r="C317" s="201" t="s">
        <v>593</v>
      </c>
      <c r="D317" s="247">
        <v>1.3373617691545401</v>
      </c>
      <c r="E317" s="247">
        <v>1.3373617691545401</v>
      </c>
      <c r="F317" s="247">
        <v>1.3373617691545401</v>
      </c>
      <c r="G317" s="247">
        <v>1.3373617691545401</v>
      </c>
      <c r="H317" s="247">
        <v>1.3373617691545401</v>
      </c>
      <c r="I317" s="247">
        <v>1.3373617691545401</v>
      </c>
      <c r="J317" s="247">
        <v>1.3373617691545401</v>
      </c>
      <c r="K317" s="247">
        <v>1.3373617691545401</v>
      </c>
      <c r="L317" s="247">
        <v>1.3373617691545401</v>
      </c>
      <c r="M317" s="247">
        <v>1.3373617691545401</v>
      </c>
      <c r="N317" s="247">
        <v>1.3373617691545401</v>
      </c>
      <c r="O317" s="247">
        <v>1.3373617691545401</v>
      </c>
      <c r="P317" s="247">
        <v>1.3373617691545401</v>
      </c>
      <c r="Q317" s="247">
        <v>1.3373617691545401</v>
      </c>
      <c r="R317" s="247">
        <v>1.3373617691545401</v>
      </c>
      <c r="S317" s="247">
        <v>1.3373617691545401</v>
      </c>
      <c r="T317" s="247">
        <v>1.3373617691545401</v>
      </c>
      <c r="U317" s="247">
        <v>1.3373617691545401</v>
      </c>
      <c r="V317" s="247">
        <v>1.3373617691545401</v>
      </c>
      <c r="W317" s="247">
        <v>1.3373617691545401</v>
      </c>
      <c r="X317" s="247">
        <v>1.3373617691545401</v>
      </c>
      <c r="Y317" s="247">
        <v>1.3373617691545401</v>
      </c>
      <c r="Z317" s="247">
        <v>1.3373617691545401</v>
      </c>
      <c r="AA317" s="247">
        <v>1.3373617691545401</v>
      </c>
      <c r="AB317" s="247">
        <v>1.3373617691545401</v>
      </c>
      <c r="AC317" s="247">
        <v>1.3373617691545401</v>
      </c>
      <c r="AD317" s="247">
        <v>1.3373617691545401</v>
      </c>
    </row>
    <row r="318" spans="2:30">
      <c r="B318" s="201" t="s">
        <v>336</v>
      </c>
      <c r="C318" s="201" t="s">
        <v>593</v>
      </c>
      <c r="D318" s="247">
        <v>1.4009525553811268</v>
      </c>
      <c r="E318" s="247">
        <v>1.4009525553811268</v>
      </c>
      <c r="F318" s="247">
        <v>1.4009525553811268</v>
      </c>
      <c r="G318" s="247">
        <v>1.4009525553811268</v>
      </c>
      <c r="H318" s="247">
        <v>1.4009525553811268</v>
      </c>
      <c r="I318" s="247">
        <v>1.4009525553811268</v>
      </c>
      <c r="J318" s="247">
        <v>1.4009525553811268</v>
      </c>
      <c r="K318" s="247">
        <v>1.4009525553811268</v>
      </c>
      <c r="L318" s="247">
        <v>1.4009525553811268</v>
      </c>
      <c r="M318" s="247">
        <v>1.4009525553811268</v>
      </c>
      <c r="N318" s="247">
        <v>1.4009525553811268</v>
      </c>
      <c r="O318" s="247">
        <v>1.4009525553811268</v>
      </c>
      <c r="P318" s="247">
        <v>1.4009525553811268</v>
      </c>
      <c r="Q318" s="247">
        <v>1.4009525553811268</v>
      </c>
      <c r="R318" s="247">
        <v>1.4009525553811268</v>
      </c>
      <c r="S318" s="247">
        <v>1.4009525553811268</v>
      </c>
      <c r="T318" s="247">
        <v>1.4009525553811268</v>
      </c>
      <c r="U318" s="247">
        <v>1.4009525553811268</v>
      </c>
      <c r="V318" s="247">
        <v>1.4009525553811268</v>
      </c>
      <c r="W318" s="247">
        <v>1.4009525553811268</v>
      </c>
      <c r="X318" s="247">
        <v>1.4009525553811268</v>
      </c>
      <c r="Y318" s="247">
        <v>1.4009525553811268</v>
      </c>
      <c r="Z318" s="247">
        <v>1.4009525553811268</v>
      </c>
      <c r="AA318" s="247">
        <v>1.4009525553811268</v>
      </c>
      <c r="AB318" s="247">
        <v>1.4009525553811268</v>
      </c>
      <c r="AC318" s="247">
        <v>1.4009525553811268</v>
      </c>
      <c r="AD318" s="247">
        <v>1.4009525553811268</v>
      </c>
    </row>
    <row r="319" spans="2:30">
      <c r="B319" s="201" t="s">
        <v>337</v>
      </c>
      <c r="C319" s="201" t="s">
        <v>593</v>
      </c>
      <c r="D319" s="247">
        <v>1.4082063462648766</v>
      </c>
      <c r="E319" s="247">
        <v>1.4082063462648766</v>
      </c>
      <c r="F319" s="247">
        <v>1.4082063462648766</v>
      </c>
      <c r="G319" s="247">
        <v>1.4082063462648766</v>
      </c>
      <c r="H319" s="247">
        <v>1.4082063462648766</v>
      </c>
      <c r="I319" s="247">
        <v>1.4082063462648766</v>
      </c>
      <c r="J319" s="247">
        <v>1.4082063462648766</v>
      </c>
      <c r="K319" s="247">
        <v>1.4082063462648766</v>
      </c>
      <c r="L319" s="247">
        <v>1.4082063462648766</v>
      </c>
      <c r="M319" s="247">
        <v>1.4082063462648766</v>
      </c>
      <c r="N319" s="247">
        <v>1.4082063462648766</v>
      </c>
      <c r="O319" s="247">
        <v>1.4082063462648766</v>
      </c>
      <c r="P319" s="247">
        <v>1.4082063462648766</v>
      </c>
      <c r="Q319" s="247">
        <v>1.4082063462648766</v>
      </c>
      <c r="R319" s="247">
        <v>1.4082063462648766</v>
      </c>
      <c r="S319" s="247">
        <v>1.4082063462648766</v>
      </c>
      <c r="T319" s="247">
        <v>1.4082063462648766</v>
      </c>
      <c r="U319" s="247">
        <v>1.4082063462648766</v>
      </c>
      <c r="V319" s="247">
        <v>1.4082063462648766</v>
      </c>
      <c r="W319" s="247">
        <v>1.4082063462648766</v>
      </c>
      <c r="X319" s="247">
        <v>1.4082063462648766</v>
      </c>
      <c r="Y319" s="247">
        <v>1.4082063462648766</v>
      </c>
      <c r="Z319" s="247">
        <v>1.4082063462648766</v>
      </c>
      <c r="AA319" s="247">
        <v>1.4082063462648766</v>
      </c>
      <c r="AB319" s="247">
        <v>1.4082063462648766</v>
      </c>
      <c r="AC319" s="247">
        <v>1.4082063462648766</v>
      </c>
      <c r="AD319" s="247">
        <v>1.4082063462648766</v>
      </c>
    </row>
    <row r="320" spans="2:30">
      <c r="B320" s="200" t="s">
        <v>338</v>
      </c>
      <c r="C320" s="200" t="s">
        <v>593</v>
      </c>
      <c r="D320" s="248">
        <v>1.5780931425905766</v>
      </c>
      <c r="E320" s="248">
        <v>1.5780931425905766</v>
      </c>
      <c r="F320" s="248">
        <v>1.5780931425905766</v>
      </c>
      <c r="G320" s="248">
        <v>1.5780931425905766</v>
      </c>
      <c r="H320" s="248">
        <v>1.5780931425905766</v>
      </c>
      <c r="I320" s="248">
        <v>1.5780931425905766</v>
      </c>
      <c r="J320" s="248">
        <v>1.5780931425905766</v>
      </c>
      <c r="K320" s="248">
        <v>1.5780931425905766</v>
      </c>
      <c r="L320" s="248">
        <v>1.5780931425905766</v>
      </c>
      <c r="M320" s="248">
        <v>1.5780931425905766</v>
      </c>
      <c r="N320" s="248">
        <v>1.5780931425905766</v>
      </c>
      <c r="O320" s="248">
        <v>1.5780931425905766</v>
      </c>
      <c r="P320" s="248">
        <v>1.5780931425905766</v>
      </c>
      <c r="Q320" s="248">
        <v>1.5780931425905766</v>
      </c>
      <c r="R320" s="248">
        <v>1.5780931425905766</v>
      </c>
      <c r="S320" s="248">
        <v>1.5780931425905766</v>
      </c>
      <c r="T320" s="248">
        <v>1.5780931425905766</v>
      </c>
      <c r="U320" s="248">
        <v>1.5780931425905766</v>
      </c>
      <c r="V320" s="248">
        <v>1.5780931425905766</v>
      </c>
      <c r="W320" s="248">
        <v>1.5780931425905766</v>
      </c>
      <c r="X320" s="248">
        <v>1.5780931425905766</v>
      </c>
      <c r="Y320" s="248">
        <v>1.5780931425905766</v>
      </c>
      <c r="Z320" s="248">
        <v>1.5780931425905766</v>
      </c>
      <c r="AA320" s="248">
        <v>1.5780931425905766</v>
      </c>
      <c r="AB320" s="248">
        <v>1.5780931425905766</v>
      </c>
      <c r="AC320" s="248">
        <v>1.5780931425905766</v>
      </c>
      <c r="AD320" s="248">
        <v>1.5780931425905766</v>
      </c>
    </row>
    <row r="321" spans="2:30">
      <c r="B321" s="252" t="s">
        <v>597</v>
      </c>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c r="AC321" s="201"/>
      <c r="AD321" s="201"/>
    </row>
    <row r="325" spans="2:30" ht="15.6">
      <c r="B325" s="167" t="s">
        <v>606</v>
      </c>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114" t="s">
        <v>588</v>
      </c>
      <c r="C326" s="114" t="s">
        <v>63</v>
      </c>
      <c r="D326" s="114" t="str">
        <f>D313</f>
        <v>IE</v>
      </c>
      <c r="E326" s="114" t="str">
        <f t="shared" ref="E326:AD326" si="197">E313</f>
        <v>IE-CW</v>
      </c>
      <c r="F326" s="114" t="str">
        <f t="shared" si="197"/>
        <v>IE-D</v>
      </c>
      <c r="G326" s="114" t="str">
        <f t="shared" si="197"/>
        <v>IE-KE</v>
      </c>
      <c r="H326" s="114" t="str">
        <f t="shared" si="197"/>
        <v>IE-KK</v>
      </c>
      <c r="I326" s="114" t="str">
        <f t="shared" si="197"/>
        <v>IE-LS</v>
      </c>
      <c r="J326" s="114" t="str">
        <f t="shared" si="197"/>
        <v>IE-LD</v>
      </c>
      <c r="K326" s="114" t="str">
        <f t="shared" si="197"/>
        <v>IE-LH</v>
      </c>
      <c r="L326" s="114" t="str">
        <f t="shared" si="197"/>
        <v>IE-MH</v>
      </c>
      <c r="M326" s="114" t="str">
        <f t="shared" si="197"/>
        <v>IE-OY</v>
      </c>
      <c r="N326" s="114" t="str">
        <f t="shared" si="197"/>
        <v>IE-WH</v>
      </c>
      <c r="O326" s="114" t="str">
        <f t="shared" si="197"/>
        <v>IE-WX</v>
      </c>
      <c r="P326" s="114" t="str">
        <f t="shared" si="197"/>
        <v>IE-WW</v>
      </c>
      <c r="Q326" s="114" t="str">
        <f t="shared" si="197"/>
        <v>IE-CE</v>
      </c>
      <c r="R326" s="114" t="str">
        <f t="shared" si="197"/>
        <v>IE-CO</v>
      </c>
      <c r="S326" s="114" t="str">
        <f t="shared" si="197"/>
        <v>IE-KY</v>
      </c>
      <c r="T326" s="114" t="str">
        <f t="shared" si="197"/>
        <v>IE-LK</v>
      </c>
      <c r="U326" s="114" t="str">
        <f t="shared" si="197"/>
        <v>IE-TA</v>
      </c>
      <c r="V326" s="114" t="str">
        <f t="shared" si="197"/>
        <v>IE-WD</v>
      </c>
      <c r="W326" s="114" t="str">
        <f t="shared" si="197"/>
        <v>IE-G</v>
      </c>
      <c r="X326" s="114" t="str">
        <f t="shared" si="197"/>
        <v>IE-LM</v>
      </c>
      <c r="Y326" s="114" t="str">
        <f t="shared" si="197"/>
        <v>IE-MO</v>
      </c>
      <c r="Z326" s="114" t="str">
        <f t="shared" si="197"/>
        <v>IE-RN</v>
      </c>
      <c r="AA326" s="114" t="str">
        <f t="shared" si="197"/>
        <v>IE-SO</v>
      </c>
      <c r="AB326" s="114" t="str">
        <f t="shared" si="197"/>
        <v>IE-CN</v>
      </c>
      <c r="AC326" s="114" t="str">
        <f t="shared" si="197"/>
        <v>IE-DL</v>
      </c>
      <c r="AD326" s="114" t="str">
        <f t="shared" si="197"/>
        <v>IE-MN</v>
      </c>
    </row>
    <row r="327" spans="2:30">
      <c r="B327" s="201" t="s">
        <v>609</v>
      </c>
      <c r="C327" s="201" t="s">
        <v>593</v>
      </c>
      <c r="D327" s="247">
        <f>SUMPRODUCT(D301:D307,D314:D320)</f>
        <v>1.415243477594188</v>
      </c>
      <c r="E327" s="247">
        <f>IF(E294&gt;1,SUMPRODUCT(E301:E307,E314:E320),$D$230)</f>
        <v>1.4132404850977942</v>
      </c>
      <c r="F327" s="247">
        <f t="shared" ref="F327:AD327" si="198">IF(F294&gt;1,SUMPRODUCT(F301:F307,F314:F320),$D$230)</f>
        <v>1.4121585244619679</v>
      </c>
      <c r="G327" s="247">
        <f t="shared" si="198"/>
        <v>1.4101384800844001</v>
      </c>
      <c r="H327" s="247">
        <f t="shared" si="198"/>
        <v>1.4083306140887928</v>
      </c>
      <c r="I327" s="247">
        <f t="shared" si="198"/>
        <v>1.3988182784722314</v>
      </c>
      <c r="J327" s="247">
        <f t="shared" si="198"/>
        <v>1.4042052783385763</v>
      </c>
      <c r="K327" s="247">
        <f t="shared" si="198"/>
        <v>1.4143105034398209</v>
      </c>
      <c r="L327" s="247">
        <f t="shared" si="198"/>
        <v>1.4196897338621113</v>
      </c>
      <c r="M327" s="247">
        <f t="shared" si="198"/>
        <v>1.4104645061332943</v>
      </c>
      <c r="N327" s="247">
        <f t="shared" si="198"/>
        <v>1.404434721935685</v>
      </c>
      <c r="O327" s="247">
        <f t="shared" si="198"/>
        <v>1.4035583585869964</v>
      </c>
      <c r="P327" s="247">
        <f t="shared" si="198"/>
        <v>1.400731446392756</v>
      </c>
      <c r="Q327" s="247">
        <f t="shared" si="198"/>
        <v>1.4060354775668111</v>
      </c>
      <c r="R327" s="247">
        <f t="shared" si="198"/>
        <v>1.4238256724575309</v>
      </c>
      <c r="S327" s="247">
        <f t="shared" si="198"/>
        <v>1.4256423025955085</v>
      </c>
      <c r="T327" s="247">
        <f t="shared" si="198"/>
        <v>1.4090097968076738</v>
      </c>
      <c r="U327" s="247">
        <f t="shared" si="198"/>
        <v>1.3896881220813402</v>
      </c>
      <c r="V327" s="247">
        <f t="shared" si="198"/>
        <v>1.4046835094796584</v>
      </c>
      <c r="W327" s="247">
        <f t="shared" si="198"/>
        <v>1.4189534480634474</v>
      </c>
      <c r="X327" s="247">
        <f t="shared" si="198"/>
        <v>1.3923344475681962</v>
      </c>
      <c r="Y327" s="247">
        <f t="shared" si="198"/>
        <v>1.3984045051111655</v>
      </c>
      <c r="Z327" s="247">
        <f t="shared" si="198"/>
        <v>1.4028667301014628</v>
      </c>
      <c r="AA327" s="247">
        <f t="shared" si="198"/>
        <v>1.4239456186936073</v>
      </c>
      <c r="AB327" s="247">
        <f t="shared" si="198"/>
        <v>1.4115999309980802</v>
      </c>
      <c r="AC327" s="247">
        <f t="shared" si="198"/>
        <v>1.4032700951958821</v>
      </c>
      <c r="AD327" s="247">
        <f t="shared" si="198"/>
        <v>1.4165517672510526</v>
      </c>
    </row>
    <row r="328" spans="2:30">
      <c r="B328" s="200"/>
      <c r="C328" s="200" t="s">
        <v>581</v>
      </c>
      <c r="D328" s="250">
        <f>1000/D327</f>
        <v>706.59219832613394</v>
      </c>
      <c r="E328" s="250">
        <f>1000/E327</f>
        <v>707.59365482711985</v>
      </c>
      <c r="F328" s="250">
        <f>1000/F327</f>
        <v>708.13579543486435</v>
      </c>
      <c r="G328" s="250">
        <f>1000/G327</f>
        <v>709.15021050992641</v>
      </c>
      <c r="H328" s="250">
        <f t="shared" ref="H328" si="199">1000/H327</f>
        <v>710.06054259994357</v>
      </c>
      <c r="I328" s="250">
        <f t="shared" ref="I328" si="200">1000/I327</f>
        <v>714.88914277856395</v>
      </c>
      <c r="J328" s="250">
        <f t="shared" ref="J328" si="201">1000/J327</f>
        <v>712.14658955218943</v>
      </c>
      <c r="K328" s="250">
        <f t="shared" ref="K328" si="202">1000/K327</f>
        <v>707.0583139754998</v>
      </c>
      <c r="L328" s="250">
        <f t="shared" ref="L328" si="203">1000/L327</f>
        <v>704.37925706457634</v>
      </c>
      <c r="M328" s="250">
        <f t="shared" ref="M328" si="204">1000/M327</f>
        <v>708.98629185745438</v>
      </c>
      <c r="N328" s="250">
        <f t="shared" ref="N328" si="205">1000/N327</f>
        <v>712.03024560780852</v>
      </c>
      <c r="O328" s="250">
        <f t="shared" ref="O328" si="206">1000/O327</f>
        <v>712.47482791291236</v>
      </c>
      <c r="P328" s="250">
        <f t="shared" ref="P328" si="207">1000/P327</f>
        <v>713.91272222470434</v>
      </c>
      <c r="Q328" s="250">
        <f t="shared" ref="Q328" si="208">1000/Q327</f>
        <v>711.21960715424598</v>
      </c>
      <c r="R328" s="250">
        <f t="shared" ref="R328" si="209">1000/R327</f>
        <v>702.33317135938034</v>
      </c>
      <c r="S328" s="250">
        <f t="shared" ref="S328" si="210">1000/S327</f>
        <v>701.43822063880339</v>
      </c>
      <c r="T328" s="250">
        <f t="shared" ref="T328" si="211">1000/T327</f>
        <v>709.71827326229538</v>
      </c>
      <c r="U328" s="250">
        <f t="shared" ref="U328" si="212">1000/U327</f>
        <v>719.58591579691779</v>
      </c>
      <c r="V328" s="250">
        <f t="shared" ref="V328" si="213">1000/V327</f>
        <v>711.90413587928674</v>
      </c>
      <c r="W328" s="250">
        <f t="shared" ref="W328" si="214">1000/W327</f>
        <v>704.74475492115357</v>
      </c>
      <c r="X328" s="250">
        <f t="shared" ref="X328" si="215">1000/X327</f>
        <v>718.2182425684905</v>
      </c>
      <c r="Y328" s="250">
        <f t="shared" ref="Y328" si="216">1000/Y327</f>
        <v>715.10067104689813</v>
      </c>
      <c r="Z328" s="250">
        <f t="shared" ref="Z328" si="217">1000/Z327</f>
        <v>712.8260857164064</v>
      </c>
      <c r="AA328" s="250">
        <f t="shared" ref="AA328" si="218">1000/AA327</f>
        <v>702.27401023744551</v>
      </c>
      <c r="AB328" s="250">
        <f t="shared" ref="AB328" si="219">1000/AB327</f>
        <v>708.41601649338702</v>
      </c>
      <c r="AC328" s="250">
        <f t="shared" ref="AC328" si="220">1000/AC327</f>
        <v>712.62118634432261</v>
      </c>
      <c r="AD328" s="250">
        <f t="shared" ref="AD328" si="221">1000/AD327</f>
        <v>705.93960850480664</v>
      </c>
    </row>
    <row r="332" spans="2:30">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row>
    <row r="333" spans="2:30" ht="15.6">
      <c r="B333" s="143" t="s">
        <v>610</v>
      </c>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c r="AC333" s="201"/>
      <c r="AD333" s="201"/>
    </row>
    <row r="334" spans="2:30">
      <c r="B334" s="114" t="s">
        <v>588</v>
      </c>
      <c r="C334" s="114" t="s">
        <v>63</v>
      </c>
      <c r="D334" s="114" t="str">
        <f t="shared" ref="D334:AD334" si="222">D326</f>
        <v>IE</v>
      </c>
      <c r="E334" s="114" t="str">
        <f t="shared" si="222"/>
        <v>IE-CW</v>
      </c>
      <c r="F334" s="114" t="str">
        <f t="shared" si="222"/>
        <v>IE-D</v>
      </c>
      <c r="G334" s="114" t="str">
        <f t="shared" si="222"/>
        <v>IE-KE</v>
      </c>
      <c r="H334" s="114" t="str">
        <f t="shared" si="222"/>
        <v>IE-KK</v>
      </c>
      <c r="I334" s="114" t="str">
        <f t="shared" si="222"/>
        <v>IE-LS</v>
      </c>
      <c r="J334" s="114" t="str">
        <f t="shared" si="222"/>
        <v>IE-LD</v>
      </c>
      <c r="K334" s="114" t="str">
        <f t="shared" si="222"/>
        <v>IE-LH</v>
      </c>
      <c r="L334" s="114" t="str">
        <f t="shared" si="222"/>
        <v>IE-MH</v>
      </c>
      <c r="M334" s="114" t="str">
        <f t="shared" si="222"/>
        <v>IE-OY</v>
      </c>
      <c r="N334" s="114" t="str">
        <f t="shared" si="222"/>
        <v>IE-WH</v>
      </c>
      <c r="O334" s="114" t="str">
        <f t="shared" si="222"/>
        <v>IE-WX</v>
      </c>
      <c r="P334" s="114" t="str">
        <f t="shared" si="222"/>
        <v>IE-WW</v>
      </c>
      <c r="Q334" s="114" t="str">
        <f t="shared" si="222"/>
        <v>IE-CE</v>
      </c>
      <c r="R334" s="114" t="str">
        <f t="shared" si="222"/>
        <v>IE-CO</v>
      </c>
      <c r="S334" s="114" t="str">
        <f t="shared" si="222"/>
        <v>IE-KY</v>
      </c>
      <c r="T334" s="114" t="str">
        <f t="shared" si="222"/>
        <v>IE-LK</v>
      </c>
      <c r="U334" s="114" t="str">
        <f t="shared" si="222"/>
        <v>IE-TA</v>
      </c>
      <c r="V334" s="114" t="str">
        <f t="shared" si="222"/>
        <v>IE-WD</v>
      </c>
      <c r="W334" s="114" t="str">
        <f t="shared" si="222"/>
        <v>IE-G</v>
      </c>
      <c r="X334" s="114" t="str">
        <f t="shared" si="222"/>
        <v>IE-LM</v>
      </c>
      <c r="Y334" s="114" t="str">
        <f t="shared" si="222"/>
        <v>IE-MO</v>
      </c>
      <c r="Z334" s="114" t="str">
        <f t="shared" si="222"/>
        <v>IE-RN</v>
      </c>
      <c r="AA334" s="114" t="str">
        <f t="shared" si="222"/>
        <v>IE-SO</v>
      </c>
      <c r="AB334" s="114" t="str">
        <f t="shared" si="222"/>
        <v>IE-CN</v>
      </c>
      <c r="AC334" s="114" t="str">
        <f t="shared" si="222"/>
        <v>IE-DL</v>
      </c>
      <c r="AD334" s="114" t="str">
        <f t="shared" si="222"/>
        <v>IE-MN</v>
      </c>
    </row>
    <row r="335" spans="2:30">
      <c r="B335" s="201" t="s">
        <v>332</v>
      </c>
      <c r="C335" s="201" t="s">
        <v>516</v>
      </c>
      <c r="D335" s="205">
        <f>SUM(E335:AD335)</f>
        <v>0</v>
      </c>
      <c r="E335" s="255">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c r="AD335" s="255">
        <v>0</v>
      </c>
    </row>
    <row r="336" spans="2:30">
      <c r="B336" s="201" t="s">
        <v>333</v>
      </c>
      <c r="C336" s="201" t="s">
        <v>516</v>
      </c>
      <c r="D336" s="205">
        <f t="shared" ref="D336:D341" si="223">SUM(E336:AD336)</f>
        <v>0</v>
      </c>
      <c r="E336" s="255">
        <v>0</v>
      </c>
      <c r="F336" s="255">
        <v>0</v>
      </c>
      <c r="G336" s="255">
        <v>0</v>
      </c>
      <c r="H336" s="255">
        <v>0</v>
      </c>
      <c r="I336" s="255">
        <v>0</v>
      </c>
      <c r="J336" s="255">
        <v>0</v>
      </c>
      <c r="K336" s="255">
        <v>0</v>
      </c>
      <c r="L336" s="255">
        <v>0</v>
      </c>
      <c r="M336" s="255">
        <v>0</v>
      </c>
      <c r="N336" s="255">
        <v>0</v>
      </c>
      <c r="O336" s="255">
        <v>0</v>
      </c>
      <c r="P336" s="255">
        <v>0</v>
      </c>
      <c r="Q336" s="255">
        <v>0</v>
      </c>
      <c r="R336" s="255">
        <v>0</v>
      </c>
      <c r="S336" s="255">
        <v>0</v>
      </c>
      <c r="T336" s="255">
        <v>0</v>
      </c>
      <c r="U336" s="255">
        <v>0</v>
      </c>
      <c r="V336" s="255">
        <v>0</v>
      </c>
      <c r="W336" s="255">
        <v>0</v>
      </c>
      <c r="X336" s="255">
        <v>0</v>
      </c>
      <c r="Y336" s="255">
        <v>0</v>
      </c>
      <c r="Z336" s="255">
        <v>0</v>
      </c>
      <c r="AA336" s="255">
        <v>0</v>
      </c>
      <c r="AB336" s="255">
        <v>0</v>
      </c>
      <c r="AC336" s="255">
        <v>0</v>
      </c>
      <c r="AD336" s="255">
        <v>0</v>
      </c>
    </row>
    <row r="337" spans="2:30">
      <c r="B337" s="201" t="s">
        <v>334</v>
      </c>
      <c r="C337" s="201" t="s">
        <v>516</v>
      </c>
      <c r="D337" s="205">
        <f t="shared" si="223"/>
        <v>1</v>
      </c>
      <c r="E337" s="255">
        <v>0</v>
      </c>
      <c r="F337" s="255">
        <v>0</v>
      </c>
      <c r="G337" s="255">
        <v>0</v>
      </c>
      <c r="H337" s="255">
        <v>0</v>
      </c>
      <c r="I337" s="255">
        <v>0</v>
      </c>
      <c r="J337" s="255">
        <v>0</v>
      </c>
      <c r="K337" s="255">
        <v>0</v>
      </c>
      <c r="L337" s="255">
        <v>0</v>
      </c>
      <c r="M337" s="255">
        <v>0</v>
      </c>
      <c r="N337" s="255">
        <v>1</v>
      </c>
      <c r="O337" s="255">
        <v>0</v>
      </c>
      <c r="P337" s="255">
        <v>0</v>
      </c>
      <c r="Q337" s="255">
        <v>0</v>
      </c>
      <c r="R337" s="255">
        <v>0</v>
      </c>
      <c r="S337" s="255">
        <v>0</v>
      </c>
      <c r="T337" s="255">
        <v>0</v>
      </c>
      <c r="U337" s="255">
        <v>0</v>
      </c>
      <c r="V337" s="255">
        <v>0</v>
      </c>
      <c r="W337" s="255">
        <v>0</v>
      </c>
      <c r="X337" s="255">
        <v>0</v>
      </c>
      <c r="Y337" s="255">
        <v>0</v>
      </c>
      <c r="Z337" s="255">
        <v>0</v>
      </c>
      <c r="AA337" s="255">
        <v>0</v>
      </c>
      <c r="AB337" s="255">
        <v>0</v>
      </c>
      <c r="AC337" s="255">
        <v>0</v>
      </c>
      <c r="AD337" s="255">
        <v>0</v>
      </c>
    </row>
    <row r="338" spans="2:30">
      <c r="B338" s="201" t="s">
        <v>335</v>
      </c>
      <c r="C338" s="201" t="s">
        <v>516</v>
      </c>
      <c r="D338" s="205">
        <f t="shared" si="223"/>
        <v>4</v>
      </c>
      <c r="E338" s="255">
        <v>0</v>
      </c>
      <c r="F338" s="255">
        <v>0</v>
      </c>
      <c r="G338" s="255">
        <v>1</v>
      </c>
      <c r="H338" s="255">
        <v>0</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0</v>
      </c>
      <c r="AA338" s="255">
        <v>1</v>
      </c>
      <c r="AB338" s="255">
        <v>1</v>
      </c>
      <c r="AC338" s="255">
        <v>1</v>
      </c>
      <c r="AD338" s="255">
        <v>0</v>
      </c>
    </row>
    <row r="339" spans="2:30">
      <c r="B339" s="201" t="s">
        <v>336</v>
      </c>
      <c r="C339" s="201" t="s">
        <v>516</v>
      </c>
      <c r="D339" s="205">
        <f t="shared" si="223"/>
        <v>0</v>
      </c>
      <c r="E339" s="255">
        <v>0</v>
      </c>
      <c r="F339" s="255">
        <v>0</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c r="AD339" s="255">
        <v>0</v>
      </c>
    </row>
    <row r="340" spans="2:30">
      <c r="B340" s="201" t="s">
        <v>337</v>
      </c>
      <c r="C340" s="201" t="s">
        <v>516</v>
      </c>
      <c r="D340" s="205">
        <f t="shared" si="223"/>
        <v>110</v>
      </c>
      <c r="E340" s="255">
        <v>2</v>
      </c>
      <c r="F340" s="255">
        <v>5</v>
      </c>
      <c r="G340" s="255">
        <v>3</v>
      </c>
      <c r="H340" s="255">
        <v>8</v>
      </c>
      <c r="I340" s="255">
        <v>2</v>
      </c>
      <c r="J340" s="255">
        <v>1</v>
      </c>
      <c r="K340" s="255">
        <v>1</v>
      </c>
      <c r="L340" s="255">
        <v>1</v>
      </c>
      <c r="M340" s="255">
        <v>0</v>
      </c>
      <c r="N340" s="255">
        <v>5</v>
      </c>
      <c r="O340" s="255">
        <v>3</v>
      </c>
      <c r="P340" s="255">
        <v>1</v>
      </c>
      <c r="Q340" s="255">
        <v>3</v>
      </c>
      <c r="R340" s="255">
        <v>15</v>
      </c>
      <c r="S340" s="255">
        <v>2</v>
      </c>
      <c r="T340" s="255">
        <v>0</v>
      </c>
      <c r="U340" s="255">
        <v>1</v>
      </c>
      <c r="V340" s="255">
        <v>3</v>
      </c>
      <c r="W340" s="255">
        <v>35</v>
      </c>
      <c r="X340" s="255">
        <v>1</v>
      </c>
      <c r="Y340" s="255">
        <v>0</v>
      </c>
      <c r="Z340" s="255">
        <v>3</v>
      </c>
      <c r="AA340" s="255">
        <v>0</v>
      </c>
      <c r="AB340" s="255">
        <v>3</v>
      </c>
      <c r="AC340" s="255">
        <v>6</v>
      </c>
      <c r="AD340" s="255">
        <v>6</v>
      </c>
    </row>
    <row r="341" spans="2:30">
      <c r="B341" s="201" t="s">
        <v>338</v>
      </c>
      <c r="C341" s="201" t="s">
        <v>516</v>
      </c>
      <c r="D341" s="205">
        <f t="shared" si="223"/>
        <v>658</v>
      </c>
      <c r="E341" s="255">
        <v>12</v>
      </c>
      <c r="F341" s="255">
        <v>28</v>
      </c>
      <c r="G341" s="255">
        <v>15</v>
      </c>
      <c r="H341" s="255">
        <v>35</v>
      </c>
      <c r="I341" s="255">
        <v>14</v>
      </c>
      <c r="J341" s="255">
        <v>23</v>
      </c>
      <c r="K341" s="255">
        <v>7</v>
      </c>
      <c r="L341" s="255">
        <v>12</v>
      </c>
      <c r="M341" s="255">
        <v>10</v>
      </c>
      <c r="N341" s="255">
        <v>17</v>
      </c>
      <c r="O341" s="255">
        <v>13</v>
      </c>
      <c r="P341" s="255">
        <v>16</v>
      </c>
      <c r="Q341" s="255">
        <v>10</v>
      </c>
      <c r="R341" s="255">
        <v>56</v>
      </c>
      <c r="S341" s="255">
        <v>30</v>
      </c>
      <c r="T341" s="255">
        <v>2</v>
      </c>
      <c r="U341" s="255">
        <v>3</v>
      </c>
      <c r="V341" s="255">
        <v>10</v>
      </c>
      <c r="W341" s="255">
        <v>252</v>
      </c>
      <c r="X341" s="255">
        <v>15</v>
      </c>
      <c r="Y341" s="255">
        <v>17</v>
      </c>
      <c r="Z341" s="255">
        <v>8</v>
      </c>
      <c r="AA341" s="255">
        <v>4</v>
      </c>
      <c r="AB341" s="255">
        <v>12</v>
      </c>
      <c r="AC341" s="255">
        <v>5</v>
      </c>
      <c r="AD341" s="255">
        <v>32</v>
      </c>
    </row>
    <row r="342" spans="2:30">
      <c r="B342" s="200" t="s">
        <v>16</v>
      </c>
      <c r="C342" s="200" t="s">
        <v>516</v>
      </c>
      <c r="D342" s="246">
        <f>SUM(D335:D341)</f>
        <v>773</v>
      </c>
      <c r="E342" s="246">
        <f>SUM(E335:E341)</f>
        <v>14</v>
      </c>
      <c r="F342" s="246">
        <f t="shared" ref="F342:AD342" si="224">SUM(F335:F341)</f>
        <v>33</v>
      </c>
      <c r="G342" s="246">
        <f t="shared" si="224"/>
        <v>19</v>
      </c>
      <c r="H342" s="246">
        <f t="shared" si="224"/>
        <v>43</v>
      </c>
      <c r="I342" s="246">
        <f t="shared" si="224"/>
        <v>16</v>
      </c>
      <c r="J342" s="246">
        <f t="shared" si="224"/>
        <v>24</v>
      </c>
      <c r="K342" s="246">
        <f t="shared" si="224"/>
        <v>8</v>
      </c>
      <c r="L342" s="246">
        <f t="shared" si="224"/>
        <v>13</v>
      </c>
      <c r="M342" s="246">
        <f t="shared" si="224"/>
        <v>10</v>
      </c>
      <c r="N342" s="246">
        <f t="shared" si="224"/>
        <v>23</v>
      </c>
      <c r="O342" s="246">
        <f t="shared" si="224"/>
        <v>16</v>
      </c>
      <c r="P342" s="246">
        <f t="shared" si="224"/>
        <v>17</v>
      </c>
      <c r="Q342" s="246">
        <f t="shared" si="224"/>
        <v>13</v>
      </c>
      <c r="R342" s="246">
        <f t="shared" si="224"/>
        <v>71</v>
      </c>
      <c r="S342" s="246">
        <f t="shared" si="224"/>
        <v>32</v>
      </c>
      <c r="T342" s="246">
        <f t="shared" si="224"/>
        <v>2</v>
      </c>
      <c r="U342" s="246">
        <f t="shared" si="224"/>
        <v>4</v>
      </c>
      <c r="V342" s="246">
        <f t="shared" si="224"/>
        <v>13</v>
      </c>
      <c r="W342" s="246">
        <f t="shared" si="224"/>
        <v>287</v>
      </c>
      <c r="X342" s="246">
        <f t="shared" si="224"/>
        <v>16</v>
      </c>
      <c r="Y342" s="246">
        <f t="shared" si="224"/>
        <v>17</v>
      </c>
      <c r="Z342" s="246">
        <f t="shared" si="224"/>
        <v>11</v>
      </c>
      <c r="AA342" s="246">
        <f t="shared" si="224"/>
        <v>5</v>
      </c>
      <c r="AB342" s="246">
        <f t="shared" si="224"/>
        <v>16</v>
      </c>
      <c r="AC342" s="246">
        <f t="shared" si="224"/>
        <v>12</v>
      </c>
      <c r="AD342" s="246">
        <f t="shared" si="224"/>
        <v>38</v>
      </c>
    </row>
    <row r="343" spans="2:30">
      <c r="B343" s="201" t="s">
        <v>599</v>
      </c>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c r="AC343" s="201"/>
      <c r="AD343" s="201"/>
    </row>
    <row r="344" spans="2:30">
      <c r="B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c r="AC344" s="201"/>
      <c r="AD344" s="201"/>
    </row>
    <row r="345" spans="2:30">
      <c r="B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c r="AC345" s="201"/>
      <c r="AD345" s="201"/>
    </row>
    <row r="346" spans="2:30">
      <c r="B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c r="AC346" s="201"/>
      <c r="AD346" s="201"/>
    </row>
    <row r="347" spans="2:30" ht="15.6">
      <c r="B347" s="143" t="s">
        <v>611</v>
      </c>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c r="AC347" s="201"/>
      <c r="AD347" s="201"/>
    </row>
    <row r="348" spans="2:30">
      <c r="B348" s="114" t="s">
        <v>588</v>
      </c>
      <c r="C348" s="114" t="s">
        <v>63</v>
      </c>
      <c r="D348" s="114" t="str">
        <f>D334</f>
        <v>IE</v>
      </c>
      <c r="E348" s="114" t="str">
        <f t="shared" ref="E348:AD348" si="225">E334</f>
        <v>IE-CW</v>
      </c>
      <c r="F348" s="114" t="str">
        <f t="shared" si="225"/>
        <v>IE-D</v>
      </c>
      <c r="G348" s="114" t="str">
        <f t="shared" si="225"/>
        <v>IE-KE</v>
      </c>
      <c r="H348" s="114" t="str">
        <f t="shared" si="225"/>
        <v>IE-KK</v>
      </c>
      <c r="I348" s="114" t="str">
        <f t="shared" si="225"/>
        <v>IE-LS</v>
      </c>
      <c r="J348" s="114" t="str">
        <f t="shared" si="225"/>
        <v>IE-LD</v>
      </c>
      <c r="K348" s="114" t="str">
        <f t="shared" si="225"/>
        <v>IE-LH</v>
      </c>
      <c r="L348" s="114" t="str">
        <f t="shared" si="225"/>
        <v>IE-MH</v>
      </c>
      <c r="M348" s="114" t="str">
        <f t="shared" si="225"/>
        <v>IE-OY</v>
      </c>
      <c r="N348" s="114" t="str">
        <f t="shared" si="225"/>
        <v>IE-WH</v>
      </c>
      <c r="O348" s="114" t="str">
        <f t="shared" si="225"/>
        <v>IE-WX</v>
      </c>
      <c r="P348" s="114" t="str">
        <f t="shared" si="225"/>
        <v>IE-WW</v>
      </c>
      <c r="Q348" s="114" t="str">
        <f t="shared" si="225"/>
        <v>IE-CE</v>
      </c>
      <c r="R348" s="114" t="str">
        <f t="shared" si="225"/>
        <v>IE-CO</v>
      </c>
      <c r="S348" s="114" t="str">
        <f t="shared" si="225"/>
        <v>IE-KY</v>
      </c>
      <c r="T348" s="114" t="str">
        <f t="shared" si="225"/>
        <v>IE-LK</v>
      </c>
      <c r="U348" s="114" t="str">
        <f t="shared" si="225"/>
        <v>IE-TA</v>
      </c>
      <c r="V348" s="114" t="str">
        <f t="shared" si="225"/>
        <v>IE-WD</v>
      </c>
      <c r="W348" s="114" t="str">
        <f t="shared" si="225"/>
        <v>IE-G</v>
      </c>
      <c r="X348" s="114" t="str">
        <f t="shared" si="225"/>
        <v>IE-LM</v>
      </c>
      <c r="Y348" s="114" t="str">
        <f t="shared" si="225"/>
        <v>IE-MO</v>
      </c>
      <c r="Z348" s="114" t="str">
        <f t="shared" si="225"/>
        <v>IE-RN</v>
      </c>
      <c r="AA348" s="114" t="str">
        <f t="shared" si="225"/>
        <v>IE-SO</v>
      </c>
      <c r="AB348" s="114" t="str">
        <f t="shared" si="225"/>
        <v>IE-CN</v>
      </c>
      <c r="AC348" s="114" t="str">
        <f t="shared" si="225"/>
        <v>IE-DL</v>
      </c>
      <c r="AD348" s="114" t="str">
        <f t="shared" si="225"/>
        <v>IE-MN</v>
      </c>
    </row>
    <row r="349" spans="2:30">
      <c r="B349" s="201" t="s">
        <v>332</v>
      </c>
      <c r="C349" s="249" t="s">
        <v>592</v>
      </c>
      <c r="D349" s="35">
        <f>D335/D$342</f>
        <v>0</v>
      </c>
      <c r="E349" s="35">
        <f t="shared" ref="E349:AD355" si="226">E335/E$342</f>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c r="AD349" s="35">
        <f t="shared" si="226"/>
        <v>0</v>
      </c>
    </row>
    <row r="350" spans="2:30">
      <c r="B350" s="201" t="s">
        <v>333</v>
      </c>
      <c r="C350" s="2" t="s">
        <v>592</v>
      </c>
      <c r="D350" s="35">
        <f t="shared" ref="D350:S355" si="227">D336/D$342</f>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7"/>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c r="AD350" s="35">
        <f t="shared" si="226"/>
        <v>0</v>
      </c>
    </row>
    <row r="351" spans="2:30">
      <c r="B351" s="201" t="s">
        <v>334</v>
      </c>
      <c r="C351" s="2" t="s">
        <v>592</v>
      </c>
      <c r="D351" s="35">
        <f t="shared" si="227"/>
        <v>1.29366106080207E-3</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0</v>
      </c>
      <c r="N351" s="35">
        <f t="shared" si="226"/>
        <v>4.3478260869565216E-2</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c r="AD351" s="35">
        <f t="shared" si="226"/>
        <v>0</v>
      </c>
    </row>
    <row r="352" spans="2:30">
      <c r="B352" s="201" t="s">
        <v>335</v>
      </c>
      <c r="C352" s="2" t="s">
        <v>592</v>
      </c>
      <c r="D352" s="35">
        <f t="shared" si="227"/>
        <v>5.1746442432082798E-3</v>
      </c>
      <c r="E352" s="35">
        <f t="shared" si="226"/>
        <v>0</v>
      </c>
      <c r="F352" s="35">
        <f t="shared" si="226"/>
        <v>0</v>
      </c>
      <c r="G352" s="35">
        <f t="shared" si="226"/>
        <v>5.2631578947368418E-2</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v>
      </c>
      <c r="AA352" s="35">
        <f t="shared" si="226"/>
        <v>0.2</v>
      </c>
      <c r="AB352" s="35">
        <f t="shared" si="226"/>
        <v>6.25E-2</v>
      </c>
      <c r="AC352" s="35">
        <f t="shared" si="226"/>
        <v>8.3333333333333329E-2</v>
      </c>
      <c r="AD352" s="35">
        <f t="shared" si="226"/>
        <v>0</v>
      </c>
    </row>
    <row r="353" spans="2:30">
      <c r="B353" s="201" t="s">
        <v>336</v>
      </c>
      <c r="C353" s="2" t="s">
        <v>592</v>
      </c>
      <c r="D353" s="35">
        <f t="shared" si="227"/>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c r="AD353" s="35">
        <f t="shared" si="226"/>
        <v>0</v>
      </c>
    </row>
    <row r="354" spans="2:30">
      <c r="B354" s="201" t="s">
        <v>337</v>
      </c>
      <c r="C354" s="2" t="s">
        <v>592</v>
      </c>
      <c r="D354" s="35">
        <f t="shared" si="227"/>
        <v>0.14230271668822769</v>
      </c>
      <c r="E354" s="35">
        <f t="shared" si="226"/>
        <v>0.14285714285714285</v>
      </c>
      <c r="F354" s="35">
        <f t="shared" si="226"/>
        <v>0.15151515151515152</v>
      </c>
      <c r="G354" s="35">
        <f t="shared" si="226"/>
        <v>0.15789473684210525</v>
      </c>
      <c r="H354" s="35">
        <f t="shared" si="226"/>
        <v>0.18604651162790697</v>
      </c>
      <c r="I354" s="35">
        <f t="shared" si="226"/>
        <v>0.125</v>
      </c>
      <c r="J354" s="35">
        <f t="shared" si="226"/>
        <v>4.1666666666666664E-2</v>
      </c>
      <c r="K354" s="35">
        <f t="shared" si="226"/>
        <v>0.125</v>
      </c>
      <c r="L354" s="35">
        <f t="shared" si="226"/>
        <v>7.6923076923076927E-2</v>
      </c>
      <c r="M354" s="35">
        <f t="shared" si="226"/>
        <v>0</v>
      </c>
      <c r="N354" s="35">
        <f t="shared" si="226"/>
        <v>0.21739130434782608</v>
      </c>
      <c r="O354" s="35">
        <f t="shared" si="226"/>
        <v>0.1875</v>
      </c>
      <c r="P354" s="35">
        <f t="shared" si="226"/>
        <v>5.8823529411764705E-2</v>
      </c>
      <c r="Q354" s="35">
        <f t="shared" si="226"/>
        <v>0.23076923076923078</v>
      </c>
      <c r="R354" s="35">
        <f t="shared" si="226"/>
        <v>0.21126760563380281</v>
      </c>
      <c r="S354" s="35">
        <f t="shared" si="226"/>
        <v>6.25E-2</v>
      </c>
      <c r="T354" s="35">
        <f t="shared" si="226"/>
        <v>0</v>
      </c>
      <c r="U354" s="35">
        <f t="shared" si="226"/>
        <v>0.25</v>
      </c>
      <c r="V354" s="35">
        <f t="shared" si="226"/>
        <v>0.23076923076923078</v>
      </c>
      <c r="W354" s="35">
        <f t="shared" si="226"/>
        <v>0.12195121951219512</v>
      </c>
      <c r="X354" s="35">
        <f t="shared" si="226"/>
        <v>6.25E-2</v>
      </c>
      <c r="Y354" s="35">
        <f t="shared" si="226"/>
        <v>0</v>
      </c>
      <c r="Z354" s="35">
        <f t="shared" si="226"/>
        <v>0.27272727272727271</v>
      </c>
      <c r="AA354" s="35">
        <f t="shared" si="226"/>
        <v>0</v>
      </c>
      <c r="AB354" s="35">
        <f t="shared" si="226"/>
        <v>0.1875</v>
      </c>
      <c r="AC354" s="35">
        <f t="shared" si="226"/>
        <v>0.5</v>
      </c>
      <c r="AD354" s="35">
        <f t="shared" si="226"/>
        <v>0.15789473684210525</v>
      </c>
    </row>
    <row r="355" spans="2:30">
      <c r="B355" s="201" t="s">
        <v>338</v>
      </c>
      <c r="C355" s="2" t="s">
        <v>592</v>
      </c>
      <c r="D355" s="35">
        <f t="shared" si="227"/>
        <v>0.85122897800776198</v>
      </c>
      <c r="E355" s="35">
        <f t="shared" si="226"/>
        <v>0.8571428571428571</v>
      </c>
      <c r="F355" s="35">
        <f t="shared" si="226"/>
        <v>0.84848484848484851</v>
      </c>
      <c r="G355" s="35">
        <f t="shared" si="226"/>
        <v>0.78947368421052633</v>
      </c>
      <c r="H355" s="35">
        <f t="shared" si="226"/>
        <v>0.81395348837209303</v>
      </c>
      <c r="I355" s="35">
        <f t="shared" si="226"/>
        <v>0.875</v>
      </c>
      <c r="J355" s="35">
        <f t="shared" si="226"/>
        <v>0.95833333333333337</v>
      </c>
      <c r="K355" s="35">
        <f t="shared" si="226"/>
        <v>0.875</v>
      </c>
      <c r="L355" s="35">
        <f t="shared" si="226"/>
        <v>0.92307692307692313</v>
      </c>
      <c r="M355" s="35">
        <f t="shared" si="226"/>
        <v>1</v>
      </c>
      <c r="N355" s="35">
        <f t="shared" si="226"/>
        <v>0.73913043478260865</v>
      </c>
      <c r="O355" s="35">
        <f t="shared" si="226"/>
        <v>0.8125</v>
      </c>
      <c r="P355" s="35">
        <f t="shared" si="226"/>
        <v>0.94117647058823528</v>
      </c>
      <c r="Q355" s="35">
        <f t="shared" si="226"/>
        <v>0.76923076923076927</v>
      </c>
      <c r="R355" s="35">
        <f t="shared" si="226"/>
        <v>0.78873239436619713</v>
      </c>
      <c r="S355" s="35">
        <f t="shared" si="226"/>
        <v>0.9375</v>
      </c>
      <c r="T355" s="35">
        <f t="shared" si="226"/>
        <v>1</v>
      </c>
      <c r="U355" s="35">
        <f t="shared" si="226"/>
        <v>0.75</v>
      </c>
      <c r="V355" s="35">
        <f t="shared" si="226"/>
        <v>0.76923076923076927</v>
      </c>
      <c r="W355" s="35">
        <f t="shared" si="226"/>
        <v>0.87804878048780488</v>
      </c>
      <c r="X355" s="35">
        <f t="shared" si="226"/>
        <v>0.9375</v>
      </c>
      <c r="Y355" s="35">
        <f t="shared" si="226"/>
        <v>1</v>
      </c>
      <c r="Z355" s="35">
        <f t="shared" si="226"/>
        <v>0.72727272727272729</v>
      </c>
      <c r="AA355" s="35">
        <f t="shared" si="226"/>
        <v>0.8</v>
      </c>
      <c r="AB355" s="35">
        <f t="shared" si="226"/>
        <v>0.75</v>
      </c>
      <c r="AC355" s="35">
        <f t="shared" si="226"/>
        <v>0.41666666666666669</v>
      </c>
      <c r="AD355" s="35">
        <f t="shared" si="226"/>
        <v>0.84210526315789469</v>
      </c>
    </row>
    <row r="356" spans="2:30">
      <c r="B356" s="200" t="s">
        <v>16</v>
      </c>
      <c r="C356" s="200" t="s">
        <v>592</v>
      </c>
      <c r="D356" s="145">
        <f t="shared" ref="D356:AD356" si="228">SUM(D349:D355)</f>
        <v>1</v>
      </c>
      <c r="E356" s="145">
        <f t="shared" si="228"/>
        <v>1</v>
      </c>
      <c r="F356" s="145">
        <f t="shared" si="228"/>
        <v>1</v>
      </c>
      <c r="G356" s="145">
        <f t="shared" si="228"/>
        <v>1</v>
      </c>
      <c r="H356" s="145">
        <f t="shared" si="228"/>
        <v>1</v>
      </c>
      <c r="I356" s="145">
        <f t="shared" si="228"/>
        <v>1</v>
      </c>
      <c r="J356" s="145">
        <f t="shared" si="228"/>
        <v>1</v>
      </c>
      <c r="K356" s="145">
        <f t="shared" si="228"/>
        <v>1</v>
      </c>
      <c r="L356" s="145">
        <f t="shared" si="228"/>
        <v>1</v>
      </c>
      <c r="M356" s="145">
        <f t="shared" si="228"/>
        <v>1</v>
      </c>
      <c r="N356" s="145">
        <f t="shared" si="228"/>
        <v>1</v>
      </c>
      <c r="O356" s="145">
        <f t="shared" si="228"/>
        <v>1</v>
      </c>
      <c r="P356" s="145">
        <f t="shared" si="228"/>
        <v>1</v>
      </c>
      <c r="Q356" s="145">
        <f t="shared" si="228"/>
        <v>1</v>
      </c>
      <c r="R356" s="145">
        <f t="shared" si="228"/>
        <v>1</v>
      </c>
      <c r="S356" s="145">
        <f t="shared" si="228"/>
        <v>1</v>
      </c>
      <c r="T356" s="145">
        <f t="shared" si="228"/>
        <v>1</v>
      </c>
      <c r="U356" s="145">
        <f t="shared" si="228"/>
        <v>1</v>
      </c>
      <c r="V356" s="145">
        <f t="shared" si="228"/>
        <v>1</v>
      </c>
      <c r="W356" s="145">
        <f t="shared" si="228"/>
        <v>1</v>
      </c>
      <c r="X356" s="145">
        <f t="shared" si="228"/>
        <v>1</v>
      </c>
      <c r="Y356" s="145">
        <f t="shared" si="228"/>
        <v>1</v>
      </c>
      <c r="Z356" s="145">
        <f t="shared" si="228"/>
        <v>1</v>
      </c>
      <c r="AA356" s="145">
        <f t="shared" si="228"/>
        <v>1</v>
      </c>
      <c r="AB356" s="145">
        <f t="shared" si="228"/>
        <v>1</v>
      </c>
      <c r="AC356" s="145">
        <f t="shared" si="228"/>
        <v>1</v>
      </c>
      <c r="AD356" s="145">
        <f t="shared" si="228"/>
        <v>1</v>
      </c>
    </row>
    <row r="357" spans="2:30">
      <c r="B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c r="AC357" s="201"/>
      <c r="AD357" s="201"/>
    </row>
    <row r="358" spans="2:30">
      <c r="B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c r="AC358" s="201"/>
      <c r="AD358" s="201"/>
    </row>
    <row r="359" spans="2:30">
      <c r="B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c r="AC359" s="201"/>
      <c r="AD359" s="201"/>
    </row>
    <row r="360" spans="2:30" ht="15.6">
      <c r="B360" s="167" t="s">
        <v>612</v>
      </c>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c r="AC360" s="201"/>
      <c r="AD360" s="201"/>
    </row>
    <row r="361" spans="2:30">
      <c r="B361" s="114" t="s">
        <v>588</v>
      </c>
      <c r="C361" s="114" t="s">
        <v>63</v>
      </c>
      <c r="D361" s="114" t="str">
        <f>D348</f>
        <v>IE</v>
      </c>
      <c r="E361" s="114" t="str">
        <f t="shared" ref="E361:AD361" si="229">E348</f>
        <v>IE-CW</v>
      </c>
      <c r="F361" s="114" t="str">
        <f t="shared" si="229"/>
        <v>IE-D</v>
      </c>
      <c r="G361" s="114" t="str">
        <f t="shared" si="229"/>
        <v>IE-KE</v>
      </c>
      <c r="H361" s="114" t="str">
        <f t="shared" si="229"/>
        <v>IE-KK</v>
      </c>
      <c r="I361" s="114" t="str">
        <f t="shared" si="229"/>
        <v>IE-LS</v>
      </c>
      <c r="J361" s="114" t="str">
        <f t="shared" si="229"/>
        <v>IE-LD</v>
      </c>
      <c r="K361" s="114" t="str">
        <f t="shared" si="229"/>
        <v>IE-LH</v>
      </c>
      <c r="L361" s="114" t="str">
        <f t="shared" si="229"/>
        <v>IE-MH</v>
      </c>
      <c r="M361" s="114" t="str">
        <f t="shared" si="229"/>
        <v>IE-OY</v>
      </c>
      <c r="N361" s="114" t="str">
        <f t="shared" si="229"/>
        <v>IE-WH</v>
      </c>
      <c r="O361" s="114" t="str">
        <f t="shared" si="229"/>
        <v>IE-WX</v>
      </c>
      <c r="P361" s="114" t="str">
        <f t="shared" si="229"/>
        <v>IE-WW</v>
      </c>
      <c r="Q361" s="114" t="str">
        <f t="shared" si="229"/>
        <v>IE-CE</v>
      </c>
      <c r="R361" s="114" t="str">
        <f t="shared" si="229"/>
        <v>IE-CO</v>
      </c>
      <c r="S361" s="114" t="str">
        <f t="shared" si="229"/>
        <v>IE-KY</v>
      </c>
      <c r="T361" s="114" t="str">
        <f t="shared" si="229"/>
        <v>IE-LK</v>
      </c>
      <c r="U361" s="114" t="str">
        <f t="shared" si="229"/>
        <v>IE-TA</v>
      </c>
      <c r="V361" s="114" t="str">
        <f t="shared" si="229"/>
        <v>IE-WD</v>
      </c>
      <c r="W361" s="114" t="str">
        <f t="shared" si="229"/>
        <v>IE-G</v>
      </c>
      <c r="X361" s="114" t="str">
        <f t="shared" si="229"/>
        <v>IE-LM</v>
      </c>
      <c r="Y361" s="114" t="str">
        <f t="shared" si="229"/>
        <v>IE-MO</v>
      </c>
      <c r="Z361" s="114" t="str">
        <f t="shared" si="229"/>
        <v>IE-RN</v>
      </c>
      <c r="AA361" s="114" t="str">
        <f t="shared" si="229"/>
        <v>IE-SO</v>
      </c>
      <c r="AB361" s="114" t="str">
        <f t="shared" si="229"/>
        <v>IE-CN</v>
      </c>
      <c r="AC361" s="114" t="str">
        <f t="shared" si="229"/>
        <v>IE-DL</v>
      </c>
      <c r="AD361" s="114" t="str">
        <f t="shared" si="229"/>
        <v>IE-MN</v>
      </c>
    </row>
    <row r="362" spans="2:30">
      <c r="B362" s="201" t="s">
        <v>332</v>
      </c>
      <c r="C362" s="201" t="s">
        <v>593</v>
      </c>
      <c r="D362" s="251">
        <v>1.0462382065888809</v>
      </c>
      <c r="E362" s="251">
        <v>1.0462382065888809</v>
      </c>
      <c r="F362" s="251">
        <v>1.0462382065888809</v>
      </c>
      <c r="G362" s="251">
        <v>1.0462382065888809</v>
      </c>
      <c r="H362" s="251">
        <v>1.0462382065888809</v>
      </c>
      <c r="I362" s="251">
        <v>1.0462382065888809</v>
      </c>
      <c r="J362" s="251">
        <v>1.0462382065888809</v>
      </c>
      <c r="K362" s="251">
        <v>1.0462382065888809</v>
      </c>
      <c r="L362" s="251">
        <v>1.0462382065888809</v>
      </c>
      <c r="M362" s="251">
        <v>1.0462382065888809</v>
      </c>
      <c r="N362" s="251">
        <v>1.0462382065888809</v>
      </c>
      <c r="O362" s="251">
        <v>1.0462382065888809</v>
      </c>
      <c r="P362" s="251">
        <v>1.0462382065888809</v>
      </c>
      <c r="Q362" s="251">
        <v>1.0462382065888809</v>
      </c>
      <c r="R362" s="251">
        <v>1.0462382065888809</v>
      </c>
      <c r="S362" s="251">
        <v>1.0462382065888809</v>
      </c>
      <c r="T362" s="251">
        <v>1.0462382065888809</v>
      </c>
      <c r="U362" s="251">
        <v>1.0462382065888809</v>
      </c>
      <c r="V362" s="251">
        <v>1.0462382065888809</v>
      </c>
      <c r="W362" s="251">
        <v>1.0462382065888809</v>
      </c>
      <c r="X362" s="251">
        <v>1.0462382065888809</v>
      </c>
      <c r="Y362" s="251">
        <v>1.0462382065888809</v>
      </c>
      <c r="Z362" s="251">
        <v>1.0462382065888809</v>
      </c>
      <c r="AA362" s="251">
        <v>1.0462382065888809</v>
      </c>
      <c r="AB362" s="251">
        <v>1.0462382065888809</v>
      </c>
      <c r="AC362" s="251">
        <v>1.0462382065888809</v>
      </c>
      <c r="AD362" s="251">
        <v>1.0462382065888809</v>
      </c>
    </row>
    <row r="363" spans="2:30">
      <c r="B363" s="201" t="s">
        <v>333</v>
      </c>
      <c r="C363" s="201" t="s">
        <v>593</v>
      </c>
      <c r="D363" s="251">
        <v>1.0486844669655038</v>
      </c>
      <c r="E363" s="251">
        <v>1.0486844669655038</v>
      </c>
      <c r="F363" s="251">
        <v>1.0486844669655038</v>
      </c>
      <c r="G363" s="251">
        <v>1.0486844669655038</v>
      </c>
      <c r="H363" s="251">
        <v>1.0486844669655038</v>
      </c>
      <c r="I363" s="251">
        <v>1.0486844669655038</v>
      </c>
      <c r="J363" s="251">
        <v>1.0486844669655038</v>
      </c>
      <c r="K363" s="251">
        <v>1.0486844669655038</v>
      </c>
      <c r="L363" s="251">
        <v>1.0486844669655038</v>
      </c>
      <c r="M363" s="251">
        <v>1.0486844669655038</v>
      </c>
      <c r="N363" s="251">
        <v>1.0486844669655038</v>
      </c>
      <c r="O363" s="251">
        <v>1.0486844669655038</v>
      </c>
      <c r="P363" s="251">
        <v>1.0486844669655038</v>
      </c>
      <c r="Q363" s="251">
        <v>1.0486844669655038</v>
      </c>
      <c r="R363" s="251">
        <v>1.0486844669655038</v>
      </c>
      <c r="S363" s="251">
        <v>1.0486844669655038</v>
      </c>
      <c r="T363" s="251">
        <v>1.0486844669655038</v>
      </c>
      <c r="U363" s="251">
        <v>1.0486844669655038</v>
      </c>
      <c r="V363" s="251">
        <v>1.0486844669655038</v>
      </c>
      <c r="W363" s="251">
        <v>1.0486844669655038</v>
      </c>
      <c r="X363" s="251">
        <v>1.0486844669655038</v>
      </c>
      <c r="Y363" s="251">
        <v>1.0486844669655038</v>
      </c>
      <c r="Z363" s="251">
        <v>1.0486844669655038</v>
      </c>
      <c r="AA363" s="251">
        <v>1.0486844669655038</v>
      </c>
      <c r="AB363" s="251">
        <v>1.0486844669655038</v>
      </c>
      <c r="AC363" s="251">
        <v>1.0486844669655038</v>
      </c>
      <c r="AD363" s="251">
        <v>1.0486844669655038</v>
      </c>
    </row>
    <row r="364" spans="2:30">
      <c r="B364" s="201" t="s">
        <v>334</v>
      </c>
      <c r="C364" s="201" t="s">
        <v>593</v>
      </c>
      <c r="D364" s="251">
        <v>1.0796552350700317</v>
      </c>
      <c r="E364" s="251">
        <v>1.0796552350700317</v>
      </c>
      <c r="F364" s="251">
        <v>1.0796552350700317</v>
      </c>
      <c r="G364" s="251">
        <v>1.0796552350700317</v>
      </c>
      <c r="H364" s="251">
        <v>1.0796552350700317</v>
      </c>
      <c r="I364" s="251">
        <v>1.0796552350700317</v>
      </c>
      <c r="J364" s="251">
        <v>1.0796552350700317</v>
      </c>
      <c r="K364" s="251">
        <v>1.0796552350700317</v>
      </c>
      <c r="L364" s="251">
        <v>1.0796552350700317</v>
      </c>
      <c r="M364" s="251">
        <v>1.0796552350700317</v>
      </c>
      <c r="N364" s="251">
        <v>1.0796552350700317</v>
      </c>
      <c r="O364" s="251">
        <v>1.0796552350700317</v>
      </c>
      <c r="P364" s="251">
        <v>1.0796552350700317</v>
      </c>
      <c r="Q364" s="251">
        <v>1.0796552350700317</v>
      </c>
      <c r="R364" s="251">
        <v>1.0796552350700317</v>
      </c>
      <c r="S364" s="251">
        <v>1.0796552350700317</v>
      </c>
      <c r="T364" s="251">
        <v>1.0796552350700317</v>
      </c>
      <c r="U364" s="251">
        <v>1.0796552350700317</v>
      </c>
      <c r="V364" s="251">
        <v>1.0796552350700317</v>
      </c>
      <c r="W364" s="251">
        <v>1.0796552350700317</v>
      </c>
      <c r="X364" s="251">
        <v>1.0796552350700317</v>
      </c>
      <c r="Y364" s="251">
        <v>1.0796552350700317</v>
      </c>
      <c r="Z364" s="251">
        <v>1.0796552350700317</v>
      </c>
      <c r="AA364" s="251">
        <v>1.0796552350700317</v>
      </c>
      <c r="AB364" s="251">
        <v>1.0796552350700317</v>
      </c>
      <c r="AC364" s="251">
        <v>1.0796552350700317</v>
      </c>
      <c r="AD364" s="251">
        <v>1.0796552350700317</v>
      </c>
    </row>
    <row r="365" spans="2:30">
      <c r="B365" s="201" t="s">
        <v>335</v>
      </c>
      <c r="C365" s="201" t="s">
        <v>593</v>
      </c>
      <c r="D365" s="251">
        <v>1.0860441592549372</v>
      </c>
      <c r="E365" s="251">
        <v>1.0860441592549372</v>
      </c>
      <c r="F365" s="251">
        <v>1.0860441592549372</v>
      </c>
      <c r="G365" s="251">
        <v>1.0860441592549372</v>
      </c>
      <c r="H365" s="251">
        <v>1.0860441592549372</v>
      </c>
      <c r="I365" s="251">
        <v>1.0860441592549372</v>
      </c>
      <c r="J365" s="251">
        <v>1.0860441592549372</v>
      </c>
      <c r="K365" s="251">
        <v>1.0860441592549372</v>
      </c>
      <c r="L365" s="251">
        <v>1.0860441592549372</v>
      </c>
      <c r="M365" s="251">
        <v>1.0860441592549372</v>
      </c>
      <c r="N365" s="251">
        <v>1.0860441592549372</v>
      </c>
      <c r="O365" s="251">
        <v>1.0860441592549372</v>
      </c>
      <c r="P365" s="251">
        <v>1.0860441592549372</v>
      </c>
      <c r="Q365" s="251">
        <v>1.0860441592549372</v>
      </c>
      <c r="R365" s="251">
        <v>1.0860441592549372</v>
      </c>
      <c r="S365" s="251">
        <v>1.0860441592549372</v>
      </c>
      <c r="T365" s="251">
        <v>1.0860441592549372</v>
      </c>
      <c r="U365" s="251">
        <v>1.0860441592549372</v>
      </c>
      <c r="V365" s="251">
        <v>1.0860441592549372</v>
      </c>
      <c r="W365" s="251">
        <v>1.0860441592549372</v>
      </c>
      <c r="X365" s="251">
        <v>1.0860441592549372</v>
      </c>
      <c r="Y365" s="251">
        <v>1.0860441592549372</v>
      </c>
      <c r="Z365" s="251">
        <v>1.0860441592549372</v>
      </c>
      <c r="AA365" s="251">
        <v>1.0860441592549372</v>
      </c>
      <c r="AB365" s="251">
        <v>1.0860441592549372</v>
      </c>
      <c r="AC365" s="251">
        <v>1.0860441592549372</v>
      </c>
      <c r="AD365" s="251">
        <v>1.0860441592549372</v>
      </c>
    </row>
    <row r="366" spans="2:30">
      <c r="B366" s="201" t="s">
        <v>336</v>
      </c>
      <c r="C366" s="201" t="s">
        <v>593</v>
      </c>
      <c r="D366" s="251">
        <v>1.2322848620544717</v>
      </c>
      <c r="E366" s="251">
        <v>1.2322848620544717</v>
      </c>
      <c r="F366" s="251">
        <v>1.2322848620544717</v>
      </c>
      <c r="G366" s="251">
        <v>1.2322848620544717</v>
      </c>
      <c r="H366" s="251">
        <v>1.2322848620544717</v>
      </c>
      <c r="I366" s="251">
        <v>1.2322848620544717</v>
      </c>
      <c r="J366" s="251">
        <v>1.2322848620544717</v>
      </c>
      <c r="K366" s="251">
        <v>1.2322848620544717</v>
      </c>
      <c r="L366" s="251">
        <v>1.2322848620544717</v>
      </c>
      <c r="M366" s="251">
        <v>1.2322848620544717</v>
      </c>
      <c r="N366" s="251">
        <v>1.2322848620544717</v>
      </c>
      <c r="O366" s="251">
        <v>1.2322848620544717</v>
      </c>
      <c r="P366" s="251">
        <v>1.2322848620544717</v>
      </c>
      <c r="Q366" s="251">
        <v>1.2322848620544717</v>
      </c>
      <c r="R366" s="251">
        <v>1.2322848620544717</v>
      </c>
      <c r="S366" s="251">
        <v>1.2322848620544717</v>
      </c>
      <c r="T366" s="251">
        <v>1.2322848620544717</v>
      </c>
      <c r="U366" s="251">
        <v>1.2322848620544717</v>
      </c>
      <c r="V366" s="251">
        <v>1.2322848620544717</v>
      </c>
      <c r="W366" s="251">
        <v>1.2322848620544717</v>
      </c>
      <c r="X366" s="251">
        <v>1.2322848620544717</v>
      </c>
      <c r="Y366" s="251">
        <v>1.2322848620544717</v>
      </c>
      <c r="Z366" s="251">
        <v>1.2322848620544717</v>
      </c>
      <c r="AA366" s="251">
        <v>1.2322848620544717</v>
      </c>
      <c r="AB366" s="251">
        <v>1.2322848620544717</v>
      </c>
      <c r="AC366" s="251">
        <v>1.2322848620544717</v>
      </c>
      <c r="AD366" s="251">
        <v>1.2322848620544717</v>
      </c>
    </row>
    <row r="367" spans="2:30">
      <c r="B367" s="201" t="s">
        <v>337</v>
      </c>
      <c r="C367" s="201" t="s">
        <v>593</v>
      </c>
      <c r="D367" s="251">
        <v>1.2277213214286919</v>
      </c>
      <c r="E367" s="251">
        <v>1.2277213214286919</v>
      </c>
      <c r="F367" s="251">
        <v>1.2277213214286919</v>
      </c>
      <c r="G367" s="251">
        <v>1.2277213214286919</v>
      </c>
      <c r="H367" s="251">
        <v>1.2277213214286919</v>
      </c>
      <c r="I367" s="251">
        <v>1.2277213214286919</v>
      </c>
      <c r="J367" s="251">
        <v>1.2277213214286919</v>
      </c>
      <c r="K367" s="251">
        <v>1.2277213214286919</v>
      </c>
      <c r="L367" s="251">
        <v>1.2277213214286919</v>
      </c>
      <c r="M367" s="251">
        <v>1.2277213214286919</v>
      </c>
      <c r="N367" s="251">
        <v>1.2277213214286919</v>
      </c>
      <c r="O367" s="251">
        <v>1.2277213214286919</v>
      </c>
      <c r="P367" s="251">
        <v>1.2277213214286919</v>
      </c>
      <c r="Q367" s="251">
        <v>1.2277213214286919</v>
      </c>
      <c r="R367" s="251">
        <v>1.2277213214286919</v>
      </c>
      <c r="S367" s="251">
        <v>1.2277213214286919</v>
      </c>
      <c r="T367" s="251">
        <v>1.2277213214286919</v>
      </c>
      <c r="U367" s="251">
        <v>1.2277213214286919</v>
      </c>
      <c r="V367" s="251">
        <v>1.2277213214286919</v>
      </c>
      <c r="W367" s="251">
        <v>1.2277213214286919</v>
      </c>
      <c r="X367" s="251">
        <v>1.2277213214286919</v>
      </c>
      <c r="Y367" s="251">
        <v>1.2277213214286919</v>
      </c>
      <c r="Z367" s="251">
        <v>1.2277213214286919</v>
      </c>
      <c r="AA367" s="251">
        <v>1.2277213214286919</v>
      </c>
      <c r="AB367" s="251">
        <v>1.2277213214286919</v>
      </c>
      <c r="AC367" s="251">
        <v>1.2277213214286919</v>
      </c>
      <c r="AD367" s="251">
        <v>1.2277213214286919</v>
      </c>
    </row>
    <row r="368" spans="2:30">
      <c r="B368" s="200" t="s">
        <v>338</v>
      </c>
      <c r="C368" s="200" t="s">
        <v>593</v>
      </c>
      <c r="D368" s="256">
        <v>1.4313823860112316</v>
      </c>
      <c r="E368" s="256">
        <v>1.4313823860112316</v>
      </c>
      <c r="F368" s="256">
        <v>1.4313823860112316</v>
      </c>
      <c r="G368" s="256">
        <v>1.4313823860112316</v>
      </c>
      <c r="H368" s="256">
        <v>1.4313823860112316</v>
      </c>
      <c r="I368" s="256">
        <v>1.4313823860112316</v>
      </c>
      <c r="J368" s="256">
        <v>1.4313823860112316</v>
      </c>
      <c r="K368" s="256">
        <v>1.4313823860112316</v>
      </c>
      <c r="L368" s="256">
        <v>1.4313823860112316</v>
      </c>
      <c r="M368" s="256">
        <v>1.4313823860112316</v>
      </c>
      <c r="N368" s="256">
        <v>1.4313823860112316</v>
      </c>
      <c r="O368" s="256">
        <v>1.4313823860112316</v>
      </c>
      <c r="P368" s="256">
        <v>1.4313823860112316</v>
      </c>
      <c r="Q368" s="256">
        <v>1.4313823860112316</v>
      </c>
      <c r="R368" s="256">
        <v>1.4313823860112316</v>
      </c>
      <c r="S368" s="256">
        <v>1.4313823860112316</v>
      </c>
      <c r="T368" s="256">
        <v>1.4313823860112316</v>
      </c>
      <c r="U368" s="256">
        <v>1.4313823860112316</v>
      </c>
      <c r="V368" s="256">
        <v>1.4313823860112316</v>
      </c>
      <c r="W368" s="256">
        <v>1.4313823860112316</v>
      </c>
      <c r="X368" s="256">
        <v>1.4313823860112316</v>
      </c>
      <c r="Y368" s="256">
        <v>1.4313823860112316</v>
      </c>
      <c r="Z368" s="256">
        <v>1.4313823860112316</v>
      </c>
      <c r="AA368" s="256">
        <v>1.4313823860112316</v>
      </c>
      <c r="AB368" s="256">
        <v>1.4313823860112316</v>
      </c>
      <c r="AC368" s="256">
        <v>1.4313823860112316</v>
      </c>
      <c r="AD368" s="256">
        <v>1.4313823860112316</v>
      </c>
    </row>
    <row r="369" spans="2:30">
      <c r="B369" s="252" t="s">
        <v>597</v>
      </c>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c r="AC369" s="201"/>
      <c r="AD369" s="201"/>
    </row>
    <row r="370" spans="2:30">
      <c r="B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c r="AC370" s="201"/>
      <c r="AD370" s="201"/>
    </row>
    <row r="371" spans="2:30">
      <c r="B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ht="15.6">
      <c r="B373" s="167" t="s">
        <v>612</v>
      </c>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114" t="s">
        <v>588</v>
      </c>
      <c r="C374" s="114" t="s">
        <v>63</v>
      </c>
      <c r="D374" s="114" t="str">
        <f>D361</f>
        <v>IE</v>
      </c>
      <c r="E374" s="114" t="str">
        <f t="shared" ref="E374:AD374" si="230">E361</f>
        <v>IE-CW</v>
      </c>
      <c r="F374" s="114" t="str">
        <f t="shared" si="230"/>
        <v>IE-D</v>
      </c>
      <c r="G374" s="114" t="str">
        <f t="shared" si="230"/>
        <v>IE-KE</v>
      </c>
      <c r="H374" s="114" t="str">
        <f t="shared" si="230"/>
        <v>IE-KK</v>
      </c>
      <c r="I374" s="114" t="str">
        <f t="shared" si="230"/>
        <v>IE-LS</v>
      </c>
      <c r="J374" s="114" t="str">
        <f t="shared" si="230"/>
        <v>IE-LD</v>
      </c>
      <c r="K374" s="114" t="str">
        <f t="shared" si="230"/>
        <v>IE-LH</v>
      </c>
      <c r="L374" s="114" t="str">
        <f t="shared" si="230"/>
        <v>IE-MH</v>
      </c>
      <c r="M374" s="114" t="str">
        <f t="shared" si="230"/>
        <v>IE-OY</v>
      </c>
      <c r="N374" s="114" t="str">
        <f t="shared" si="230"/>
        <v>IE-WH</v>
      </c>
      <c r="O374" s="114" t="str">
        <f t="shared" si="230"/>
        <v>IE-WX</v>
      </c>
      <c r="P374" s="114" t="str">
        <f t="shared" si="230"/>
        <v>IE-WW</v>
      </c>
      <c r="Q374" s="114" t="str">
        <f t="shared" si="230"/>
        <v>IE-CE</v>
      </c>
      <c r="R374" s="114" t="str">
        <f t="shared" si="230"/>
        <v>IE-CO</v>
      </c>
      <c r="S374" s="114" t="str">
        <f t="shared" si="230"/>
        <v>IE-KY</v>
      </c>
      <c r="T374" s="114" t="str">
        <f t="shared" si="230"/>
        <v>IE-LK</v>
      </c>
      <c r="U374" s="114" t="str">
        <f t="shared" si="230"/>
        <v>IE-TA</v>
      </c>
      <c r="V374" s="114" t="str">
        <f t="shared" si="230"/>
        <v>IE-WD</v>
      </c>
      <c r="W374" s="114" t="str">
        <f t="shared" si="230"/>
        <v>IE-G</v>
      </c>
      <c r="X374" s="114" t="str">
        <f t="shared" si="230"/>
        <v>IE-LM</v>
      </c>
      <c r="Y374" s="114" t="str">
        <f t="shared" si="230"/>
        <v>IE-MO</v>
      </c>
      <c r="Z374" s="114" t="str">
        <f t="shared" si="230"/>
        <v>IE-RN</v>
      </c>
      <c r="AA374" s="114" t="str">
        <f t="shared" si="230"/>
        <v>IE-SO</v>
      </c>
      <c r="AB374" s="114" t="str">
        <f t="shared" si="230"/>
        <v>IE-CN</v>
      </c>
      <c r="AC374" s="114" t="str">
        <f t="shared" si="230"/>
        <v>IE-DL</v>
      </c>
      <c r="AD374" s="114" t="str">
        <f t="shared" si="230"/>
        <v>IE-MN</v>
      </c>
    </row>
    <row r="375" spans="2:30">
      <c r="B375" s="201" t="s">
        <v>609</v>
      </c>
      <c r="C375" s="201" t="s">
        <v>593</v>
      </c>
      <c r="D375" s="247">
        <f>SUMPRODUCT(D349:D355,D362:D368)</f>
        <v>1.4001588450512759</v>
      </c>
      <c r="E375" s="247">
        <f>IF(E342&gt;1,SUMPRODUCT(E349:E355,E362:E368),$D$230)</f>
        <v>1.4022879482137258</v>
      </c>
      <c r="F375" s="247">
        <f t="shared" ref="F375:AD375" si="231">IF(F342&gt;1,SUMPRODUCT(F349:F355,F362:F368),$D$230)</f>
        <v>1.4005246489532712</v>
      </c>
      <c r="G375" s="247">
        <f t="shared" si="231"/>
        <v>1.3810496796689202</v>
      </c>
      <c r="H375" s="247">
        <f t="shared" si="231"/>
        <v>1.3934919553912242</v>
      </c>
      <c r="I375" s="247">
        <f t="shared" si="231"/>
        <v>1.4059247529384142</v>
      </c>
      <c r="J375" s="247">
        <f t="shared" si="231"/>
        <v>1.4228965083202925</v>
      </c>
      <c r="K375" s="247">
        <f t="shared" si="231"/>
        <v>1.4059247529384142</v>
      </c>
      <c r="L375" s="247">
        <f t="shared" si="231"/>
        <v>1.4157161502741131</v>
      </c>
      <c r="M375" s="247">
        <f t="shared" si="231"/>
        <v>1.4313823860112316</v>
      </c>
      <c r="N375" s="247">
        <f t="shared" si="231"/>
        <v>1.3718157567132359</v>
      </c>
      <c r="O375" s="247">
        <f t="shared" si="231"/>
        <v>1.3931959364020055</v>
      </c>
      <c r="P375" s="247">
        <f t="shared" si="231"/>
        <v>1.4194023233887292</v>
      </c>
      <c r="Q375" s="247">
        <f t="shared" si="231"/>
        <v>1.3843836787998764</v>
      </c>
      <c r="R375" s="247">
        <f t="shared" si="231"/>
        <v>1.388355400536047</v>
      </c>
      <c r="S375" s="247">
        <f t="shared" si="231"/>
        <v>1.4186535694748228</v>
      </c>
      <c r="T375" s="247">
        <f t="shared" si="231"/>
        <v>1.4313823860112316</v>
      </c>
      <c r="U375" s="247">
        <f t="shared" si="231"/>
        <v>1.3804671198655969</v>
      </c>
      <c r="V375" s="247">
        <f t="shared" si="231"/>
        <v>1.3843836787998764</v>
      </c>
      <c r="W375" s="247">
        <f t="shared" si="231"/>
        <v>1.4065456708182389</v>
      </c>
      <c r="X375" s="247">
        <f t="shared" si="231"/>
        <v>1.4186535694748228</v>
      </c>
      <c r="Y375" s="247">
        <f t="shared" si="231"/>
        <v>1.4313823860112316</v>
      </c>
      <c r="Z375" s="247">
        <f t="shared" si="231"/>
        <v>1.3758384593069026</v>
      </c>
      <c r="AA375" s="247">
        <f t="shared" si="231"/>
        <v>1.3623147406599727</v>
      </c>
      <c r="AB375" s="247">
        <f t="shared" si="231"/>
        <v>1.3716122972297371</v>
      </c>
      <c r="AC375" s="247">
        <f t="shared" si="231"/>
        <v>1.3007736681569373</v>
      </c>
      <c r="AD375" s="247">
        <f t="shared" si="231"/>
        <v>1.3992253758139883</v>
      </c>
    </row>
    <row r="376" spans="2:30">
      <c r="B376" s="200"/>
      <c r="C376" s="200" t="s">
        <v>581</v>
      </c>
      <c r="D376" s="250">
        <f>1000/D375</f>
        <v>714.20468008640728</v>
      </c>
      <c r="E376" s="250">
        <f>1000/E375</f>
        <v>713.12029834801649</v>
      </c>
      <c r="F376" s="250">
        <f>1000/F375</f>
        <v>714.01813652289752</v>
      </c>
      <c r="G376" s="250">
        <f>1000/G375</f>
        <v>724.08691354226335</v>
      </c>
      <c r="H376" s="250">
        <f t="shared" ref="H376" si="232">1000/H375</f>
        <v>717.62165266268016</v>
      </c>
      <c r="I376" s="250">
        <f t="shared" ref="I376" si="233">1000/I375</f>
        <v>711.27561977266396</v>
      </c>
      <c r="J376" s="250">
        <f t="shared" ref="J376" si="234">1000/J375</f>
        <v>702.79180119746354</v>
      </c>
      <c r="K376" s="250">
        <f t="shared" ref="K376" si="235">1000/K375</f>
        <v>711.27561977266396</v>
      </c>
      <c r="L376" s="250">
        <f t="shared" ref="L376" si="236">1000/L375</f>
        <v>706.35628463119428</v>
      </c>
      <c r="M376" s="250">
        <f t="shared" ref="M376" si="237">1000/M375</f>
        <v>698.62533574040594</v>
      </c>
      <c r="N376" s="250">
        <f t="shared" ref="N376" si="238">1000/N375</f>
        <v>728.96086453761291</v>
      </c>
      <c r="O376" s="250">
        <f t="shared" ref="O376" si="239">1000/O375</f>
        <v>717.77412915985633</v>
      </c>
      <c r="P376" s="250">
        <f t="shared" ref="P376" si="240">1000/P375</f>
        <v>704.52188468493284</v>
      </c>
      <c r="Q376" s="250">
        <f t="shared" ref="Q376" si="241">1000/Q375</f>
        <v>722.3431013481038</v>
      </c>
      <c r="R376" s="250">
        <f t="shared" ref="R376" si="242">1000/R375</f>
        <v>720.27666663298021</v>
      </c>
      <c r="S376" s="250">
        <f t="shared" ref="S376" si="243">1000/S375</f>
        <v>704.89372565438521</v>
      </c>
      <c r="T376" s="250">
        <f t="shared" ref="T376" si="244">1000/T375</f>
        <v>698.62533574040594</v>
      </c>
      <c r="U376" s="250">
        <f t="shared" ref="U376" si="245">1000/U375</f>
        <v>724.39247962483932</v>
      </c>
      <c r="V376" s="250">
        <f t="shared" ref="V376" si="246">1000/V375</f>
        <v>722.3431013481038</v>
      </c>
      <c r="W376" s="250">
        <f t="shared" ref="W376" si="247">1000/W375</f>
        <v>710.96162801330411</v>
      </c>
      <c r="X376" s="250">
        <f t="shared" ref="X376" si="248">1000/X375</f>
        <v>704.89372565438521</v>
      </c>
      <c r="Y376" s="250">
        <f t="shared" ref="Y376" si="249">1000/Y375</f>
        <v>698.62533574040594</v>
      </c>
      <c r="Z376" s="250">
        <f t="shared" ref="Z376" si="250">1000/Z375</f>
        <v>726.82951492994584</v>
      </c>
      <c r="AA376" s="250">
        <f t="shared" ref="AA376" si="251">1000/AA375</f>
        <v>734.04476231061733</v>
      </c>
      <c r="AB376" s="250">
        <f t="shared" ref="AB376" si="252">1000/AB375</f>
        <v>729.06899567735923</v>
      </c>
      <c r="AC376" s="250">
        <f t="shared" ref="AC376" si="253">1000/AC375</f>
        <v>768.77324970522909</v>
      </c>
      <c r="AD376" s="250">
        <f t="shared" ref="AD376" si="254">1000/AD375</f>
        <v>714.68114950263669</v>
      </c>
    </row>
    <row r="380" spans="2:30">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row>
    <row r="381" spans="2:30" ht="15.6">
      <c r="B381" s="143" t="s">
        <v>614</v>
      </c>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c r="AC381" s="201"/>
      <c r="AD381" s="201"/>
    </row>
    <row r="382" spans="2:30">
      <c r="B382" s="114" t="s">
        <v>588</v>
      </c>
      <c r="C382" s="114" t="s">
        <v>63</v>
      </c>
      <c r="D382" s="114" t="str">
        <f t="shared" ref="D382:AD382" si="255">D374</f>
        <v>IE</v>
      </c>
      <c r="E382" s="114" t="str">
        <f t="shared" si="255"/>
        <v>IE-CW</v>
      </c>
      <c r="F382" s="114" t="str">
        <f t="shared" si="255"/>
        <v>IE-D</v>
      </c>
      <c r="G382" s="114" t="str">
        <f t="shared" si="255"/>
        <v>IE-KE</v>
      </c>
      <c r="H382" s="114" t="str">
        <f t="shared" si="255"/>
        <v>IE-KK</v>
      </c>
      <c r="I382" s="114" t="str">
        <f t="shared" si="255"/>
        <v>IE-LS</v>
      </c>
      <c r="J382" s="114" t="str">
        <f t="shared" si="255"/>
        <v>IE-LD</v>
      </c>
      <c r="K382" s="114" t="str">
        <f t="shared" si="255"/>
        <v>IE-LH</v>
      </c>
      <c r="L382" s="114" t="str">
        <f t="shared" si="255"/>
        <v>IE-MH</v>
      </c>
      <c r="M382" s="114" t="str">
        <f t="shared" si="255"/>
        <v>IE-OY</v>
      </c>
      <c r="N382" s="114" t="str">
        <f t="shared" si="255"/>
        <v>IE-WH</v>
      </c>
      <c r="O382" s="114" t="str">
        <f t="shared" si="255"/>
        <v>IE-WX</v>
      </c>
      <c r="P382" s="114" t="str">
        <f t="shared" si="255"/>
        <v>IE-WW</v>
      </c>
      <c r="Q382" s="114" t="str">
        <f t="shared" si="255"/>
        <v>IE-CE</v>
      </c>
      <c r="R382" s="114" t="str">
        <f t="shared" si="255"/>
        <v>IE-CO</v>
      </c>
      <c r="S382" s="114" t="str">
        <f t="shared" si="255"/>
        <v>IE-KY</v>
      </c>
      <c r="T382" s="114" t="str">
        <f t="shared" si="255"/>
        <v>IE-LK</v>
      </c>
      <c r="U382" s="114" t="str">
        <f t="shared" si="255"/>
        <v>IE-TA</v>
      </c>
      <c r="V382" s="114" t="str">
        <f t="shared" si="255"/>
        <v>IE-WD</v>
      </c>
      <c r="W382" s="114" t="str">
        <f t="shared" si="255"/>
        <v>IE-G</v>
      </c>
      <c r="X382" s="114" t="str">
        <f t="shared" si="255"/>
        <v>IE-LM</v>
      </c>
      <c r="Y382" s="114" t="str">
        <f t="shared" si="255"/>
        <v>IE-MO</v>
      </c>
      <c r="Z382" s="114" t="str">
        <f t="shared" si="255"/>
        <v>IE-RN</v>
      </c>
      <c r="AA382" s="114" t="str">
        <f t="shared" si="255"/>
        <v>IE-SO</v>
      </c>
      <c r="AB382" s="114" t="str">
        <f t="shared" si="255"/>
        <v>IE-CN</v>
      </c>
      <c r="AC382" s="114" t="str">
        <f t="shared" si="255"/>
        <v>IE-DL</v>
      </c>
      <c r="AD382" s="114" t="str">
        <f t="shared" si="255"/>
        <v>IE-MN</v>
      </c>
    </row>
    <row r="383" spans="2:30">
      <c r="B383" s="201" t="s">
        <v>332</v>
      </c>
      <c r="C383" s="201" t="s">
        <v>516</v>
      </c>
      <c r="D383" s="10">
        <f>SUM(E383:AD383)</f>
        <v>141</v>
      </c>
      <c r="E383" s="254">
        <v>2</v>
      </c>
      <c r="F383" s="254">
        <v>4</v>
      </c>
      <c r="G383" s="254">
        <v>3</v>
      </c>
      <c r="H383" s="254">
        <v>3</v>
      </c>
      <c r="I383" s="254">
        <v>1</v>
      </c>
      <c r="J383" s="254">
        <v>5</v>
      </c>
      <c r="K383" s="254">
        <v>1</v>
      </c>
      <c r="L383" s="254">
        <v>4</v>
      </c>
      <c r="M383" s="254">
        <v>1</v>
      </c>
      <c r="N383" s="254">
        <v>3</v>
      </c>
      <c r="O383" s="254">
        <v>0</v>
      </c>
      <c r="P383" s="254">
        <v>2</v>
      </c>
      <c r="Q383" s="254">
        <v>2</v>
      </c>
      <c r="R383" s="254">
        <v>18</v>
      </c>
      <c r="S383" s="254">
        <v>5</v>
      </c>
      <c r="T383" s="254">
        <v>0</v>
      </c>
      <c r="U383" s="254">
        <v>1</v>
      </c>
      <c r="V383" s="254">
        <v>1</v>
      </c>
      <c r="W383" s="254">
        <v>71</v>
      </c>
      <c r="X383" s="254">
        <v>2</v>
      </c>
      <c r="Y383" s="254">
        <v>2</v>
      </c>
      <c r="Z383" s="254">
        <v>1</v>
      </c>
      <c r="AA383" s="254">
        <v>0</v>
      </c>
      <c r="AB383" s="254">
        <v>1</v>
      </c>
      <c r="AC383" s="254">
        <v>2</v>
      </c>
      <c r="AD383" s="254">
        <v>6</v>
      </c>
    </row>
    <row r="384" spans="2:30">
      <c r="B384" s="201" t="s">
        <v>333</v>
      </c>
      <c r="C384" s="201" t="s">
        <v>516</v>
      </c>
      <c r="D384" s="10">
        <f t="shared" ref="D384:D389" si="256">SUM(E384:AD384)</f>
        <v>1</v>
      </c>
      <c r="E384" s="254">
        <v>0</v>
      </c>
      <c r="F384" s="254">
        <v>0</v>
      </c>
      <c r="G384" s="254">
        <v>0</v>
      </c>
      <c r="H384" s="254">
        <v>0</v>
      </c>
      <c r="I384" s="254">
        <v>0</v>
      </c>
      <c r="J384" s="254">
        <v>0</v>
      </c>
      <c r="K384" s="254">
        <v>0</v>
      </c>
      <c r="L384" s="254">
        <v>0</v>
      </c>
      <c r="M384" s="254">
        <v>0</v>
      </c>
      <c r="N384" s="254">
        <v>0</v>
      </c>
      <c r="O384" s="254">
        <v>0</v>
      </c>
      <c r="P384" s="254">
        <v>0</v>
      </c>
      <c r="Q384" s="254">
        <v>0</v>
      </c>
      <c r="R384" s="254">
        <v>0</v>
      </c>
      <c r="S384" s="254">
        <v>0</v>
      </c>
      <c r="T384" s="254">
        <v>0</v>
      </c>
      <c r="U384" s="254">
        <v>0</v>
      </c>
      <c r="V384" s="254">
        <v>0</v>
      </c>
      <c r="W384" s="254">
        <v>1</v>
      </c>
      <c r="X384" s="254">
        <v>0</v>
      </c>
      <c r="Y384" s="254">
        <v>0</v>
      </c>
      <c r="Z384" s="254">
        <v>0</v>
      </c>
      <c r="AA384" s="254">
        <v>0</v>
      </c>
      <c r="AB384" s="254">
        <v>0</v>
      </c>
      <c r="AC384" s="254">
        <v>0</v>
      </c>
      <c r="AD384" s="254">
        <v>0</v>
      </c>
    </row>
    <row r="385" spans="2:30">
      <c r="B385" s="201" t="s">
        <v>334</v>
      </c>
      <c r="C385" s="201" t="s">
        <v>516</v>
      </c>
      <c r="D385" s="10">
        <f t="shared" si="256"/>
        <v>168</v>
      </c>
      <c r="E385" s="254">
        <v>2</v>
      </c>
      <c r="F385" s="254">
        <v>6</v>
      </c>
      <c r="G385" s="254">
        <v>0</v>
      </c>
      <c r="H385" s="254">
        <v>15</v>
      </c>
      <c r="I385" s="254">
        <v>2</v>
      </c>
      <c r="J385" s="254">
        <v>6</v>
      </c>
      <c r="K385" s="254">
        <v>4</v>
      </c>
      <c r="L385" s="254">
        <v>3</v>
      </c>
      <c r="M385" s="254">
        <v>1</v>
      </c>
      <c r="N385" s="254">
        <v>3</v>
      </c>
      <c r="O385" s="254">
        <v>1</v>
      </c>
      <c r="P385" s="254">
        <v>6</v>
      </c>
      <c r="Q385" s="254">
        <v>1</v>
      </c>
      <c r="R385" s="254">
        <v>20</v>
      </c>
      <c r="S385" s="254">
        <v>4</v>
      </c>
      <c r="T385" s="254">
        <v>0</v>
      </c>
      <c r="U385" s="254">
        <v>3</v>
      </c>
      <c r="V385" s="254">
        <v>2</v>
      </c>
      <c r="W385" s="254">
        <v>69</v>
      </c>
      <c r="X385" s="254">
        <v>1</v>
      </c>
      <c r="Y385" s="254">
        <v>6</v>
      </c>
      <c r="Z385" s="254">
        <v>0</v>
      </c>
      <c r="AA385" s="254">
        <v>1</v>
      </c>
      <c r="AB385" s="254">
        <v>1</v>
      </c>
      <c r="AC385" s="254">
        <v>3</v>
      </c>
      <c r="AD385" s="254">
        <v>8</v>
      </c>
    </row>
    <row r="386" spans="2:30">
      <c r="B386" s="201" t="s">
        <v>335</v>
      </c>
      <c r="C386" s="201" t="s">
        <v>516</v>
      </c>
      <c r="D386" s="10">
        <f t="shared" si="256"/>
        <v>302</v>
      </c>
      <c r="E386" s="254">
        <v>3</v>
      </c>
      <c r="F386" s="254">
        <v>16</v>
      </c>
      <c r="G386" s="254">
        <v>9</v>
      </c>
      <c r="H386" s="254">
        <v>15</v>
      </c>
      <c r="I386" s="254">
        <v>1</v>
      </c>
      <c r="J386" s="254">
        <v>4</v>
      </c>
      <c r="K386" s="254">
        <v>0</v>
      </c>
      <c r="L386" s="254">
        <v>1</v>
      </c>
      <c r="M386" s="254">
        <v>0</v>
      </c>
      <c r="N386" s="254">
        <v>3</v>
      </c>
      <c r="O386" s="254">
        <v>6</v>
      </c>
      <c r="P386" s="254">
        <v>4</v>
      </c>
      <c r="Q386" s="254">
        <v>7</v>
      </c>
      <c r="R386" s="254">
        <v>19</v>
      </c>
      <c r="S386" s="254">
        <v>10</v>
      </c>
      <c r="T386" s="254">
        <v>0</v>
      </c>
      <c r="U386" s="254">
        <v>5</v>
      </c>
      <c r="V386" s="254">
        <v>5</v>
      </c>
      <c r="W386" s="254">
        <v>153</v>
      </c>
      <c r="X386" s="254">
        <v>7</v>
      </c>
      <c r="Y386" s="254">
        <v>3</v>
      </c>
      <c r="Z386" s="254">
        <v>4</v>
      </c>
      <c r="AA386" s="254">
        <v>2</v>
      </c>
      <c r="AB386" s="254">
        <v>4</v>
      </c>
      <c r="AC386" s="254">
        <v>10</v>
      </c>
      <c r="AD386" s="254">
        <v>11</v>
      </c>
    </row>
    <row r="387" spans="2:30">
      <c r="B387" s="201" t="s">
        <v>336</v>
      </c>
      <c r="C387" s="201" t="s">
        <v>516</v>
      </c>
      <c r="D387" s="10">
        <f t="shared" si="256"/>
        <v>62</v>
      </c>
      <c r="E387" s="254">
        <v>1</v>
      </c>
      <c r="F387" s="254">
        <v>2</v>
      </c>
      <c r="G387" s="254">
        <v>0</v>
      </c>
      <c r="H387" s="254">
        <v>1</v>
      </c>
      <c r="I387" s="254">
        <v>1</v>
      </c>
      <c r="J387" s="254">
        <v>2</v>
      </c>
      <c r="K387" s="254">
        <v>1</v>
      </c>
      <c r="L387" s="254">
        <v>1</v>
      </c>
      <c r="M387" s="254">
        <v>0</v>
      </c>
      <c r="N387" s="254">
        <v>2</v>
      </c>
      <c r="O387" s="254">
        <v>0</v>
      </c>
      <c r="P387" s="254">
        <v>0</v>
      </c>
      <c r="Q387" s="254">
        <v>1</v>
      </c>
      <c r="R387" s="254">
        <v>11</v>
      </c>
      <c r="S387" s="254">
        <v>4</v>
      </c>
      <c r="T387" s="254">
        <v>0</v>
      </c>
      <c r="U387" s="254">
        <v>1</v>
      </c>
      <c r="V387" s="254">
        <v>1</v>
      </c>
      <c r="W387" s="254">
        <v>20</v>
      </c>
      <c r="X387" s="254">
        <v>0</v>
      </c>
      <c r="Y387" s="254">
        <v>4</v>
      </c>
      <c r="Z387" s="254">
        <v>2</v>
      </c>
      <c r="AA387" s="254">
        <v>1</v>
      </c>
      <c r="AB387" s="254">
        <v>1</v>
      </c>
      <c r="AC387" s="254">
        <v>2</v>
      </c>
      <c r="AD387" s="254">
        <v>3</v>
      </c>
    </row>
    <row r="388" spans="2:30">
      <c r="B388" s="201" t="s">
        <v>337</v>
      </c>
      <c r="C388" s="201" t="s">
        <v>516</v>
      </c>
      <c r="D388" s="10">
        <f t="shared" si="256"/>
        <v>1926</v>
      </c>
      <c r="E388" s="254">
        <v>7</v>
      </c>
      <c r="F388" s="254">
        <v>75</v>
      </c>
      <c r="G388" s="254">
        <v>21</v>
      </c>
      <c r="H388" s="254">
        <v>110</v>
      </c>
      <c r="I388" s="254">
        <v>17</v>
      </c>
      <c r="J388" s="254">
        <v>36</v>
      </c>
      <c r="K388" s="254">
        <v>10</v>
      </c>
      <c r="L388" s="254">
        <v>13</v>
      </c>
      <c r="M388" s="254">
        <v>7</v>
      </c>
      <c r="N388" s="254">
        <v>19</v>
      </c>
      <c r="O388" s="254">
        <v>28</v>
      </c>
      <c r="P388" s="254">
        <v>29</v>
      </c>
      <c r="Q388" s="254">
        <v>24</v>
      </c>
      <c r="R388" s="254">
        <v>188</v>
      </c>
      <c r="S388" s="254">
        <v>129</v>
      </c>
      <c r="T388" s="254">
        <v>2</v>
      </c>
      <c r="U388" s="254">
        <v>13</v>
      </c>
      <c r="V388" s="254">
        <v>28</v>
      </c>
      <c r="W388" s="254">
        <v>1001</v>
      </c>
      <c r="X388" s="254">
        <v>7</v>
      </c>
      <c r="Y388" s="254">
        <v>31</v>
      </c>
      <c r="Z388" s="254">
        <v>10</v>
      </c>
      <c r="AA388" s="254">
        <v>11</v>
      </c>
      <c r="AB388" s="254">
        <v>17</v>
      </c>
      <c r="AC388" s="254">
        <v>19</v>
      </c>
      <c r="AD388" s="254">
        <v>74</v>
      </c>
    </row>
    <row r="389" spans="2:30">
      <c r="B389" s="201" t="s">
        <v>338</v>
      </c>
      <c r="C389" s="201" t="s">
        <v>516</v>
      </c>
      <c r="D389" s="10">
        <f t="shared" si="256"/>
        <v>159</v>
      </c>
      <c r="E389" s="254">
        <v>0</v>
      </c>
      <c r="F389" s="254">
        <v>6</v>
      </c>
      <c r="G389" s="254">
        <v>0</v>
      </c>
      <c r="H389" s="254">
        <v>6</v>
      </c>
      <c r="I389" s="254">
        <v>2</v>
      </c>
      <c r="J389" s="254">
        <v>1</v>
      </c>
      <c r="K389" s="254">
        <v>2</v>
      </c>
      <c r="L389" s="254">
        <v>1</v>
      </c>
      <c r="M389" s="254">
        <v>1</v>
      </c>
      <c r="N389" s="254">
        <v>2</v>
      </c>
      <c r="O389" s="254">
        <v>0</v>
      </c>
      <c r="P389" s="254">
        <v>1</v>
      </c>
      <c r="Q389" s="254">
        <v>2</v>
      </c>
      <c r="R389" s="254">
        <v>6</v>
      </c>
      <c r="S389" s="254">
        <v>0</v>
      </c>
      <c r="T389" s="254">
        <v>1</v>
      </c>
      <c r="U389" s="254">
        <v>0</v>
      </c>
      <c r="V389" s="254">
        <v>3</v>
      </c>
      <c r="W389" s="254">
        <v>115</v>
      </c>
      <c r="X389" s="254">
        <v>0</v>
      </c>
      <c r="Y389" s="254">
        <v>1</v>
      </c>
      <c r="Z389" s="254">
        <v>1</v>
      </c>
      <c r="AA389" s="254">
        <v>1</v>
      </c>
      <c r="AB389" s="254">
        <v>0</v>
      </c>
      <c r="AC389" s="254">
        <v>1</v>
      </c>
      <c r="AD389" s="254">
        <v>6</v>
      </c>
    </row>
    <row r="390" spans="2:30">
      <c r="B390" s="200" t="s">
        <v>16</v>
      </c>
      <c r="C390" s="200" t="s">
        <v>516</v>
      </c>
      <c r="D390" s="246">
        <f>SUM(D383:D389)</f>
        <v>2759</v>
      </c>
      <c r="E390" s="246">
        <f>SUM(E383:E389)</f>
        <v>15</v>
      </c>
      <c r="F390" s="246">
        <f t="shared" ref="F390" si="257">SUM(F383:F389)</f>
        <v>109</v>
      </c>
      <c r="G390" s="246">
        <f t="shared" ref="G390" si="258">SUM(G383:G389)</f>
        <v>33</v>
      </c>
      <c r="H390" s="246">
        <f t="shared" ref="H390" si="259">SUM(H383:H389)</f>
        <v>150</v>
      </c>
      <c r="I390" s="246">
        <f t="shared" ref="I390" si="260">SUM(I383:I389)</f>
        <v>24</v>
      </c>
      <c r="J390" s="246">
        <f t="shared" ref="J390" si="261">SUM(J383:J389)</f>
        <v>54</v>
      </c>
      <c r="K390" s="246">
        <f t="shared" ref="K390" si="262">SUM(K383:K389)</f>
        <v>18</v>
      </c>
      <c r="L390" s="246">
        <f t="shared" ref="L390" si="263">SUM(L383:L389)</f>
        <v>23</v>
      </c>
      <c r="M390" s="246">
        <f t="shared" ref="M390" si="264">SUM(M383:M389)</f>
        <v>10</v>
      </c>
      <c r="N390" s="246">
        <f t="shared" ref="N390" si="265">SUM(N383:N389)</f>
        <v>32</v>
      </c>
      <c r="O390" s="246">
        <f t="shared" ref="O390" si="266">SUM(O383:O389)</f>
        <v>35</v>
      </c>
      <c r="P390" s="246">
        <f t="shared" ref="P390" si="267">SUM(P383:P389)</f>
        <v>42</v>
      </c>
      <c r="Q390" s="246">
        <f t="shared" ref="Q390" si="268">SUM(Q383:Q389)</f>
        <v>37</v>
      </c>
      <c r="R390" s="246">
        <f t="shared" ref="R390" si="269">SUM(R383:R389)</f>
        <v>262</v>
      </c>
      <c r="S390" s="246">
        <f t="shared" ref="S390" si="270">SUM(S383:S389)</f>
        <v>152</v>
      </c>
      <c r="T390" s="246">
        <f t="shared" ref="T390" si="271">SUM(T383:T389)</f>
        <v>3</v>
      </c>
      <c r="U390" s="246">
        <f t="shared" ref="U390" si="272">SUM(U383:U389)</f>
        <v>23</v>
      </c>
      <c r="V390" s="246">
        <f t="shared" ref="V390" si="273">SUM(V383:V389)</f>
        <v>40</v>
      </c>
      <c r="W390" s="246">
        <f t="shared" ref="W390" si="274">SUM(W383:W389)</f>
        <v>1430</v>
      </c>
      <c r="X390" s="246">
        <f t="shared" ref="X390" si="275">SUM(X383:X389)</f>
        <v>17</v>
      </c>
      <c r="Y390" s="246">
        <f t="shared" ref="Y390" si="276">SUM(Y383:Y389)</f>
        <v>47</v>
      </c>
      <c r="Z390" s="246">
        <f t="shared" ref="Z390" si="277">SUM(Z383:Z389)</f>
        <v>18</v>
      </c>
      <c r="AA390" s="246">
        <f t="shared" ref="AA390" si="278">SUM(AA383:AA389)</f>
        <v>16</v>
      </c>
      <c r="AB390" s="246">
        <f t="shared" ref="AB390" si="279">SUM(AB383:AB389)</f>
        <v>24</v>
      </c>
      <c r="AC390" s="246">
        <f t="shared" ref="AC390" si="280">SUM(AC383:AC389)</f>
        <v>37</v>
      </c>
      <c r="AD390" s="246">
        <f t="shared" ref="AD390" si="281">SUM(AD383:AD389)</f>
        <v>108</v>
      </c>
    </row>
    <row r="391" spans="2:30">
      <c r="B391" s="201" t="s">
        <v>599</v>
      </c>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c r="AC391" s="201"/>
      <c r="AD391" s="201"/>
    </row>
    <row r="392" spans="2:30">
      <c r="B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c r="AC392" s="201"/>
      <c r="AD392" s="201"/>
    </row>
    <row r="393" spans="2:30">
      <c r="B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c r="AC393" s="201"/>
      <c r="AD393" s="201"/>
    </row>
    <row r="394" spans="2:30">
      <c r="B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c r="AC394" s="201"/>
      <c r="AD394" s="201"/>
    </row>
    <row r="395" spans="2:30" ht="15.6">
      <c r="B395" s="143" t="s">
        <v>615</v>
      </c>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c r="AC395" s="201"/>
      <c r="AD395" s="201"/>
    </row>
    <row r="396" spans="2:30">
      <c r="B396" s="114" t="s">
        <v>588</v>
      </c>
      <c r="C396" s="114" t="s">
        <v>63</v>
      </c>
      <c r="D396" s="114" t="str">
        <f>D382</f>
        <v>IE</v>
      </c>
      <c r="E396" s="114" t="str">
        <f t="shared" ref="E396:AD396" si="282">E382</f>
        <v>IE-CW</v>
      </c>
      <c r="F396" s="114" t="str">
        <f t="shared" si="282"/>
        <v>IE-D</v>
      </c>
      <c r="G396" s="114" t="str">
        <f t="shared" si="282"/>
        <v>IE-KE</v>
      </c>
      <c r="H396" s="114" t="str">
        <f t="shared" si="282"/>
        <v>IE-KK</v>
      </c>
      <c r="I396" s="114" t="str">
        <f t="shared" si="282"/>
        <v>IE-LS</v>
      </c>
      <c r="J396" s="114" t="str">
        <f t="shared" si="282"/>
        <v>IE-LD</v>
      </c>
      <c r="K396" s="114" t="str">
        <f t="shared" si="282"/>
        <v>IE-LH</v>
      </c>
      <c r="L396" s="114" t="str">
        <f t="shared" si="282"/>
        <v>IE-MH</v>
      </c>
      <c r="M396" s="114" t="str">
        <f t="shared" si="282"/>
        <v>IE-OY</v>
      </c>
      <c r="N396" s="114" t="str">
        <f t="shared" si="282"/>
        <v>IE-WH</v>
      </c>
      <c r="O396" s="114" t="str">
        <f t="shared" si="282"/>
        <v>IE-WX</v>
      </c>
      <c r="P396" s="114" t="str">
        <f t="shared" si="282"/>
        <v>IE-WW</v>
      </c>
      <c r="Q396" s="114" t="str">
        <f t="shared" si="282"/>
        <v>IE-CE</v>
      </c>
      <c r="R396" s="114" t="str">
        <f t="shared" si="282"/>
        <v>IE-CO</v>
      </c>
      <c r="S396" s="114" t="str">
        <f t="shared" si="282"/>
        <v>IE-KY</v>
      </c>
      <c r="T396" s="114" t="str">
        <f t="shared" si="282"/>
        <v>IE-LK</v>
      </c>
      <c r="U396" s="114" t="str">
        <f t="shared" si="282"/>
        <v>IE-TA</v>
      </c>
      <c r="V396" s="114" t="str">
        <f t="shared" si="282"/>
        <v>IE-WD</v>
      </c>
      <c r="W396" s="114" t="str">
        <f t="shared" si="282"/>
        <v>IE-G</v>
      </c>
      <c r="X396" s="114" t="str">
        <f t="shared" si="282"/>
        <v>IE-LM</v>
      </c>
      <c r="Y396" s="114" t="str">
        <f t="shared" si="282"/>
        <v>IE-MO</v>
      </c>
      <c r="Z396" s="114" t="str">
        <f t="shared" si="282"/>
        <v>IE-RN</v>
      </c>
      <c r="AA396" s="114" t="str">
        <f t="shared" si="282"/>
        <v>IE-SO</v>
      </c>
      <c r="AB396" s="114" t="str">
        <f t="shared" si="282"/>
        <v>IE-CN</v>
      </c>
      <c r="AC396" s="114" t="str">
        <f t="shared" si="282"/>
        <v>IE-DL</v>
      </c>
      <c r="AD396" s="114" t="str">
        <f t="shared" si="282"/>
        <v>IE-MN</v>
      </c>
    </row>
    <row r="397" spans="2:30">
      <c r="B397" s="201" t="s">
        <v>332</v>
      </c>
      <c r="C397" s="249" t="s">
        <v>592</v>
      </c>
      <c r="D397" s="35">
        <f>D383/D$390</f>
        <v>5.1105472997462847E-2</v>
      </c>
      <c r="E397" s="35">
        <f t="shared" ref="E397:AD403" si="283">E383/E$390</f>
        <v>0.13333333333333333</v>
      </c>
      <c r="F397" s="35">
        <f t="shared" si="283"/>
        <v>3.669724770642202E-2</v>
      </c>
      <c r="G397" s="35">
        <f t="shared" si="283"/>
        <v>9.0909090909090912E-2</v>
      </c>
      <c r="H397" s="35">
        <f t="shared" si="283"/>
        <v>0.02</v>
      </c>
      <c r="I397" s="35">
        <f t="shared" si="283"/>
        <v>4.1666666666666664E-2</v>
      </c>
      <c r="J397" s="35">
        <f t="shared" si="283"/>
        <v>9.2592592592592587E-2</v>
      </c>
      <c r="K397" s="35">
        <f t="shared" si="283"/>
        <v>5.5555555555555552E-2</v>
      </c>
      <c r="L397" s="35">
        <f t="shared" si="283"/>
        <v>0.17391304347826086</v>
      </c>
      <c r="M397" s="35">
        <f t="shared" si="283"/>
        <v>0.1</v>
      </c>
      <c r="N397" s="35">
        <f t="shared" si="283"/>
        <v>9.375E-2</v>
      </c>
      <c r="O397" s="35">
        <f t="shared" si="283"/>
        <v>0</v>
      </c>
      <c r="P397" s="35">
        <f t="shared" si="283"/>
        <v>4.7619047619047616E-2</v>
      </c>
      <c r="Q397" s="35">
        <f t="shared" si="283"/>
        <v>5.4054054054054057E-2</v>
      </c>
      <c r="R397" s="35">
        <f t="shared" si="283"/>
        <v>6.8702290076335881E-2</v>
      </c>
      <c r="S397" s="35">
        <f t="shared" si="283"/>
        <v>3.2894736842105261E-2</v>
      </c>
      <c r="T397" s="35">
        <f t="shared" si="283"/>
        <v>0</v>
      </c>
      <c r="U397" s="35">
        <f t="shared" si="283"/>
        <v>4.3478260869565216E-2</v>
      </c>
      <c r="V397" s="35">
        <f t="shared" si="283"/>
        <v>2.5000000000000001E-2</v>
      </c>
      <c r="W397" s="35">
        <f t="shared" si="283"/>
        <v>4.9650349650349652E-2</v>
      </c>
      <c r="X397" s="35">
        <f t="shared" si="283"/>
        <v>0.11764705882352941</v>
      </c>
      <c r="Y397" s="35">
        <f t="shared" si="283"/>
        <v>4.2553191489361701E-2</v>
      </c>
      <c r="Z397" s="35">
        <f t="shared" si="283"/>
        <v>5.5555555555555552E-2</v>
      </c>
      <c r="AA397" s="35">
        <f t="shared" si="283"/>
        <v>0</v>
      </c>
      <c r="AB397" s="35">
        <f t="shared" si="283"/>
        <v>4.1666666666666664E-2</v>
      </c>
      <c r="AC397" s="35">
        <f t="shared" si="283"/>
        <v>5.4054054054054057E-2</v>
      </c>
      <c r="AD397" s="35">
        <f t="shared" si="283"/>
        <v>5.5555555555555552E-2</v>
      </c>
    </row>
    <row r="398" spans="2:30">
      <c r="B398" s="201" t="s">
        <v>333</v>
      </c>
      <c r="C398" s="2" t="s">
        <v>592</v>
      </c>
      <c r="D398" s="35">
        <f t="shared" ref="D398:S403" si="284">D384/D$390</f>
        <v>3.6245016310257339E-4</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4"/>
        <v>0</v>
      </c>
      <c r="T398" s="35">
        <f t="shared" si="283"/>
        <v>0</v>
      </c>
      <c r="U398" s="35">
        <f t="shared" si="283"/>
        <v>0</v>
      </c>
      <c r="V398" s="35">
        <f t="shared" si="283"/>
        <v>0</v>
      </c>
      <c r="W398" s="35">
        <f t="shared" si="283"/>
        <v>6.993006993006993E-4</v>
      </c>
      <c r="X398" s="35">
        <f t="shared" si="283"/>
        <v>0</v>
      </c>
      <c r="Y398" s="35">
        <f t="shared" si="283"/>
        <v>0</v>
      </c>
      <c r="Z398" s="35">
        <f t="shared" si="283"/>
        <v>0</v>
      </c>
      <c r="AA398" s="35">
        <f t="shared" si="283"/>
        <v>0</v>
      </c>
      <c r="AB398" s="35">
        <f t="shared" si="283"/>
        <v>0</v>
      </c>
      <c r="AC398" s="35">
        <f t="shared" si="283"/>
        <v>0</v>
      </c>
      <c r="AD398" s="35">
        <f t="shared" si="283"/>
        <v>0</v>
      </c>
    </row>
    <row r="399" spans="2:30">
      <c r="B399" s="201" t="s">
        <v>334</v>
      </c>
      <c r="C399" s="2" t="s">
        <v>592</v>
      </c>
      <c r="D399" s="35">
        <f t="shared" si="284"/>
        <v>6.0891627401232329E-2</v>
      </c>
      <c r="E399" s="35">
        <f t="shared" si="283"/>
        <v>0.13333333333333333</v>
      </c>
      <c r="F399" s="35">
        <f t="shared" si="283"/>
        <v>5.5045871559633031E-2</v>
      </c>
      <c r="G399" s="35">
        <f t="shared" si="283"/>
        <v>0</v>
      </c>
      <c r="H399" s="35">
        <f t="shared" si="283"/>
        <v>0.1</v>
      </c>
      <c r="I399" s="35">
        <f t="shared" si="283"/>
        <v>8.3333333333333329E-2</v>
      </c>
      <c r="J399" s="35">
        <f t="shared" si="283"/>
        <v>0.1111111111111111</v>
      </c>
      <c r="K399" s="35">
        <f t="shared" si="283"/>
        <v>0.22222222222222221</v>
      </c>
      <c r="L399" s="35">
        <f t="shared" si="283"/>
        <v>0.13043478260869565</v>
      </c>
      <c r="M399" s="35">
        <f t="shared" si="283"/>
        <v>0.1</v>
      </c>
      <c r="N399" s="35">
        <f t="shared" si="283"/>
        <v>9.375E-2</v>
      </c>
      <c r="O399" s="35">
        <f t="shared" si="283"/>
        <v>2.8571428571428571E-2</v>
      </c>
      <c r="P399" s="35">
        <f t="shared" si="283"/>
        <v>0.14285714285714285</v>
      </c>
      <c r="Q399" s="35">
        <f t="shared" si="283"/>
        <v>2.7027027027027029E-2</v>
      </c>
      <c r="R399" s="35">
        <f t="shared" si="283"/>
        <v>7.6335877862595422E-2</v>
      </c>
      <c r="S399" s="35">
        <f t="shared" si="283"/>
        <v>2.6315789473684209E-2</v>
      </c>
      <c r="T399" s="35">
        <f t="shared" si="283"/>
        <v>0</v>
      </c>
      <c r="U399" s="35">
        <f t="shared" si="283"/>
        <v>0.13043478260869565</v>
      </c>
      <c r="V399" s="35">
        <f t="shared" si="283"/>
        <v>0.05</v>
      </c>
      <c r="W399" s="35">
        <f t="shared" si="283"/>
        <v>4.8251748251748251E-2</v>
      </c>
      <c r="X399" s="35">
        <f t="shared" si="283"/>
        <v>5.8823529411764705E-2</v>
      </c>
      <c r="Y399" s="35">
        <f t="shared" si="283"/>
        <v>0.1276595744680851</v>
      </c>
      <c r="Z399" s="35">
        <f t="shared" si="283"/>
        <v>0</v>
      </c>
      <c r="AA399" s="35">
        <f t="shared" si="283"/>
        <v>6.25E-2</v>
      </c>
      <c r="AB399" s="35">
        <f t="shared" si="283"/>
        <v>4.1666666666666664E-2</v>
      </c>
      <c r="AC399" s="35">
        <f t="shared" si="283"/>
        <v>8.1081081081081086E-2</v>
      </c>
      <c r="AD399" s="35">
        <f t="shared" si="283"/>
        <v>7.407407407407407E-2</v>
      </c>
    </row>
    <row r="400" spans="2:30">
      <c r="B400" s="201" t="s">
        <v>335</v>
      </c>
      <c r="C400" s="2" t="s">
        <v>592</v>
      </c>
      <c r="D400" s="35">
        <f t="shared" si="284"/>
        <v>0.10945994925697716</v>
      </c>
      <c r="E400" s="35">
        <f t="shared" si="283"/>
        <v>0.2</v>
      </c>
      <c r="F400" s="35">
        <f t="shared" si="283"/>
        <v>0.14678899082568808</v>
      </c>
      <c r="G400" s="35">
        <f t="shared" si="283"/>
        <v>0.27272727272727271</v>
      </c>
      <c r="H400" s="35">
        <f t="shared" si="283"/>
        <v>0.1</v>
      </c>
      <c r="I400" s="35">
        <f t="shared" si="283"/>
        <v>4.1666666666666664E-2</v>
      </c>
      <c r="J400" s="35">
        <f t="shared" si="283"/>
        <v>7.407407407407407E-2</v>
      </c>
      <c r="K400" s="35">
        <f t="shared" si="283"/>
        <v>0</v>
      </c>
      <c r="L400" s="35">
        <f t="shared" si="283"/>
        <v>4.3478260869565216E-2</v>
      </c>
      <c r="M400" s="35">
        <f t="shared" si="283"/>
        <v>0</v>
      </c>
      <c r="N400" s="35">
        <f t="shared" si="283"/>
        <v>9.375E-2</v>
      </c>
      <c r="O400" s="35">
        <f t="shared" si="283"/>
        <v>0.17142857142857143</v>
      </c>
      <c r="P400" s="35">
        <f t="shared" si="283"/>
        <v>9.5238095238095233E-2</v>
      </c>
      <c r="Q400" s="35">
        <f t="shared" si="283"/>
        <v>0.1891891891891892</v>
      </c>
      <c r="R400" s="35">
        <f t="shared" si="283"/>
        <v>7.2519083969465645E-2</v>
      </c>
      <c r="S400" s="35">
        <f t="shared" si="283"/>
        <v>6.5789473684210523E-2</v>
      </c>
      <c r="T400" s="35">
        <f t="shared" si="283"/>
        <v>0</v>
      </c>
      <c r="U400" s="35">
        <f t="shared" si="283"/>
        <v>0.21739130434782608</v>
      </c>
      <c r="V400" s="35">
        <f t="shared" si="283"/>
        <v>0.125</v>
      </c>
      <c r="W400" s="35">
        <f t="shared" si="283"/>
        <v>0.106993006993007</v>
      </c>
      <c r="X400" s="35">
        <f t="shared" si="283"/>
        <v>0.41176470588235292</v>
      </c>
      <c r="Y400" s="35">
        <f t="shared" si="283"/>
        <v>6.3829787234042548E-2</v>
      </c>
      <c r="Z400" s="35">
        <f t="shared" si="283"/>
        <v>0.22222222222222221</v>
      </c>
      <c r="AA400" s="35">
        <f t="shared" si="283"/>
        <v>0.125</v>
      </c>
      <c r="AB400" s="35">
        <f t="shared" si="283"/>
        <v>0.16666666666666666</v>
      </c>
      <c r="AC400" s="35">
        <f t="shared" si="283"/>
        <v>0.27027027027027029</v>
      </c>
      <c r="AD400" s="35">
        <f t="shared" si="283"/>
        <v>0.10185185185185185</v>
      </c>
    </row>
    <row r="401" spans="2:30">
      <c r="B401" s="201" t="s">
        <v>336</v>
      </c>
      <c r="C401" s="2" t="s">
        <v>592</v>
      </c>
      <c r="D401" s="35">
        <f t="shared" si="284"/>
        <v>2.247191011235955E-2</v>
      </c>
      <c r="E401" s="35">
        <f t="shared" si="283"/>
        <v>6.6666666666666666E-2</v>
      </c>
      <c r="F401" s="35">
        <f t="shared" si="283"/>
        <v>1.834862385321101E-2</v>
      </c>
      <c r="G401" s="35">
        <f t="shared" si="283"/>
        <v>0</v>
      </c>
      <c r="H401" s="35">
        <f t="shared" si="283"/>
        <v>6.6666666666666671E-3</v>
      </c>
      <c r="I401" s="35">
        <f t="shared" si="283"/>
        <v>4.1666666666666664E-2</v>
      </c>
      <c r="J401" s="35">
        <f t="shared" si="283"/>
        <v>3.7037037037037035E-2</v>
      </c>
      <c r="K401" s="35">
        <f t="shared" si="283"/>
        <v>5.5555555555555552E-2</v>
      </c>
      <c r="L401" s="35">
        <f t="shared" si="283"/>
        <v>4.3478260869565216E-2</v>
      </c>
      <c r="M401" s="35">
        <f t="shared" si="283"/>
        <v>0</v>
      </c>
      <c r="N401" s="35">
        <f t="shared" si="283"/>
        <v>6.25E-2</v>
      </c>
      <c r="O401" s="35">
        <f t="shared" si="283"/>
        <v>0</v>
      </c>
      <c r="P401" s="35">
        <f t="shared" si="283"/>
        <v>0</v>
      </c>
      <c r="Q401" s="35">
        <f t="shared" si="283"/>
        <v>2.7027027027027029E-2</v>
      </c>
      <c r="R401" s="35">
        <f t="shared" si="283"/>
        <v>4.1984732824427481E-2</v>
      </c>
      <c r="S401" s="35">
        <f t="shared" si="283"/>
        <v>2.6315789473684209E-2</v>
      </c>
      <c r="T401" s="35">
        <f t="shared" si="283"/>
        <v>0</v>
      </c>
      <c r="U401" s="35">
        <f t="shared" si="283"/>
        <v>4.3478260869565216E-2</v>
      </c>
      <c r="V401" s="35">
        <f t="shared" si="283"/>
        <v>2.5000000000000001E-2</v>
      </c>
      <c r="W401" s="35">
        <f t="shared" si="283"/>
        <v>1.3986013986013986E-2</v>
      </c>
      <c r="X401" s="35">
        <f t="shared" si="283"/>
        <v>0</v>
      </c>
      <c r="Y401" s="35">
        <f t="shared" si="283"/>
        <v>8.5106382978723402E-2</v>
      </c>
      <c r="Z401" s="35">
        <f t="shared" si="283"/>
        <v>0.1111111111111111</v>
      </c>
      <c r="AA401" s="35">
        <f t="shared" si="283"/>
        <v>6.25E-2</v>
      </c>
      <c r="AB401" s="35">
        <f t="shared" si="283"/>
        <v>4.1666666666666664E-2</v>
      </c>
      <c r="AC401" s="35">
        <f t="shared" si="283"/>
        <v>5.4054054054054057E-2</v>
      </c>
      <c r="AD401" s="35">
        <f t="shared" si="283"/>
        <v>2.7777777777777776E-2</v>
      </c>
    </row>
    <row r="402" spans="2:30">
      <c r="B402" s="201" t="s">
        <v>337</v>
      </c>
      <c r="C402" s="2" t="s">
        <v>592</v>
      </c>
      <c r="D402" s="35">
        <f t="shared" si="284"/>
        <v>0.6980790141355564</v>
      </c>
      <c r="E402" s="35">
        <f t="shared" si="283"/>
        <v>0.46666666666666667</v>
      </c>
      <c r="F402" s="35">
        <f t="shared" si="283"/>
        <v>0.68807339449541283</v>
      </c>
      <c r="G402" s="35">
        <f t="shared" si="283"/>
        <v>0.63636363636363635</v>
      </c>
      <c r="H402" s="35">
        <f t="shared" si="283"/>
        <v>0.73333333333333328</v>
      </c>
      <c r="I402" s="35">
        <f t="shared" si="283"/>
        <v>0.70833333333333337</v>
      </c>
      <c r="J402" s="35">
        <f t="shared" si="283"/>
        <v>0.66666666666666663</v>
      </c>
      <c r="K402" s="35">
        <f t="shared" si="283"/>
        <v>0.55555555555555558</v>
      </c>
      <c r="L402" s="35">
        <f t="shared" si="283"/>
        <v>0.56521739130434778</v>
      </c>
      <c r="M402" s="35">
        <f t="shared" si="283"/>
        <v>0.7</v>
      </c>
      <c r="N402" s="35">
        <f t="shared" si="283"/>
        <v>0.59375</v>
      </c>
      <c r="O402" s="35">
        <f t="shared" si="283"/>
        <v>0.8</v>
      </c>
      <c r="P402" s="35">
        <f t="shared" si="283"/>
        <v>0.69047619047619047</v>
      </c>
      <c r="Q402" s="35">
        <f t="shared" si="283"/>
        <v>0.64864864864864868</v>
      </c>
      <c r="R402" s="35">
        <f t="shared" si="283"/>
        <v>0.71755725190839692</v>
      </c>
      <c r="S402" s="35">
        <f t="shared" si="283"/>
        <v>0.84868421052631582</v>
      </c>
      <c r="T402" s="35">
        <f t="shared" si="283"/>
        <v>0.66666666666666663</v>
      </c>
      <c r="U402" s="35">
        <f t="shared" si="283"/>
        <v>0.56521739130434778</v>
      </c>
      <c r="V402" s="35">
        <f t="shared" si="283"/>
        <v>0.7</v>
      </c>
      <c r="W402" s="35">
        <f t="shared" si="283"/>
        <v>0.7</v>
      </c>
      <c r="X402" s="35">
        <f t="shared" si="283"/>
        <v>0.41176470588235292</v>
      </c>
      <c r="Y402" s="35">
        <f t="shared" si="283"/>
        <v>0.65957446808510634</v>
      </c>
      <c r="Z402" s="35">
        <f t="shared" si="283"/>
        <v>0.55555555555555558</v>
      </c>
      <c r="AA402" s="35">
        <f t="shared" si="283"/>
        <v>0.6875</v>
      </c>
      <c r="AB402" s="35">
        <f t="shared" si="283"/>
        <v>0.70833333333333337</v>
      </c>
      <c r="AC402" s="35">
        <f t="shared" si="283"/>
        <v>0.51351351351351349</v>
      </c>
      <c r="AD402" s="35">
        <f t="shared" si="283"/>
        <v>0.68518518518518523</v>
      </c>
    </row>
    <row r="403" spans="2:30">
      <c r="B403" s="201" t="s">
        <v>338</v>
      </c>
      <c r="C403" s="2" t="s">
        <v>592</v>
      </c>
      <c r="D403" s="35">
        <f t="shared" si="284"/>
        <v>5.7629575933309168E-2</v>
      </c>
      <c r="E403" s="35">
        <f t="shared" si="283"/>
        <v>0</v>
      </c>
      <c r="F403" s="35">
        <f t="shared" si="283"/>
        <v>5.5045871559633031E-2</v>
      </c>
      <c r="G403" s="35">
        <f t="shared" si="283"/>
        <v>0</v>
      </c>
      <c r="H403" s="35">
        <f t="shared" si="283"/>
        <v>0.04</v>
      </c>
      <c r="I403" s="35">
        <f t="shared" si="283"/>
        <v>8.3333333333333329E-2</v>
      </c>
      <c r="J403" s="35">
        <f t="shared" si="283"/>
        <v>1.8518518518518517E-2</v>
      </c>
      <c r="K403" s="35">
        <f t="shared" si="283"/>
        <v>0.1111111111111111</v>
      </c>
      <c r="L403" s="35">
        <f t="shared" si="283"/>
        <v>4.3478260869565216E-2</v>
      </c>
      <c r="M403" s="35">
        <f t="shared" si="283"/>
        <v>0.1</v>
      </c>
      <c r="N403" s="35">
        <f t="shared" si="283"/>
        <v>6.25E-2</v>
      </c>
      <c r="O403" s="35">
        <f t="shared" si="283"/>
        <v>0</v>
      </c>
      <c r="P403" s="35">
        <f t="shared" si="283"/>
        <v>2.3809523809523808E-2</v>
      </c>
      <c r="Q403" s="35">
        <f t="shared" si="283"/>
        <v>5.4054054054054057E-2</v>
      </c>
      <c r="R403" s="35">
        <f t="shared" si="283"/>
        <v>2.2900763358778626E-2</v>
      </c>
      <c r="S403" s="35">
        <f t="shared" si="283"/>
        <v>0</v>
      </c>
      <c r="T403" s="35">
        <f t="shared" si="283"/>
        <v>0.33333333333333331</v>
      </c>
      <c r="U403" s="35">
        <f t="shared" si="283"/>
        <v>0</v>
      </c>
      <c r="V403" s="35">
        <f t="shared" si="283"/>
        <v>7.4999999999999997E-2</v>
      </c>
      <c r="W403" s="35">
        <f t="shared" si="283"/>
        <v>8.0419580419580416E-2</v>
      </c>
      <c r="X403" s="35">
        <f t="shared" si="283"/>
        <v>0</v>
      </c>
      <c r="Y403" s="35">
        <f t="shared" si="283"/>
        <v>2.1276595744680851E-2</v>
      </c>
      <c r="Z403" s="35">
        <f t="shared" si="283"/>
        <v>5.5555555555555552E-2</v>
      </c>
      <c r="AA403" s="35">
        <f t="shared" si="283"/>
        <v>6.25E-2</v>
      </c>
      <c r="AB403" s="35">
        <f t="shared" si="283"/>
        <v>0</v>
      </c>
      <c r="AC403" s="35">
        <f t="shared" si="283"/>
        <v>2.7027027027027029E-2</v>
      </c>
      <c r="AD403" s="35">
        <f t="shared" si="283"/>
        <v>5.5555555555555552E-2</v>
      </c>
    </row>
    <row r="404" spans="2:30">
      <c r="B404" s="200" t="s">
        <v>16</v>
      </c>
      <c r="C404" s="200" t="s">
        <v>592</v>
      </c>
      <c r="D404" s="145">
        <f t="shared" ref="D404:AD404" si="285">SUM(D397:D403)</f>
        <v>1</v>
      </c>
      <c r="E404" s="145">
        <f t="shared" si="285"/>
        <v>1</v>
      </c>
      <c r="F404" s="145">
        <f t="shared" si="285"/>
        <v>1</v>
      </c>
      <c r="G404" s="145">
        <f t="shared" si="285"/>
        <v>1</v>
      </c>
      <c r="H404" s="145">
        <f t="shared" si="285"/>
        <v>1</v>
      </c>
      <c r="I404" s="145">
        <f t="shared" si="285"/>
        <v>1</v>
      </c>
      <c r="J404" s="145">
        <f t="shared" si="285"/>
        <v>0.99999999999999989</v>
      </c>
      <c r="K404" s="145">
        <f t="shared" si="285"/>
        <v>1</v>
      </c>
      <c r="L404" s="145">
        <f t="shared" si="285"/>
        <v>0.99999999999999989</v>
      </c>
      <c r="M404" s="145">
        <f t="shared" si="285"/>
        <v>0.99999999999999989</v>
      </c>
      <c r="N404" s="145">
        <f t="shared" si="285"/>
        <v>1</v>
      </c>
      <c r="O404" s="145">
        <f t="shared" si="285"/>
        <v>1</v>
      </c>
      <c r="P404" s="145">
        <f t="shared" si="285"/>
        <v>1</v>
      </c>
      <c r="Q404" s="145">
        <f t="shared" si="285"/>
        <v>1</v>
      </c>
      <c r="R404" s="145">
        <f t="shared" si="285"/>
        <v>1</v>
      </c>
      <c r="S404" s="145">
        <f t="shared" si="285"/>
        <v>1</v>
      </c>
      <c r="T404" s="145">
        <f t="shared" si="285"/>
        <v>1</v>
      </c>
      <c r="U404" s="145">
        <f t="shared" si="285"/>
        <v>0.99999999999999989</v>
      </c>
      <c r="V404" s="145">
        <f t="shared" si="285"/>
        <v>0.99999999999999989</v>
      </c>
      <c r="W404" s="145">
        <f t="shared" si="285"/>
        <v>1</v>
      </c>
      <c r="X404" s="145">
        <f t="shared" si="285"/>
        <v>0.99999999999999989</v>
      </c>
      <c r="Y404" s="145">
        <f t="shared" si="285"/>
        <v>1</v>
      </c>
      <c r="Z404" s="145">
        <f t="shared" si="285"/>
        <v>1</v>
      </c>
      <c r="AA404" s="145">
        <f t="shared" si="285"/>
        <v>1</v>
      </c>
      <c r="AB404" s="145">
        <f t="shared" si="285"/>
        <v>1</v>
      </c>
      <c r="AC404" s="145">
        <f t="shared" si="285"/>
        <v>1</v>
      </c>
      <c r="AD404" s="145">
        <f t="shared" si="285"/>
        <v>1</v>
      </c>
    </row>
    <row r="405" spans="2:30">
      <c r="B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c r="AC405" s="201"/>
      <c r="AD405" s="201"/>
    </row>
    <row r="406" spans="2:30">
      <c r="B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c r="AC406" s="201"/>
      <c r="AD406" s="201"/>
    </row>
    <row r="407" spans="2:30">
      <c r="B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c r="AC407" s="201"/>
      <c r="AD407" s="201"/>
    </row>
    <row r="408" spans="2:30" ht="15.6">
      <c r="B408" s="167" t="s">
        <v>616</v>
      </c>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c r="AC408" s="201"/>
      <c r="AD408" s="201"/>
    </row>
    <row r="409" spans="2:30">
      <c r="B409" s="114" t="s">
        <v>588</v>
      </c>
      <c r="C409" s="114" t="s">
        <v>63</v>
      </c>
      <c r="D409" s="114" t="str">
        <f>D396</f>
        <v>IE</v>
      </c>
      <c r="E409" s="114" t="str">
        <f t="shared" ref="E409:AD409" si="286">E396</f>
        <v>IE-CW</v>
      </c>
      <c r="F409" s="114" t="str">
        <f t="shared" si="286"/>
        <v>IE-D</v>
      </c>
      <c r="G409" s="114" t="str">
        <f t="shared" si="286"/>
        <v>IE-KE</v>
      </c>
      <c r="H409" s="114" t="str">
        <f t="shared" si="286"/>
        <v>IE-KK</v>
      </c>
      <c r="I409" s="114" t="str">
        <f t="shared" si="286"/>
        <v>IE-LS</v>
      </c>
      <c r="J409" s="114" t="str">
        <f t="shared" si="286"/>
        <v>IE-LD</v>
      </c>
      <c r="K409" s="114" t="str">
        <f t="shared" si="286"/>
        <v>IE-LH</v>
      </c>
      <c r="L409" s="114" t="str">
        <f t="shared" si="286"/>
        <v>IE-MH</v>
      </c>
      <c r="M409" s="114" t="str">
        <f t="shared" si="286"/>
        <v>IE-OY</v>
      </c>
      <c r="N409" s="114" t="str">
        <f t="shared" si="286"/>
        <v>IE-WH</v>
      </c>
      <c r="O409" s="114" t="str">
        <f t="shared" si="286"/>
        <v>IE-WX</v>
      </c>
      <c r="P409" s="114" t="str">
        <f t="shared" si="286"/>
        <v>IE-WW</v>
      </c>
      <c r="Q409" s="114" t="str">
        <f t="shared" si="286"/>
        <v>IE-CE</v>
      </c>
      <c r="R409" s="114" t="str">
        <f t="shared" si="286"/>
        <v>IE-CO</v>
      </c>
      <c r="S409" s="114" t="str">
        <f t="shared" si="286"/>
        <v>IE-KY</v>
      </c>
      <c r="T409" s="114" t="str">
        <f t="shared" si="286"/>
        <v>IE-LK</v>
      </c>
      <c r="U409" s="114" t="str">
        <f t="shared" si="286"/>
        <v>IE-TA</v>
      </c>
      <c r="V409" s="114" t="str">
        <f t="shared" si="286"/>
        <v>IE-WD</v>
      </c>
      <c r="W409" s="114" t="str">
        <f t="shared" si="286"/>
        <v>IE-G</v>
      </c>
      <c r="X409" s="114" t="str">
        <f t="shared" si="286"/>
        <v>IE-LM</v>
      </c>
      <c r="Y409" s="114" t="str">
        <f t="shared" si="286"/>
        <v>IE-MO</v>
      </c>
      <c r="Z409" s="114" t="str">
        <f t="shared" si="286"/>
        <v>IE-RN</v>
      </c>
      <c r="AA409" s="114" t="str">
        <f t="shared" si="286"/>
        <v>IE-SO</v>
      </c>
      <c r="AB409" s="114" t="str">
        <f t="shared" si="286"/>
        <v>IE-CN</v>
      </c>
      <c r="AC409" s="114" t="str">
        <f t="shared" si="286"/>
        <v>IE-DL</v>
      </c>
      <c r="AD409" s="114" t="str">
        <f t="shared" si="286"/>
        <v>IE-MN</v>
      </c>
    </row>
    <row r="410" spans="2:30">
      <c r="B410" s="201" t="s">
        <v>332</v>
      </c>
      <c r="C410" s="201" t="s">
        <v>593</v>
      </c>
      <c r="D410" s="251">
        <v>0.95996773943746105</v>
      </c>
      <c r="E410" s="251">
        <v>0.95996773943746105</v>
      </c>
      <c r="F410" s="251">
        <v>0.95996773943746105</v>
      </c>
      <c r="G410" s="251">
        <v>0.95996773943746105</v>
      </c>
      <c r="H410" s="251">
        <v>0.95996773943746105</v>
      </c>
      <c r="I410" s="251">
        <v>0.95996773943746105</v>
      </c>
      <c r="J410" s="251">
        <v>0.95996773943746105</v>
      </c>
      <c r="K410" s="251">
        <v>0.95996773943746105</v>
      </c>
      <c r="L410" s="251">
        <v>0.95996773943746105</v>
      </c>
      <c r="M410" s="251">
        <v>0.95996773943746105</v>
      </c>
      <c r="N410" s="251">
        <v>0.95996773943746105</v>
      </c>
      <c r="O410" s="251">
        <v>0.95996773943746105</v>
      </c>
      <c r="P410" s="251">
        <v>0.95996773943746105</v>
      </c>
      <c r="Q410" s="251">
        <v>0.95996773943746105</v>
      </c>
      <c r="R410" s="251">
        <v>0.95996773943746105</v>
      </c>
      <c r="S410" s="251">
        <v>0.95996773943746105</v>
      </c>
      <c r="T410" s="251">
        <v>0.95996773943746105</v>
      </c>
      <c r="U410" s="251">
        <v>0.95996773943746105</v>
      </c>
      <c r="V410" s="251">
        <v>0.95996773943746105</v>
      </c>
      <c r="W410" s="251">
        <v>0.95996773943746105</v>
      </c>
      <c r="X410" s="251">
        <v>0.95996773943746105</v>
      </c>
      <c r="Y410" s="251">
        <v>0.95996773943746105</v>
      </c>
      <c r="Z410" s="251">
        <v>0.95996773943746105</v>
      </c>
      <c r="AA410" s="251">
        <v>0.95996773943746105</v>
      </c>
      <c r="AB410" s="251">
        <v>0.95996773943746105</v>
      </c>
      <c r="AC410" s="251">
        <v>0.95996773943746105</v>
      </c>
      <c r="AD410" s="251">
        <v>0.95996773943746105</v>
      </c>
    </row>
    <row r="411" spans="2:30">
      <c r="B411" s="201" t="s">
        <v>333</v>
      </c>
      <c r="C411" s="201" t="s">
        <v>593</v>
      </c>
      <c r="D411" s="251">
        <v>0.97113990697512087</v>
      </c>
      <c r="E411" s="251">
        <v>0.97113990697512087</v>
      </c>
      <c r="F411" s="251">
        <v>0.97113990697512087</v>
      </c>
      <c r="G411" s="251">
        <v>0.97113990697512087</v>
      </c>
      <c r="H411" s="251">
        <v>0.97113990697512087</v>
      </c>
      <c r="I411" s="251">
        <v>0.97113990697512087</v>
      </c>
      <c r="J411" s="251">
        <v>0.97113990697512087</v>
      </c>
      <c r="K411" s="251">
        <v>0.97113990697512087</v>
      </c>
      <c r="L411" s="251">
        <v>0.97113990697512087</v>
      </c>
      <c r="M411" s="251">
        <v>0.97113990697512087</v>
      </c>
      <c r="N411" s="251">
        <v>0.97113990697512087</v>
      </c>
      <c r="O411" s="251">
        <v>0.97113990697512087</v>
      </c>
      <c r="P411" s="251">
        <v>0.97113990697512087</v>
      </c>
      <c r="Q411" s="251">
        <v>0.97113990697512087</v>
      </c>
      <c r="R411" s="251">
        <v>0.97113990697512087</v>
      </c>
      <c r="S411" s="251">
        <v>0.97113990697512087</v>
      </c>
      <c r="T411" s="251">
        <v>0.97113990697512087</v>
      </c>
      <c r="U411" s="251">
        <v>0.97113990697512087</v>
      </c>
      <c r="V411" s="251">
        <v>0.97113990697512087</v>
      </c>
      <c r="W411" s="251">
        <v>0.97113990697512087</v>
      </c>
      <c r="X411" s="251">
        <v>0.97113990697512087</v>
      </c>
      <c r="Y411" s="251">
        <v>0.97113990697512087</v>
      </c>
      <c r="Z411" s="251">
        <v>0.97113990697512087</v>
      </c>
      <c r="AA411" s="251">
        <v>0.97113990697512087</v>
      </c>
      <c r="AB411" s="251">
        <v>0.97113990697512087</v>
      </c>
      <c r="AC411" s="251">
        <v>0.97113990697512087</v>
      </c>
      <c r="AD411" s="251">
        <v>0.97113990697512087</v>
      </c>
    </row>
    <row r="412" spans="2:30">
      <c r="B412" s="201" t="s">
        <v>334</v>
      </c>
      <c r="C412" s="201" t="s">
        <v>593</v>
      </c>
      <c r="D412" s="251">
        <v>1.0401672361147916</v>
      </c>
      <c r="E412" s="251">
        <v>1.0401672361147916</v>
      </c>
      <c r="F412" s="251">
        <v>1.0401672361147916</v>
      </c>
      <c r="G412" s="251">
        <v>1.0401672361147916</v>
      </c>
      <c r="H412" s="251">
        <v>1.0401672361147916</v>
      </c>
      <c r="I412" s="251">
        <v>1.0401672361147916</v>
      </c>
      <c r="J412" s="251">
        <v>1.0401672361147916</v>
      </c>
      <c r="K412" s="251">
        <v>1.0401672361147916</v>
      </c>
      <c r="L412" s="251">
        <v>1.0401672361147916</v>
      </c>
      <c r="M412" s="251">
        <v>1.0401672361147916</v>
      </c>
      <c r="N412" s="251">
        <v>1.0401672361147916</v>
      </c>
      <c r="O412" s="251">
        <v>1.0401672361147916</v>
      </c>
      <c r="P412" s="251">
        <v>1.0401672361147916</v>
      </c>
      <c r="Q412" s="251">
        <v>1.0401672361147916</v>
      </c>
      <c r="R412" s="251">
        <v>1.0401672361147916</v>
      </c>
      <c r="S412" s="251">
        <v>1.0401672361147916</v>
      </c>
      <c r="T412" s="251">
        <v>1.0401672361147916</v>
      </c>
      <c r="U412" s="251">
        <v>1.0401672361147916</v>
      </c>
      <c r="V412" s="251">
        <v>1.0401672361147916</v>
      </c>
      <c r="W412" s="251">
        <v>1.0401672361147916</v>
      </c>
      <c r="X412" s="251">
        <v>1.0401672361147916</v>
      </c>
      <c r="Y412" s="251">
        <v>1.0401672361147916</v>
      </c>
      <c r="Z412" s="251">
        <v>1.0401672361147916</v>
      </c>
      <c r="AA412" s="251">
        <v>1.0401672361147916</v>
      </c>
      <c r="AB412" s="251">
        <v>1.0401672361147916</v>
      </c>
      <c r="AC412" s="251">
        <v>1.0401672361147916</v>
      </c>
      <c r="AD412" s="251">
        <v>1.0401672361147916</v>
      </c>
    </row>
    <row r="413" spans="2:30">
      <c r="B413" s="201" t="s">
        <v>335</v>
      </c>
      <c r="C413" s="201" t="s">
        <v>593</v>
      </c>
      <c r="D413" s="251">
        <v>1.0474275590661064</v>
      </c>
      <c r="E413" s="251">
        <v>1.0474275590661064</v>
      </c>
      <c r="F413" s="251">
        <v>1.0474275590661064</v>
      </c>
      <c r="G413" s="251">
        <v>1.0474275590661064</v>
      </c>
      <c r="H413" s="251">
        <v>1.0474275590661064</v>
      </c>
      <c r="I413" s="251">
        <v>1.0474275590661064</v>
      </c>
      <c r="J413" s="251">
        <v>1.0474275590661064</v>
      </c>
      <c r="K413" s="251">
        <v>1.0474275590661064</v>
      </c>
      <c r="L413" s="251">
        <v>1.0474275590661064</v>
      </c>
      <c r="M413" s="251">
        <v>1.0474275590661064</v>
      </c>
      <c r="N413" s="251">
        <v>1.0474275590661064</v>
      </c>
      <c r="O413" s="251">
        <v>1.0474275590661064</v>
      </c>
      <c r="P413" s="251">
        <v>1.0474275590661064</v>
      </c>
      <c r="Q413" s="251">
        <v>1.0474275590661064</v>
      </c>
      <c r="R413" s="251">
        <v>1.0474275590661064</v>
      </c>
      <c r="S413" s="251">
        <v>1.0474275590661064</v>
      </c>
      <c r="T413" s="251">
        <v>1.0474275590661064</v>
      </c>
      <c r="U413" s="251">
        <v>1.0474275590661064</v>
      </c>
      <c r="V413" s="251">
        <v>1.0474275590661064</v>
      </c>
      <c r="W413" s="251">
        <v>1.0474275590661064</v>
      </c>
      <c r="X413" s="251">
        <v>1.0474275590661064</v>
      </c>
      <c r="Y413" s="251">
        <v>1.0474275590661064</v>
      </c>
      <c r="Z413" s="251">
        <v>1.0474275590661064</v>
      </c>
      <c r="AA413" s="251">
        <v>1.0474275590661064</v>
      </c>
      <c r="AB413" s="251">
        <v>1.0474275590661064</v>
      </c>
      <c r="AC413" s="251">
        <v>1.0474275590661064</v>
      </c>
      <c r="AD413" s="251">
        <v>1.0474275590661064</v>
      </c>
    </row>
    <row r="414" spans="2:30">
      <c r="B414" s="201" t="s">
        <v>336</v>
      </c>
      <c r="C414" s="201" t="s">
        <v>593</v>
      </c>
      <c r="D414" s="251">
        <v>1.0808963939222047</v>
      </c>
      <c r="E414" s="251">
        <v>1.0808963939222047</v>
      </c>
      <c r="F414" s="251">
        <v>1.0808963939222047</v>
      </c>
      <c r="G414" s="251">
        <v>1.0808963939222047</v>
      </c>
      <c r="H414" s="251">
        <v>1.0808963939222047</v>
      </c>
      <c r="I414" s="251">
        <v>1.0808963939222047</v>
      </c>
      <c r="J414" s="251">
        <v>1.0808963939222047</v>
      </c>
      <c r="K414" s="251">
        <v>1.0808963939222047</v>
      </c>
      <c r="L414" s="251">
        <v>1.0808963939222047</v>
      </c>
      <c r="M414" s="251">
        <v>1.0808963939222047</v>
      </c>
      <c r="N414" s="251">
        <v>1.0808963939222047</v>
      </c>
      <c r="O414" s="251">
        <v>1.0808963939222047</v>
      </c>
      <c r="P414" s="251">
        <v>1.0808963939222047</v>
      </c>
      <c r="Q414" s="251">
        <v>1.0808963939222047</v>
      </c>
      <c r="R414" s="251">
        <v>1.0808963939222047</v>
      </c>
      <c r="S414" s="251">
        <v>1.0808963939222047</v>
      </c>
      <c r="T414" s="251">
        <v>1.0808963939222047</v>
      </c>
      <c r="U414" s="251">
        <v>1.0808963939222047</v>
      </c>
      <c r="V414" s="251">
        <v>1.0808963939222047</v>
      </c>
      <c r="W414" s="251">
        <v>1.0808963939222047</v>
      </c>
      <c r="X414" s="251">
        <v>1.0808963939222047</v>
      </c>
      <c r="Y414" s="251">
        <v>1.0808963939222047</v>
      </c>
      <c r="Z414" s="251">
        <v>1.0808963939222047</v>
      </c>
      <c r="AA414" s="251">
        <v>1.0808963939222047</v>
      </c>
      <c r="AB414" s="251">
        <v>1.0808963939222047</v>
      </c>
      <c r="AC414" s="251">
        <v>1.0808963939222047</v>
      </c>
      <c r="AD414" s="251">
        <v>1.0808963939222047</v>
      </c>
    </row>
    <row r="415" spans="2:30">
      <c r="B415" s="201" t="s">
        <v>337</v>
      </c>
      <c r="C415" s="201" t="s">
        <v>593</v>
      </c>
      <c r="D415" s="251">
        <v>1.0847141785978622</v>
      </c>
      <c r="E415" s="251">
        <v>1.0847141785978622</v>
      </c>
      <c r="F415" s="251">
        <v>1.0847141785978622</v>
      </c>
      <c r="G415" s="251">
        <v>1.0847141785978622</v>
      </c>
      <c r="H415" s="251">
        <v>1.0847141785978622</v>
      </c>
      <c r="I415" s="251">
        <v>1.0847141785978622</v>
      </c>
      <c r="J415" s="251">
        <v>1.0847141785978622</v>
      </c>
      <c r="K415" s="251">
        <v>1.0847141785978622</v>
      </c>
      <c r="L415" s="251">
        <v>1.0847141785978622</v>
      </c>
      <c r="M415" s="251">
        <v>1.0847141785978622</v>
      </c>
      <c r="N415" s="251">
        <v>1.0847141785978622</v>
      </c>
      <c r="O415" s="251">
        <v>1.0847141785978622</v>
      </c>
      <c r="P415" s="251">
        <v>1.0847141785978622</v>
      </c>
      <c r="Q415" s="251">
        <v>1.0847141785978622</v>
      </c>
      <c r="R415" s="251">
        <v>1.0847141785978622</v>
      </c>
      <c r="S415" s="251">
        <v>1.0847141785978622</v>
      </c>
      <c r="T415" s="251">
        <v>1.0847141785978622</v>
      </c>
      <c r="U415" s="251">
        <v>1.0847141785978622</v>
      </c>
      <c r="V415" s="251">
        <v>1.0847141785978622</v>
      </c>
      <c r="W415" s="251">
        <v>1.0847141785978622</v>
      </c>
      <c r="X415" s="251">
        <v>1.0847141785978622</v>
      </c>
      <c r="Y415" s="251">
        <v>1.0847141785978622</v>
      </c>
      <c r="Z415" s="251">
        <v>1.0847141785978622</v>
      </c>
      <c r="AA415" s="251">
        <v>1.0847141785978622</v>
      </c>
      <c r="AB415" s="251">
        <v>1.0847141785978622</v>
      </c>
      <c r="AC415" s="251">
        <v>1.0847141785978622</v>
      </c>
      <c r="AD415" s="251">
        <v>1.0847141785978622</v>
      </c>
    </row>
    <row r="416" spans="2:30">
      <c r="B416" s="200" t="s">
        <v>338</v>
      </c>
      <c r="C416" s="200" t="s">
        <v>593</v>
      </c>
      <c r="D416" s="256">
        <v>1.1741282819271783</v>
      </c>
      <c r="E416" s="256">
        <v>1.1741282819271783</v>
      </c>
      <c r="F416" s="256">
        <v>1.1741282819271783</v>
      </c>
      <c r="G416" s="256">
        <v>1.1741282819271783</v>
      </c>
      <c r="H416" s="256">
        <v>1.1741282819271783</v>
      </c>
      <c r="I416" s="256">
        <v>1.1741282819271783</v>
      </c>
      <c r="J416" s="256">
        <v>1.1741282819271783</v>
      </c>
      <c r="K416" s="256">
        <v>1.1741282819271783</v>
      </c>
      <c r="L416" s="256">
        <v>1.1741282819271783</v>
      </c>
      <c r="M416" s="256">
        <v>1.1741282819271783</v>
      </c>
      <c r="N416" s="256">
        <v>1.1741282819271783</v>
      </c>
      <c r="O416" s="256">
        <v>1.1741282819271783</v>
      </c>
      <c r="P416" s="256">
        <v>1.1741282819271783</v>
      </c>
      <c r="Q416" s="256">
        <v>1.1741282819271783</v>
      </c>
      <c r="R416" s="256">
        <v>1.1741282819271783</v>
      </c>
      <c r="S416" s="256">
        <v>1.1741282819271783</v>
      </c>
      <c r="T416" s="256">
        <v>1.1741282819271783</v>
      </c>
      <c r="U416" s="256">
        <v>1.1741282819271783</v>
      </c>
      <c r="V416" s="256">
        <v>1.1741282819271783</v>
      </c>
      <c r="W416" s="256">
        <v>1.1741282819271783</v>
      </c>
      <c r="X416" s="256">
        <v>1.1741282819271783</v>
      </c>
      <c r="Y416" s="256">
        <v>1.1741282819271783</v>
      </c>
      <c r="Z416" s="256">
        <v>1.1741282819271783</v>
      </c>
      <c r="AA416" s="256">
        <v>1.1741282819271783</v>
      </c>
      <c r="AB416" s="256">
        <v>1.1741282819271783</v>
      </c>
      <c r="AC416" s="256">
        <v>1.1741282819271783</v>
      </c>
      <c r="AD416" s="256">
        <v>1.1741282819271783</v>
      </c>
    </row>
    <row r="417" spans="2:30">
      <c r="B417" s="252" t="s">
        <v>597</v>
      </c>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c r="AC417" s="201"/>
      <c r="AD417" s="201"/>
    </row>
    <row r="418" spans="2:30">
      <c r="B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c r="AC418" s="201"/>
      <c r="AD418" s="201"/>
    </row>
    <row r="419" spans="2:30">
      <c r="B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ht="15.6">
      <c r="B421" s="167" t="s">
        <v>616</v>
      </c>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114" t="s">
        <v>588</v>
      </c>
      <c r="C422" s="114" t="s">
        <v>63</v>
      </c>
      <c r="D422" s="114" t="str">
        <f>D409</f>
        <v>IE</v>
      </c>
      <c r="E422" s="114" t="str">
        <f t="shared" ref="E422:AD422" si="287">E409</f>
        <v>IE-CW</v>
      </c>
      <c r="F422" s="114" t="str">
        <f t="shared" si="287"/>
        <v>IE-D</v>
      </c>
      <c r="G422" s="114" t="str">
        <f t="shared" si="287"/>
        <v>IE-KE</v>
      </c>
      <c r="H422" s="114" t="str">
        <f t="shared" si="287"/>
        <v>IE-KK</v>
      </c>
      <c r="I422" s="114" t="str">
        <f t="shared" si="287"/>
        <v>IE-LS</v>
      </c>
      <c r="J422" s="114" t="str">
        <f t="shared" si="287"/>
        <v>IE-LD</v>
      </c>
      <c r="K422" s="114" t="str">
        <f t="shared" si="287"/>
        <v>IE-LH</v>
      </c>
      <c r="L422" s="114" t="str">
        <f t="shared" si="287"/>
        <v>IE-MH</v>
      </c>
      <c r="M422" s="114" t="str">
        <f t="shared" si="287"/>
        <v>IE-OY</v>
      </c>
      <c r="N422" s="114" t="str">
        <f t="shared" si="287"/>
        <v>IE-WH</v>
      </c>
      <c r="O422" s="114" t="str">
        <f t="shared" si="287"/>
        <v>IE-WX</v>
      </c>
      <c r="P422" s="114" t="str">
        <f t="shared" si="287"/>
        <v>IE-WW</v>
      </c>
      <c r="Q422" s="114" t="str">
        <f t="shared" si="287"/>
        <v>IE-CE</v>
      </c>
      <c r="R422" s="114" t="str">
        <f t="shared" si="287"/>
        <v>IE-CO</v>
      </c>
      <c r="S422" s="114" t="str">
        <f t="shared" si="287"/>
        <v>IE-KY</v>
      </c>
      <c r="T422" s="114" t="str">
        <f t="shared" si="287"/>
        <v>IE-LK</v>
      </c>
      <c r="U422" s="114" t="str">
        <f t="shared" si="287"/>
        <v>IE-TA</v>
      </c>
      <c r="V422" s="114" t="str">
        <f t="shared" si="287"/>
        <v>IE-WD</v>
      </c>
      <c r="W422" s="114" t="str">
        <f t="shared" si="287"/>
        <v>IE-G</v>
      </c>
      <c r="X422" s="114" t="str">
        <f t="shared" si="287"/>
        <v>IE-LM</v>
      </c>
      <c r="Y422" s="114" t="str">
        <f t="shared" si="287"/>
        <v>IE-MO</v>
      </c>
      <c r="Z422" s="114" t="str">
        <f t="shared" si="287"/>
        <v>IE-RN</v>
      </c>
      <c r="AA422" s="114" t="str">
        <f t="shared" si="287"/>
        <v>IE-SO</v>
      </c>
      <c r="AB422" s="114" t="str">
        <f t="shared" si="287"/>
        <v>IE-CN</v>
      </c>
      <c r="AC422" s="114" t="str">
        <f t="shared" si="287"/>
        <v>IE-DL</v>
      </c>
      <c r="AD422" s="114" t="str">
        <f t="shared" si="287"/>
        <v>IE-MN</v>
      </c>
    </row>
    <row r="423" spans="2:30">
      <c r="B423" s="201" t="s">
        <v>609</v>
      </c>
      <c r="C423" s="201" t="s">
        <v>593</v>
      </c>
      <c r="D423" s="247">
        <f>SUMPRODUCT(D397:D403,D410:D416)</f>
        <v>1.0765709644443593</v>
      </c>
      <c r="E423" s="247">
        <f>IF(E390&gt;1,SUMPRODUCT(E397:E403,E410:E416),$D$230)</f>
        <v>1.0544298848273377</v>
      </c>
      <c r="F423" s="247">
        <f t="shared" ref="F423:AD423" si="288">IF(F390&gt;1,SUMPRODUCT(F397:F403,F410:F416),$D$230)</f>
        <v>1.0770627632453529</v>
      </c>
      <c r="G423" s="247">
        <f t="shared" si="288"/>
        <v>1.0632045151655287</v>
      </c>
      <c r="H423" s="247">
        <f t="shared" si="288"/>
        <v>1.0775870058485064</v>
      </c>
      <c r="I423" s="247">
        <f t="shared" si="288"/>
        <v>1.0815426568613904</v>
      </c>
      <c r="J423" s="247">
        <f t="shared" si="288"/>
        <v>1.0669663675821317</v>
      </c>
      <c r="K423" s="247">
        <f t="shared" si="288"/>
        <v>1.0776073015362118</v>
      </c>
      <c r="L423" s="247">
        <f t="shared" si="288"/>
        <v>1.0593090966426919</v>
      </c>
      <c r="M423" s="247">
        <f t="shared" si="288"/>
        <v>1.0767262507664466</v>
      </c>
      <c r="N423" s="247">
        <f t="shared" si="288"/>
        <v>1.0706970734035384</v>
      </c>
      <c r="O423" s="247">
        <f t="shared" si="288"/>
        <v>1.0770494168929021</v>
      </c>
      <c r="P423" s="247">
        <f t="shared" si="288"/>
        <v>1.0709878236450781</v>
      </c>
      <c r="Q423" s="247">
        <f t="shared" si="288"/>
        <v>1.0744429425021005</v>
      </c>
      <c r="R423" s="247">
        <f t="shared" si="288"/>
        <v>1.0719266536470671</v>
      </c>
      <c r="S423" s="247">
        <f t="shared" si="288"/>
        <v>1.0768848542573723</v>
      </c>
      <c r="T423" s="247">
        <f t="shared" si="288"/>
        <v>1.1145188797076342</v>
      </c>
      <c r="U423" s="247">
        <f t="shared" si="288"/>
        <v>1.0652081721220339</v>
      </c>
      <c r="V423" s="247">
        <f t="shared" si="288"/>
        <v>1.0813179561860364</v>
      </c>
      <c r="W423" s="247">
        <f t="shared" si="288"/>
        <v>1.0794394253934261</v>
      </c>
      <c r="X423" s="247">
        <f t="shared" si="288"/>
        <v>1.0520644046257348</v>
      </c>
      <c r="Y423" s="247">
        <f t="shared" si="288"/>
        <v>1.0729164886576958</v>
      </c>
      <c r="Z423" s="247">
        <f t="shared" si="288"/>
        <v>1.0740411573028943</v>
      </c>
      <c r="AA423" s="247">
        <f t="shared" si="288"/>
        <v>1.0826189371670545</v>
      </c>
      <c r="AB423" s="247">
        <f t="shared" si="288"/>
        <v>1.0712867767459393</v>
      </c>
      <c r="AC423" s="247">
        <f t="shared" si="288"/>
        <v>1.0664919794867926</v>
      </c>
      <c r="AD423" s="247">
        <f t="shared" si="288"/>
        <v>1.0755477367114978</v>
      </c>
    </row>
    <row r="424" spans="2:30">
      <c r="B424" s="200"/>
      <c r="C424" s="200" t="s">
        <v>581</v>
      </c>
      <c r="D424" s="250">
        <f>1000/D423</f>
        <v>928.87513506006621</v>
      </c>
      <c r="E424" s="250">
        <f>1000/E423</f>
        <v>948.37979688308008</v>
      </c>
      <c r="F424" s="250">
        <f>1000/F423</f>
        <v>928.45100037331986</v>
      </c>
      <c r="G424" s="250">
        <f>1000/G423</f>
        <v>940.55281532011884</v>
      </c>
      <c r="H424" s="250">
        <f t="shared" ref="H424" si="289">1000/H423</f>
        <v>927.99931195586998</v>
      </c>
      <c r="I424" s="250">
        <f t="shared" ref="I424" si="290">1000/I423</f>
        <v>924.60523277183984</v>
      </c>
      <c r="J424" s="250">
        <f t="shared" ref="J424" si="291">1000/J423</f>
        <v>937.23666498140403</v>
      </c>
      <c r="K424" s="250">
        <f t="shared" ref="K424" si="292">1000/K423</f>
        <v>927.98183398945366</v>
      </c>
      <c r="L424" s="250">
        <f t="shared" ref="L424" si="293">1000/L423</f>
        <v>944.01152899501903</v>
      </c>
      <c r="M424" s="250">
        <f t="shared" ref="M424" si="294">1000/M423</f>
        <v>928.7411719442797</v>
      </c>
      <c r="N424" s="250">
        <f t="shared" ref="N424" si="295">1000/N423</f>
        <v>933.97098473538733</v>
      </c>
      <c r="O424" s="250">
        <f t="shared" ref="O424" si="296">1000/O423</f>
        <v>928.46250535544027</v>
      </c>
      <c r="P424" s="250">
        <f t="shared" ref="P424" si="297">1000/P423</f>
        <v>933.71743162917301</v>
      </c>
      <c r="Q424" s="250">
        <f t="shared" ref="Q424" si="298">1000/Q423</f>
        <v>930.71484807863123</v>
      </c>
      <c r="R424" s="250">
        <f t="shared" ref="R424" si="299">1000/R423</f>
        <v>932.89964998785354</v>
      </c>
      <c r="S424" s="250">
        <f t="shared" ref="S424" si="300">1000/S423</f>
        <v>928.60438703969635</v>
      </c>
      <c r="T424" s="250">
        <f t="shared" ref="T424" si="301">1000/T423</f>
        <v>897.24814734616666</v>
      </c>
      <c r="U424" s="250">
        <f t="shared" ref="U424" si="302">1000/U423</f>
        <v>938.78363513478246</v>
      </c>
      <c r="V424" s="250">
        <f t="shared" ref="V424" si="303">1000/V423</f>
        <v>924.79736813688316</v>
      </c>
      <c r="W424" s="250">
        <f t="shared" ref="W424" si="304">1000/W423</f>
        <v>926.40677788429616</v>
      </c>
      <c r="X424" s="250">
        <f t="shared" ref="X424" si="305">1000/X423</f>
        <v>950.51215078010705</v>
      </c>
      <c r="Y424" s="250">
        <f t="shared" ref="Y424" si="306">1000/Y423</f>
        <v>932.03898958723232</v>
      </c>
      <c r="Z424" s="250">
        <f t="shared" ref="Z424" si="307">1000/Z423</f>
        <v>931.06301672011841</v>
      </c>
      <c r="AA424" s="250">
        <f t="shared" ref="AA424" si="308">1000/AA423</f>
        <v>923.68604101527376</v>
      </c>
      <c r="AB424" s="250">
        <f t="shared" ref="AB424" si="309">1000/AB423</f>
        <v>933.45686860573903</v>
      </c>
      <c r="AC424" s="250">
        <f t="shared" ref="AC424" si="310">1000/AC423</f>
        <v>937.65355880239315</v>
      </c>
      <c r="AD424" s="250">
        <f t="shared" ref="AD424" si="311">1000/AD423</f>
        <v>929.75882507782865</v>
      </c>
    </row>
    <row r="428" spans="2:30">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row>
    <row r="429" spans="2:30" ht="15.6">
      <c r="B429" s="143" t="s">
        <v>617</v>
      </c>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c r="AC429" s="201"/>
      <c r="AD429" s="201"/>
    </row>
    <row r="430" spans="2:30">
      <c r="B430" s="114" t="s">
        <v>588</v>
      </c>
      <c r="C430" s="114" t="s">
        <v>63</v>
      </c>
      <c r="D430" s="114" t="str">
        <f t="shared" ref="D430:AD430" si="312">D422</f>
        <v>IE</v>
      </c>
      <c r="E430" s="114" t="str">
        <f t="shared" si="312"/>
        <v>IE-CW</v>
      </c>
      <c r="F430" s="114" t="str">
        <f t="shared" si="312"/>
        <v>IE-D</v>
      </c>
      <c r="G430" s="114" t="str">
        <f t="shared" si="312"/>
        <v>IE-KE</v>
      </c>
      <c r="H430" s="114" t="str">
        <f t="shared" si="312"/>
        <v>IE-KK</v>
      </c>
      <c r="I430" s="114" t="str">
        <f t="shared" si="312"/>
        <v>IE-LS</v>
      </c>
      <c r="J430" s="114" t="str">
        <f t="shared" si="312"/>
        <v>IE-LD</v>
      </c>
      <c r="K430" s="114" t="str">
        <f t="shared" si="312"/>
        <v>IE-LH</v>
      </c>
      <c r="L430" s="114" t="str">
        <f t="shared" si="312"/>
        <v>IE-MH</v>
      </c>
      <c r="M430" s="114" t="str">
        <f t="shared" si="312"/>
        <v>IE-OY</v>
      </c>
      <c r="N430" s="114" t="str">
        <f t="shared" si="312"/>
        <v>IE-WH</v>
      </c>
      <c r="O430" s="114" t="str">
        <f t="shared" si="312"/>
        <v>IE-WX</v>
      </c>
      <c r="P430" s="114" t="str">
        <f t="shared" si="312"/>
        <v>IE-WW</v>
      </c>
      <c r="Q430" s="114" t="str">
        <f t="shared" si="312"/>
        <v>IE-CE</v>
      </c>
      <c r="R430" s="114" t="str">
        <f t="shared" si="312"/>
        <v>IE-CO</v>
      </c>
      <c r="S430" s="114" t="str">
        <f t="shared" si="312"/>
        <v>IE-KY</v>
      </c>
      <c r="T430" s="114" t="str">
        <f t="shared" si="312"/>
        <v>IE-LK</v>
      </c>
      <c r="U430" s="114" t="str">
        <f t="shared" si="312"/>
        <v>IE-TA</v>
      </c>
      <c r="V430" s="114" t="str">
        <f t="shared" si="312"/>
        <v>IE-WD</v>
      </c>
      <c r="W430" s="114" t="str">
        <f t="shared" si="312"/>
        <v>IE-G</v>
      </c>
      <c r="X430" s="114" t="str">
        <f t="shared" si="312"/>
        <v>IE-LM</v>
      </c>
      <c r="Y430" s="114" t="str">
        <f t="shared" si="312"/>
        <v>IE-MO</v>
      </c>
      <c r="Z430" s="114" t="str">
        <f t="shared" si="312"/>
        <v>IE-RN</v>
      </c>
      <c r="AA430" s="114" t="str">
        <f t="shared" si="312"/>
        <v>IE-SO</v>
      </c>
      <c r="AB430" s="114" t="str">
        <f t="shared" si="312"/>
        <v>IE-CN</v>
      </c>
      <c r="AC430" s="114" t="str">
        <f t="shared" si="312"/>
        <v>IE-DL</v>
      </c>
      <c r="AD430" s="114" t="str">
        <f t="shared" si="312"/>
        <v>IE-MN</v>
      </c>
    </row>
    <row r="431" spans="2:30">
      <c r="B431" s="201" t="s">
        <v>332</v>
      </c>
      <c r="C431" s="201" t="s">
        <v>516</v>
      </c>
      <c r="D431" s="10">
        <f>SUM(E431:AD431)</f>
        <v>0</v>
      </c>
      <c r="E431" s="254">
        <v>0</v>
      </c>
      <c r="F431" s="254">
        <v>0</v>
      </c>
      <c r="G431" s="254">
        <v>0</v>
      </c>
      <c r="H431" s="254">
        <v>0</v>
      </c>
      <c r="I431" s="254">
        <v>0</v>
      </c>
      <c r="J431" s="254">
        <v>0</v>
      </c>
      <c r="K431" s="254">
        <v>0</v>
      </c>
      <c r="L431" s="254">
        <v>0</v>
      </c>
      <c r="M431" s="254">
        <v>0</v>
      </c>
      <c r="N431" s="254">
        <v>0</v>
      </c>
      <c r="O431" s="254">
        <v>0</v>
      </c>
      <c r="P431" s="254">
        <v>0</v>
      </c>
      <c r="Q431" s="254">
        <v>0</v>
      </c>
      <c r="R431" s="254">
        <v>0</v>
      </c>
      <c r="S431" s="254">
        <v>0</v>
      </c>
      <c r="T431" s="254">
        <v>0</v>
      </c>
      <c r="U431" s="254">
        <v>0</v>
      </c>
      <c r="V431" s="254">
        <v>0</v>
      </c>
      <c r="W431" s="254">
        <v>0</v>
      </c>
      <c r="X431" s="254">
        <v>0</v>
      </c>
      <c r="Y431" s="254">
        <v>0</v>
      </c>
      <c r="Z431" s="254">
        <v>0</v>
      </c>
      <c r="AA431" s="254">
        <v>0</v>
      </c>
      <c r="AB431" s="254">
        <v>0</v>
      </c>
      <c r="AC431" s="254">
        <v>0</v>
      </c>
      <c r="AD431" s="254">
        <v>0</v>
      </c>
    </row>
    <row r="432" spans="2:30">
      <c r="B432" s="201" t="s">
        <v>333</v>
      </c>
      <c r="C432" s="201" t="s">
        <v>516</v>
      </c>
      <c r="D432" s="10">
        <f t="shared" ref="D432:D437" si="313">SUM(E432:AD432)</f>
        <v>0</v>
      </c>
      <c r="E432" s="254">
        <v>0</v>
      </c>
      <c r="F432" s="254">
        <v>0</v>
      </c>
      <c r="G432" s="254">
        <v>0</v>
      </c>
      <c r="H432" s="254">
        <v>0</v>
      </c>
      <c r="I432" s="254">
        <v>0</v>
      </c>
      <c r="J432" s="254">
        <v>0</v>
      </c>
      <c r="K432" s="254">
        <v>0</v>
      </c>
      <c r="L432" s="254">
        <v>0</v>
      </c>
      <c r="M432" s="254">
        <v>0</v>
      </c>
      <c r="N432" s="254">
        <v>0</v>
      </c>
      <c r="O432" s="254">
        <v>0</v>
      </c>
      <c r="P432" s="254">
        <v>0</v>
      </c>
      <c r="Q432" s="254">
        <v>0</v>
      </c>
      <c r="R432" s="254">
        <v>0</v>
      </c>
      <c r="S432" s="254">
        <v>0</v>
      </c>
      <c r="T432" s="254">
        <v>0</v>
      </c>
      <c r="U432" s="254">
        <v>0</v>
      </c>
      <c r="V432" s="254">
        <v>0</v>
      </c>
      <c r="W432" s="254">
        <v>0</v>
      </c>
      <c r="X432" s="254">
        <v>0</v>
      </c>
      <c r="Y432" s="254">
        <v>0</v>
      </c>
      <c r="Z432" s="254">
        <v>0</v>
      </c>
      <c r="AA432" s="254">
        <v>0</v>
      </c>
      <c r="AB432" s="254">
        <v>0</v>
      </c>
      <c r="AC432" s="254">
        <v>0</v>
      </c>
      <c r="AD432" s="254">
        <v>0</v>
      </c>
    </row>
    <row r="433" spans="2:30">
      <c r="B433" s="201" t="s">
        <v>334</v>
      </c>
      <c r="C433" s="201" t="s">
        <v>516</v>
      </c>
      <c r="D433" s="10">
        <f t="shared" si="313"/>
        <v>0</v>
      </c>
      <c r="E433" s="254">
        <v>0</v>
      </c>
      <c r="F433" s="254">
        <v>0</v>
      </c>
      <c r="G433" s="254">
        <v>0</v>
      </c>
      <c r="H433" s="254">
        <v>0</v>
      </c>
      <c r="I433" s="254">
        <v>0</v>
      </c>
      <c r="J433" s="254">
        <v>0</v>
      </c>
      <c r="K433" s="254">
        <v>0</v>
      </c>
      <c r="L433" s="254">
        <v>0</v>
      </c>
      <c r="M433" s="254">
        <v>0</v>
      </c>
      <c r="N433" s="254">
        <v>0</v>
      </c>
      <c r="O433" s="254">
        <v>0</v>
      </c>
      <c r="P433" s="254">
        <v>0</v>
      </c>
      <c r="Q433" s="254">
        <v>0</v>
      </c>
      <c r="R433" s="254">
        <v>0</v>
      </c>
      <c r="S433" s="254">
        <v>0</v>
      </c>
      <c r="T433" s="254">
        <v>0</v>
      </c>
      <c r="U433" s="254">
        <v>0</v>
      </c>
      <c r="V433" s="254">
        <v>0</v>
      </c>
      <c r="W433" s="254">
        <v>0</v>
      </c>
      <c r="X433" s="254">
        <v>0</v>
      </c>
      <c r="Y433" s="254">
        <v>0</v>
      </c>
      <c r="Z433" s="254">
        <v>0</v>
      </c>
      <c r="AA433" s="254">
        <v>0</v>
      </c>
      <c r="AB433" s="254">
        <v>0</v>
      </c>
      <c r="AC433" s="254">
        <v>0</v>
      </c>
      <c r="AD433" s="254">
        <v>0</v>
      </c>
    </row>
    <row r="434" spans="2:30">
      <c r="B434" s="201" t="s">
        <v>335</v>
      </c>
      <c r="C434" s="201" t="s">
        <v>516</v>
      </c>
      <c r="D434" s="10">
        <f t="shared" si="313"/>
        <v>0</v>
      </c>
      <c r="E434" s="254">
        <v>0</v>
      </c>
      <c r="F434" s="254">
        <v>0</v>
      </c>
      <c r="G434" s="254">
        <v>0</v>
      </c>
      <c r="H434" s="254">
        <v>0</v>
      </c>
      <c r="I434" s="254">
        <v>0</v>
      </c>
      <c r="J434" s="254">
        <v>0</v>
      </c>
      <c r="K434" s="254">
        <v>0</v>
      </c>
      <c r="L434" s="254">
        <v>0</v>
      </c>
      <c r="M434" s="254">
        <v>0</v>
      </c>
      <c r="N434" s="254">
        <v>0</v>
      </c>
      <c r="O434" s="254">
        <v>0</v>
      </c>
      <c r="P434" s="254">
        <v>0</v>
      </c>
      <c r="Q434" s="254">
        <v>0</v>
      </c>
      <c r="R434" s="254">
        <v>0</v>
      </c>
      <c r="S434" s="254">
        <v>0</v>
      </c>
      <c r="T434" s="254">
        <v>0</v>
      </c>
      <c r="U434" s="254">
        <v>0</v>
      </c>
      <c r="V434" s="254">
        <v>0</v>
      </c>
      <c r="W434" s="254">
        <v>0</v>
      </c>
      <c r="X434" s="254">
        <v>0</v>
      </c>
      <c r="Y434" s="254">
        <v>0</v>
      </c>
      <c r="Z434" s="254">
        <v>0</v>
      </c>
      <c r="AA434" s="254">
        <v>0</v>
      </c>
      <c r="AB434" s="254">
        <v>0</v>
      </c>
      <c r="AC434" s="254">
        <v>0</v>
      </c>
      <c r="AD434" s="254">
        <v>0</v>
      </c>
    </row>
    <row r="435" spans="2:30">
      <c r="B435" s="201" t="s">
        <v>336</v>
      </c>
      <c r="C435" s="201" t="s">
        <v>516</v>
      </c>
      <c r="D435" s="10">
        <f t="shared" si="313"/>
        <v>0</v>
      </c>
      <c r="E435" s="254">
        <v>0</v>
      </c>
      <c r="F435" s="254">
        <v>0</v>
      </c>
      <c r="G435" s="254">
        <v>0</v>
      </c>
      <c r="H435" s="254">
        <v>0</v>
      </c>
      <c r="I435" s="254">
        <v>0</v>
      </c>
      <c r="J435" s="254">
        <v>0</v>
      </c>
      <c r="K435" s="254">
        <v>0</v>
      </c>
      <c r="L435" s="254">
        <v>0</v>
      </c>
      <c r="M435" s="254">
        <v>0</v>
      </c>
      <c r="N435" s="254">
        <v>0</v>
      </c>
      <c r="O435" s="254">
        <v>0</v>
      </c>
      <c r="P435" s="254">
        <v>0</v>
      </c>
      <c r="Q435" s="254">
        <v>0</v>
      </c>
      <c r="R435" s="254">
        <v>0</v>
      </c>
      <c r="S435" s="254">
        <v>0</v>
      </c>
      <c r="T435" s="254">
        <v>0</v>
      </c>
      <c r="U435" s="254">
        <v>0</v>
      </c>
      <c r="V435" s="254">
        <v>0</v>
      </c>
      <c r="W435" s="254">
        <v>0</v>
      </c>
      <c r="X435" s="254">
        <v>0</v>
      </c>
      <c r="Y435" s="254">
        <v>0</v>
      </c>
      <c r="Z435" s="254">
        <v>0</v>
      </c>
      <c r="AA435" s="254">
        <v>0</v>
      </c>
      <c r="AB435" s="254">
        <v>0</v>
      </c>
      <c r="AC435" s="254">
        <v>0</v>
      </c>
      <c r="AD435" s="254">
        <v>0</v>
      </c>
    </row>
    <row r="436" spans="2:30">
      <c r="B436" s="201" t="s">
        <v>337</v>
      </c>
      <c r="C436" s="201" t="s">
        <v>516</v>
      </c>
      <c r="D436" s="10">
        <f t="shared" si="313"/>
        <v>2</v>
      </c>
      <c r="E436" s="254">
        <v>0</v>
      </c>
      <c r="F436" s="254">
        <v>2</v>
      </c>
      <c r="G436" s="254">
        <v>0</v>
      </c>
      <c r="H436" s="254">
        <v>0</v>
      </c>
      <c r="I436" s="254">
        <v>0</v>
      </c>
      <c r="J436" s="254">
        <v>0</v>
      </c>
      <c r="K436" s="254">
        <v>0</v>
      </c>
      <c r="L436" s="254">
        <v>0</v>
      </c>
      <c r="M436" s="254">
        <v>0</v>
      </c>
      <c r="N436" s="254">
        <v>0</v>
      </c>
      <c r="O436" s="254">
        <v>0</v>
      </c>
      <c r="P436" s="254">
        <v>0</v>
      </c>
      <c r="Q436" s="254">
        <v>0</v>
      </c>
      <c r="R436" s="254">
        <v>0</v>
      </c>
      <c r="S436" s="254">
        <v>0</v>
      </c>
      <c r="T436" s="254">
        <v>0</v>
      </c>
      <c r="U436" s="254">
        <v>0</v>
      </c>
      <c r="V436" s="254">
        <v>0</v>
      </c>
      <c r="W436" s="254">
        <v>0</v>
      </c>
      <c r="X436" s="254">
        <v>0</v>
      </c>
      <c r="Y436" s="254">
        <v>0</v>
      </c>
      <c r="Z436" s="254">
        <v>0</v>
      </c>
      <c r="AA436" s="254">
        <v>0</v>
      </c>
      <c r="AB436" s="254">
        <v>0</v>
      </c>
      <c r="AC436" s="254">
        <v>0</v>
      </c>
      <c r="AD436" s="254">
        <v>0</v>
      </c>
    </row>
    <row r="437" spans="2:30">
      <c r="B437" s="201" t="s">
        <v>338</v>
      </c>
      <c r="C437" s="201" t="s">
        <v>516</v>
      </c>
      <c r="D437" s="10">
        <f t="shared" si="313"/>
        <v>23</v>
      </c>
      <c r="E437" s="254">
        <v>0</v>
      </c>
      <c r="F437" s="254">
        <v>9</v>
      </c>
      <c r="G437" s="254">
        <v>2</v>
      </c>
      <c r="H437" s="254">
        <v>0</v>
      </c>
      <c r="I437" s="254">
        <v>0</v>
      </c>
      <c r="J437" s="254">
        <v>1</v>
      </c>
      <c r="K437" s="254">
        <v>0</v>
      </c>
      <c r="L437" s="254">
        <v>1</v>
      </c>
      <c r="M437" s="254">
        <v>0</v>
      </c>
      <c r="N437" s="254">
        <v>0</v>
      </c>
      <c r="O437" s="254">
        <v>1</v>
      </c>
      <c r="P437" s="254">
        <v>1</v>
      </c>
      <c r="Q437" s="254">
        <v>2</v>
      </c>
      <c r="R437" s="254">
        <v>2</v>
      </c>
      <c r="S437" s="254">
        <v>0</v>
      </c>
      <c r="T437" s="254">
        <v>0</v>
      </c>
      <c r="U437" s="254">
        <v>1</v>
      </c>
      <c r="V437" s="254">
        <v>0</v>
      </c>
      <c r="W437" s="254">
        <v>0</v>
      </c>
      <c r="X437" s="254">
        <v>0</v>
      </c>
      <c r="Y437" s="254">
        <v>0</v>
      </c>
      <c r="Z437" s="254">
        <v>0</v>
      </c>
      <c r="AA437" s="254">
        <v>1</v>
      </c>
      <c r="AB437" s="254">
        <v>0</v>
      </c>
      <c r="AC437" s="254">
        <v>1</v>
      </c>
      <c r="AD437" s="254">
        <v>1</v>
      </c>
    </row>
    <row r="438" spans="2:30">
      <c r="B438" s="200" t="s">
        <v>16</v>
      </c>
      <c r="C438" s="200" t="s">
        <v>516</v>
      </c>
      <c r="D438" s="246">
        <f>SUM(D431:D437)</f>
        <v>25</v>
      </c>
      <c r="E438" s="246">
        <f>SUM(E431:E437)</f>
        <v>0</v>
      </c>
      <c r="F438" s="246">
        <f t="shared" ref="F438" si="314">SUM(F431:F437)</f>
        <v>11</v>
      </c>
      <c r="G438" s="246">
        <f t="shared" ref="G438" si="315">SUM(G431:G437)</f>
        <v>2</v>
      </c>
      <c r="H438" s="246">
        <f t="shared" ref="H438" si="316">SUM(H431:H437)</f>
        <v>0</v>
      </c>
      <c r="I438" s="246">
        <f t="shared" ref="I438" si="317">SUM(I431:I437)</f>
        <v>0</v>
      </c>
      <c r="J438" s="246">
        <f t="shared" ref="J438" si="318">SUM(J431:J437)</f>
        <v>1</v>
      </c>
      <c r="K438" s="246">
        <f t="shared" ref="K438" si="319">SUM(K431:K437)</f>
        <v>0</v>
      </c>
      <c r="L438" s="246">
        <f t="shared" ref="L438" si="320">SUM(L431:L437)</f>
        <v>1</v>
      </c>
      <c r="M438" s="246">
        <f t="shared" ref="M438" si="321">SUM(M431:M437)</f>
        <v>0</v>
      </c>
      <c r="N438" s="246">
        <f t="shared" ref="N438" si="322">SUM(N431:N437)</f>
        <v>0</v>
      </c>
      <c r="O438" s="246">
        <f t="shared" ref="O438" si="323">SUM(O431:O437)</f>
        <v>1</v>
      </c>
      <c r="P438" s="246">
        <f t="shared" ref="P438" si="324">SUM(P431:P437)</f>
        <v>1</v>
      </c>
      <c r="Q438" s="246">
        <f t="shared" ref="Q438" si="325">SUM(Q431:Q437)</f>
        <v>2</v>
      </c>
      <c r="R438" s="246">
        <f t="shared" ref="R438" si="326">SUM(R431:R437)</f>
        <v>2</v>
      </c>
      <c r="S438" s="246">
        <f t="shared" ref="S438" si="327">SUM(S431:S437)</f>
        <v>0</v>
      </c>
      <c r="T438" s="246">
        <f t="shared" ref="T438" si="328">SUM(T431:T437)</f>
        <v>0</v>
      </c>
      <c r="U438" s="246">
        <f t="shared" ref="U438" si="329">SUM(U431:U437)</f>
        <v>1</v>
      </c>
      <c r="V438" s="246">
        <f t="shared" ref="V438" si="330">SUM(V431:V437)</f>
        <v>0</v>
      </c>
      <c r="W438" s="246">
        <f t="shared" ref="W438" si="331">SUM(W431:W437)</f>
        <v>0</v>
      </c>
      <c r="X438" s="246">
        <f t="shared" ref="X438" si="332">SUM(X431:X437)</f>
        <v>0</v>
      </c>
      <c r="Y438" s="246">
        <f t="shared" ref="Y438" si="333">SUM(Y431:Y437)</f>
        <v>0</v>
      </c>
      <c r="Z438" s="246">
        <f t="shared" ref="Z438" si="334">SUM(Z431:Z437)</f>
        <v>0</v>
      </c>
      <c r="AA438" s="246">
        <f t="shared" ref="AA438" si="335">SUM(AA431:AA437)</f>
        <v>1</v>
      </c>
      <c r="AB438" s="246">
        <f t="shared" ref="AB438" si="336">SUM(AB431:AB437)</f>
        <v>0</v>
      </c>
      <c r="AC438" s="246">
        <f t="shared" ref="AC438" si="337">SUM(AC431:AC437)</f>
        <v>1</v>
      </c>
      <c r="AD438" s="246">
        <f t="shared" ref="AD438" si="338">SUM(AD431:AD437)</f>
        <v>1</v>
      </c>
    </row>
    <row r="439" spans="2:30">
      <c r="B439" s="201" t="s">
        <v>599</v>
      </c>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c r="AC439" s="201"/>
      <c r="AD439" s="201"/>
    </row>
    <row r="440" spans="2:30">
      <c r="B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c r="AC440" s="201"/>
      <c r="AD440" s="201"/>
    </row>
    <row r="441" spans="2:30">
      <c r="B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c r="AC441" s="201"/>
      <c r="AD441" s="201"/>
    </row>
    <row r="442" spans="2:30">
      <c r="B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c r="AC442" s="201"/>
      <c r="AD442" s="201"/>
    </row>
    <row r="443" spans="2:30" ht="15.6">
      <c r="B443" s="143" t="s">
        <v>618</v>
      </c>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c r="AC443" s="201"/>
      <c r="AD443" s="201"/>
    </row>
    <row r="444" spans="2:30">
      <c r="B444" s="114" t="s">
        <v>588</v>
      </c>
      <c r="C444" s="114" t="s">
        <v>63</v>
      </c>
      <c r="D444" s="114" t="str">
        <f>D430</f>
        <v>IE</v>
      </c>
      <c r="E444" s="114" t="str">
        <f t="shared" ref="E444:AD444" si="339">E430</f>
        <v>IE-CW</v>
      </c>
      <c r="F444" s="114" t="str">
        <f t="shared" si="339"/>
        <v>IE-D</v>
      </c>
      <c r="G444" s="114" t="str">
        <f t="shared" si="339"/>
        <v>IE-KE</v>
      </c>
      <c r="H444" s="114" t="str">
        <f t="shared" si="339"/>
        <v>IE-KK</v>
      </c>
      <c r="I444" s="114" t="str">
        <f t="shared" si="339"/>
        <v>IE-LS</v>
      </c>
      <c r="J444" s="114" t="str">
        <f t="shared" si="339"/>
        <v>IE-LD</v>
      </c>
      <c r="K444" s="114" t="str">
        <f t="shared" si="339"/>
        <v>IE-LH</v>
      </c>
      <c r="L444" s="114" t="str">
        <f t="shared" si="339"/>
        <v>IE-MH</v>
      </c>
      <c r="M444" s="114" t="str">
        <f t="shared" si="339"/>
        <v>IE-OY</v>
      </c>
      <c r="N444" s="114" t="str">
        <f t="shared" si="339"/>
        <v>IE-WH</v>
      </c>
      <c r="O444" s="114" t="str">
        <f t="shared" si="339"/>
        <v>IE-WX</v>
      </c>
      <c r="P444" s="114" t="str">
        <f t="shared" si="339"/>
        <v>IE-WW</v>
      </c>
      <c r="Q444" s="114" t="str">
        <f t="shared" si="339"/>
        <v>IE-CE</v>
      </c>
      <c r="R444" s="114" t="str">
        <f t="shared" si="339"/>
        <v>IE-CO</v>
      </c>
      <c r="S444" s="114" t="str">
        <f t="shared" si="339"/>
        <v>IE-KY</v>
      </c>
      <c r="T444" s="114" t="str">
        <f t="shared" si="339"/>
        <v>IE-LK</v>
      </c>
      <c r="U444" s="114" t="str">
        <f t="shared" si="339"/>
        <v>IE-TA</v>
      </c>
      <c r="V444" s="114" t="str">
        <f t="shared" si="339"/>
        <v>IE-WD</v>
      </c>
      <c r="W444" s="114" t="str">
        <f t="shared" si="339"/>
        <v>IE-G</v>
      </c>
      <c r="X444" s="114" t="str">
        <f t="shared" si="339"/>
        <v>IE-LM</v>
      </c>
      <c r="Y444" s="114" t="str">
        <f t="shared" si="339"/>
        <v>IE-MO</v>
      </c>
      <c r="Z444" s="114" t="str">
        <f t="shared" si="339"/>
        <v>IE-RN</v>
      </c>
      <c r="AA444" s="114" t="str">
        <f t="shared" si="339"/>
        <v>IE-SO</v>
      </c>
      <c r="AB444" s="114" t="str">
        <f t="shared" si="339"/>
        <v>IE-CN</v>
      </c>
      <c r="AC444" s="114" t="str">
        <f t="shared" si="339"/>
        <v>IE-DL</v>
      </c>
      <c r="AD444" s="114" t="str">
        <f t="shared" si="339"/>
        <v>IE-MN</v>
      </c>
    </row>
    <row r="445" spans="2:30">
      <c r="B445" s="201" t="s">
        <v>332</v>
      </c>
      <c r="C445" s="249" t="s">
        <v>592</v>
      </c>
      <c r="D445" s="35">
        <f>D431/D$438</f>
        <v>0</v>
      </c>
      <c r="E445" s="35" t="e">
        <f t="shared" ref="E445:AD451" si="340">E431/E$438</f>
        <v>#DIV/0!</v>
      </c>
      <c r="F445" s="35">
        <f t="shared" si="340"/>
        <v>0</v>
      </c>
      <c r="G445" s="35">
        <f t="shared" si="340"/>
        <v>0</v>
      </c>
      <c r="H445" s="35" t="e">
        <f t="shared" si="340"/>
        <v>#DIV/0!</v>
      </c>
      <c r="I445" s="35" t="e">
        <f t="shared" si="340"/>
        <v>#DIV/0!</v>
      </c>
      <c r="J445" s="35">
        <f t="shared" si="340"/>
        <v>0</v>
      </c>
      <c r="K445" s="35" t="e">
        <f t="shared" si="340"/>
        <v>#DIV/0!</v>
      </c>
      <c r="L445" s="35">
        <f t="shared" si="340"/>
        <v>0</v>
      </c>
      <c r="M445" s="35" t="e">
        <f t="shared" si="340"/>
        <v>#DIV/0!</v>
      </c>
      <c r="N445" s="35" t="e">
        <f t="shared" si="340"/>
        <v>#DIV/0!</v>
      </c>
      <c r="O445" s="35">
        <f t="shared" si="340"/>
        <v>0</v>
      </c>
      <c r="P445" s="35">
        <f t="shared" si="340"/>
        <v>0</v>
      </c>
      <c r="Q445" s="35">
        <f t="shared" si="340"/>
        <v>0</v>
      </c>
      <c r="R445" s="35">
        <f t="shared" si="340"/>
        <v>0</v>
      </c>
      <c r="S445" s="35" t="e">
        <f t="shared" si="340"/>
        <v>#DIV/0!</v>
      </c>
      <c r="T445" s="35" t="e">
        <f t="shared" si="340"/>
        <v>#DIV/0!</v>
      </c>
      <c r="U445" s="35">
        <f t="shared" si="340"/>
        <v>0</v>
      </c>
      <c r="V445" s="35" t="e">
        <f t="shared" si="340"/>
        <v>#DIV/0!</v>
      </c>
      <c r="W445" s="35" t="e">
        <f t="shared" si="340"/>
        <v>#DIV/0!</v>
      </c>
      <c r="X445" s="35" t="e">
        <f t="shared" si="340"/>
        <v>#DIV/0!</v>
      </c>
      <c r="Y445" s="35" t="e">
        <f t="shared" si="340"/>
        <v>#DIV/0!</v>
      </c>
      <c r="Z445" s="35" t="e">
        <f t="shared" si="340"/>
        <v>#DIV/0!</v>
      </c>
      <c r="AA445" s="35">
        <f t="shared" si="340"/>
        <v>0</v>
      </c>
      <c r="AB445" s="35" t="e">
        <f t="shared" si="340"/>
        <v>#DIV/0!</v>
      </c>
      <c r="AC445" s="35">
        <f t="shared" si="340"/>
        <v>0</v>
      </c>
      <c r="AD445" s="35">
        <f t="shared" si="340"/>
        <v>0</v>
      </c>
    </row>
    <row r="446" spans="2:30">
      <c r="B446" s="201" t="s">
        <v>333</v>
      </c>
      <c r="C446" s="2" t="s">
        <v>592</v>
      </c>
      <c r="D446" s="35">
        <f t="shared" ref="D446:S451" si="341">D432/D$438</f>
        <v>0</v>
      </c>
      <c r="E446" s="35" t="e">
        <f t="shared" si="341"/>
        <v>#DIV/0!</v>
      </c>
      <c r="F446" s="35">
        <f t="shared" si="341"/>
        <v>0</v>
      </c>
      <c r="G446" s="35">
        <f t="shared" si="341"/>
        <v>0</v>
      </c>
      <c r="H446" s="35" t="e">
        <f t="shared" si="341"/>
        <v>#DIV/0!</v>
      </c>
      <c r="I446" s="35" t="e">
        <f t="shared" si="341"/>
        <v>#DIV/0!</v>
      </c>
      <c r="J446" s="35">
        <f t="shared" si="341"/>
        <v>0</v>
      </c>
      <c r="K446" s="35" t="e">
        <f t="shared" si="341"/>
        <v>#DIV/0!</v>
      </c>
      <c r="L446" s="35">
        <f t="shared" si="341"/>
        <v>0</v>
      </c>
      <c r="M446" s="35" t="e">
        <f t="shared" si="341"/>
        <v>#DIV/0!</v>
      </c>
      <c r="N446" s="35" t="e">
        <f t="shared" si="341"/>
        <v>#DIV/0!</v>
      </c>
      <c r="O446" s="35">
        <f t="shared" si="341"/>
        <v>0</v>
      </c>
      <c r="P446" s="35">
        <f t="shared" si="341"/>
        <v>0</v>
      </c>
      <c r="Q446" s="35">
        <f t="shared" si="341"/>
        <v>0</v>
      </c>
      <c r="R446" s="35">
        <f t="shared" si="341"/>
        <v>0</v>
      </c>
      <c r="S446" s="35" t="e">
        <f t="shared" si="341"/>
        <v>#DIV/0!</v>
      </c>
      <c r="T446" s="35" t="e">
        <f t="shared" si="340"/>
        <v>#DIV/0!</v>
      </c>
      <c r="U446" s="35">
        <f t="shared" si="340"/>
        <v>0</v>
      </c>
      <c r="V446" s="35" t="e">
        <f t="shared" si="340"/>
        <v>#DIV/0!</v>
      </c>
      <c r="W446" s="35" t="e">
        <f t="shared" si="340"/>
        <v>#DIV/0!</v>
      </c>
      <c r="X446" s="35" t="e">
        <f t="shared" si="340"/>
        <v>#DIV/0!</v>
      </c>
      <c r="Y446" s="35" t="e">
        <f t="shared" si="340"/>
        <v>#DIV/0!</v>
      </c>
      <c r="Z446" s="35" t="e">
        <f t="shared" si="340"/>
        <v>#DIV/0!</v>
      </c>
      <c r="AA446" s="35">
        <f t="shared" si="340"/>
        <v>0</v>
      </c>
      <c r="AB446" s="35" t="e">
        <f t="shared" si="340"/>
        <v>#DIV/0!</v>
      </c>
      <c r="AC446" s="35">
        <f t="shared" si="340"/>
        <v>0</v>
      </c>
      <c r="AD446" s="35">
        <f t="shared" si="340"/>
        <v>0</v>
      </c>
    </row>
    <row r="447" spans="2:30">
      <c r="B447" s="201" t="s">
        <v>334</v>
      </c>
      <c r="C447" s="2" t="s">
        <v>592</v>
      </c>
      <c r="D447" s="35">
        <f t="shared" si="341"/>
        <v>0</v>
      </c>
      <c r="E447" s="35" t="e">
        <f t="shared" si="340"/>
        <v>#DIV/0!</v>
      </c>
      <c r="F447" s="35">
        <f t="shared" si="340"/>
        <v>0</v>
      </c>
      <c r="G447" s="35">
        <f t="shared" si="340"/>
        <v>0</v>
      </c>
      <c r="H447" s="35" t="e">
        <f t="shared" si="340"/>
        <v>#DIV/0!</v>
      </c>
      <c r="I447" s="35" t="e">
        <f t="shared" si="340"/>
        <v>#DIV/0!</v>
      </c>
      <c r="J447" s="35">
        <f t="shared" si="340"/>
        <v>0</v>
      </c>
      <c r="K447" s="35" t="e">
        <f t="shared" si="340"/>
        <v>#DIV/0!</v>
      </c>
      <c r="L447" s="35">
        <f t="shared" si="340"/>
        <v>0</v>
      </c>
      <c r="M447" s="35" t="e">
        <f t="shared" si="340"/>
        <v>#DIV/0!</v>
      </c>
      <c r="N447" s="35" t="e">
        <f t="shared" si="340"/>
        <v>#DIV/0!</v>
      </c>
      <c r="O447" s="35">
        <f t="shared" si="340"/>
        <v>0</v>
      </c>
      <c r="P447" s="35">
        <f t="shared" si="340"/>
        <v>0</v>
      </c>
      <c r="Q447" s="35">
        <f t="shared" si="340"/>
        <v>0</v>
      </c>
      <c r="R447" s="35">
        <f t="shared" si="340"/>
        <v>0</v>
      </c>
      <c r="S447" s="35" t="e">
        <f t="shared" si="340"/>
        <v>#DIV/0!</v>
      </c>
      <c r="T447" s="35" t="e">
        <f t="shared" si="340"/>
        <v>#DIV/0!</v>
      </c>
      <c r="U447" s="35">
        <f t="shared" si="340"/>
        <v>0</v>
      </c>
      <c r="V447" s="35" t="e">
        <f t="shared" si="340"/>
        <v>#DIV/0!</v>
      </c>
      <c r="W447" s="35" t="e">
        <f t="shared" si="340"/>
        <v>#DIV/0!</v>
      </c>
      <c r="X447" s="35" t="e">
        <f t="shared" si="340"/>
        <v>#DIV/0!</v>
      </c>
      <c r="Y447" s="35" t="e">
        <f t="shared" si="340"/>
        <v>#DIV/0!</v>
      </c>
      <c r="Z447" s="35" t="e">
        <f t="shared" si="340"/>
        <v>#DIV/0!</v>
      </c>
      <c r="AA447" s="35">
        <f t="shared" si="340"/>
        <v>0</v>
      </c>
      <c r="AB447" s="35" t="e">
        <f t="shared" si="340"/>
        <v>#DIV/0!</v>
      </c>
      <c r="AC447" s="35">
        <f t="shared" si="340"/>
        <v>0</v>
      </c>
      <c r="AD447" s="35">
        <f t="shared" si="340"/>
        <v>0</v>
      </c>
    </row>
    <row r="448" spans="2:30">
      <c r="B448" s="201" t="s">
        <v>335</v>
      </c>
      <c r="C448" s="2" t="s">
        <v>592</v>
      </c>
      <c r="D448" s="35">
        <f t="shared" si="341"/>
        <v>0</v>
      </c>
      <c r="E448" s="35" t="e">
        <f t="shared" si="340"/>
        <v>#DIV/0!</v>
      </c>
      <c r="F448" s="35">
        <f t="shared" si="340"/>
        <v>0</v>
      </c>
      <c r="G448" s="35">
        <f t="shared" si="340"/>
        <v>0</v>
      </c>
      <c r="H448" s="35" t="e">
        <f t="shared" si="340"/>
        <v>#DIV/0!</v>
      </c>
      <c r="I448" s="35" t="e">
        <f t="shared" si="340"/>
        <v>#DIV/0!</v>
      </c>
      <c r="J448" s="35">
        <f t="shared" si="340"/>
        <v>0</v>
      </c>
      <c r="K448" s="35" t="e">
        <f t="shared" si="340"/>
        <v>#DIV/0!</v>
      </c>
      <c r="L448" s="35">
        <f t="shared" si="340"/>
        <v>0</v>
      </c>
      <c r="M448" s="35" t="e">
        <f t="shared" si="340"/>
        <v>#DIV/0!</v>
      </c>
      <c r="N448" s="35" t="e">
        <f t="shared" si="340"/>
        <v>#DIV/0!</v>
      </c>
      <c r="O448" s="35">
        <f t="shared" si="340"/>
        <v>0</v>
      </c>
      <c r="P448" s="35">
        <f t="shared" si="340"/>
        <v>0</v>
      </c>
      <c r="Q448" s="35">
        <f t="shared" si="340"/>
        <v>0</v>
      </c>
      <c r="R448" s="35">
        <f t="shared" si="340"/>
        <v>0</v>
      </c>
      <c r="S448" s="35" t="e">
        <f t="shared" si="340"/>
        <v>#DIV/0!</v>
      </c>
      <c r="T448" s="35" t="e">
        <f t="shared" si="340"/>
        <v>#DIV/0!</v>
      </c>
      <c r="U448" s="35">
        <f t="shared" si="340"/>
        <v>0</v>
      </c>
      <c r="V448" s="35" t="e">
        <f t="shared" si="340"/>
        <v>#DIV/0!</v>
      </c>
      <c r="W448" s="35" t="e">
        <f t="shared" si="340"/>
        <v>#DIV/0!</v>
      </c>
      <c r="X448" s="35" t="e">
        <f t="shared" si="340"/>
        <v>#DIV/0!</v>
      </c>
      <c r="Y448" s="35" t="e">
        <f t="shared" si="340"/>
        <v>#DIV/0!</v>
      </c>
      <c r="Z448" s="35" t="e">
        <f t="shared" si="340"/>
        <v>#DIV/0!</v>
      </c>
      <c r="AA448" s="35">
        <f t="shared" si="340"/>
        <v>0</v>
      </c>
      <c r="AB448" s="35" t="e">
        <f t="shared" si="340"/>
        <v>#DIV/0!</v>
      </c>
      <c r="AC448" s="35">
        <f t="shared" si="340"/>
        <v>0</v>
      </c>
      <c r="AD448" s="35">
        <f t="shared" si="340"/>
        <v>0</v>
      </c>
    </row>
    <row r="449" spans="2:30">
      <c r="B449" s="201" t="s">
        <v>336</v>
      </c>
      <c r="C449" s="2" t="s">
        <v>592</v>
      </c>
      <c r="D449" s="35">
        <f t="shared" si="341"/>
        <v>0</v>
      </c>
      <c r="E449" s="35" t="e">
        <f t="shared" si="340"/>
        <v>#DIV/0!</v>
      </c>
      <c r="F449" s="35">
        <f t="shared" si="340"/>
        <v>0</v>
      </c>
      <c r="G449" s="35">
        <f t="shared" si="340"/>
        <v>0</v>
      </c>
      <c r="H449" s="35" t="e">
        <f t="shared" si="340"/>
        <v>#DIV/0!</v>
      </c>
      <c r="I449" s="35" t="e">
        <f t="shared" si="340"/>
        <v>#DIV/0!</v>
      </c>
      <c r="J449" s="35">
        <f t="shared" si="340"/>
        <v>0</v>
      </c>
      <c r="K449" s="35" t="e">
        <f t="shared" si="340"/>
        <v>#DIV/0!</v>
      </c>
      <c r="L449" s="35">
        <f t="shared" si="340"/>
        <v>0</v>
      </c>
      <c r="M449" s="35" t="e">
        <f t="shared" si="340"/>
        <v>#DIV/0!</v>
      </c>
      <c r="N449" s="35" t="e">
        <f t="shared" si="340"/>
        <v>#DIV/0!</v>
      </c>
      <c r="O449" s="35">
        <f t="shared" si="340"/>
        <v>0</v>
      </c>
      <c r="P449" s="35">
        <f t="shared" si="340"/>
        <v>0</v>
      </c>
      <c r="Q449" s="35">
        <f t="shared" si="340"/>
        <v>0</v>
      </c>
      <c r="R449" s="35">
        <f t="shared" si="340"/>
        <v>0</v>
      </c>
      <c r="S449" s="35" t="e">
        <f t="shared" si="340"/>
        <v>#DIV/0!</v>
      </c>
      <c r="T449" s="35" t="e">
        <f t="shared" si="340"/>
        <v>#DIV/0!</v>
      </c>
      <c r="U449" s="35">
        <f t="shared" si="340"/>
        <v>0</v>
      </c>
      <c r="V449" s="35" t="e">
        <f t="shared" si="340"/>
        <v>#DIV/0!</v>
      </c>
      <c r="W449" s="35" t="e">
        <f t="shared" si="340"/>
        <v>#DIV/0!</v>
      </c>
      <c r="X449" s="35" t="e">
        <f t="shared" si="340"/>
        <v>#DIV/0!</v>
      </c>
      <c r="Y449" s="35" t="e">
        <f t="shared" si="340"/>
        <v>#DIV/0!</v>
      </c>
      <c r="Z449" s="35" t="e">
        <f t="shared" si="340"/>
        <v>#DIV/0!</v>
      </c>
      <c r="AA449" s="35">
        <f t="shared" si="340"/>
        <v>0</v>
      </c>
      <c r="AB449" s="35" t="e">
        <f t="shared" si="340"/>
        <v>#DIV/0!</v>
      </c>
      <c r="AC449" s="35">
        <f t="shared" si="340"/>
        <v>0</v>
      </c>
      <c r="AD449" s="35">
        <f t="shared" si="340"/>
        <v>0</v>
      </c>
    </row>
    <row r="450" spans="2:30">
      <c r="B450" s="201" t="s">
        <v>337</v>
      </c>
      <c r="C450" s="2" t="s">
        <v>592</v>
      </c>
      <c r="D450" s="35">
        <f t="shared" si="341"/>
        <v>0.08</v>
      </c>
      <c r="E450" s="35" t="e">
        <f t="shared" si="340"/>
        <v>#DIV/0!</v>
      </c>
      <c r="F450" s="35">
        <f t="shared" si="340"/>
        <v>0.18181818181818182</v>
      </c>
      <c r="G450" s="35">
        <f t="shared" si="340"/>
        <v>0</v>
      </c>
      <c r="H450" s="35" t="e">
        <f t="shared" si="340"/>
        <v>#DIV/0!</v>
      </c>
      <c r="I450" s="35" t="e">
        <f t="shared" si="340"/>
        <v>#DIV/0!</v>
      </c>
      <c r="J450" s="35">
        <f t="shared" si="340"/>
        <v>0</v>
      </c>
      <c r="K450" s="35" t="e">
        <f t="shared" si="340"/>
        <v>#DIV/0!</v>
      </c>
      <c r="L450" s="35">
        <f t="shared" si="340"/>
        <v>0</v>
      </c>
      <c r="M450" s="35" t="e">
        <f t="shared" si="340"/>
        <v>#DIV/0!</v>
      </c>
      <c r="N450" s="35" t="e">
        <f t="shared" si="340"/>
        <v>#DIV/0!</v>
      </c>
      <c r="O450" s="35">
        <f t="shared" si="340"/>
        <v>0</v>
      </c>
      <c r="P450" s="35">
        <f t="shared" si="340"/>
        <v>0</v>
      </c>
      <c r="Q450" s="35">
        <f t="shared" si="340"/>
        <v>0</v>
      </c>
      <c r="R450" s="35">
        <f t="shared" si="340"/>
        <v>0</v>
      </c>
      <c r="S450" s="35" t="e">
        <f t="shared" si="340"/>
        <v>#DIV/0!</v>
      </c>
      <c r="T450" s="35" t="e">
        <f t="shared" si="340"/>
        <v>#DIV/0!</v>
      </c>
      <c r="U450" s="35">
        <f t="shared" si="340"/>
        <v>0</v>
      </c>
      <c r="V450" s="35" t="e">
        <f t="shared" si="340"/>
        <v>#DIV/0!</v>
      </c>
      <c r="W450" s="35" t="e">
        <f t="shared" si="340"/>
        <v>#DIV/0!</v>
      </c>
      <c r="X450" s="35" t="e">
        <f t="shared" si="340"/>
        <v>#DIV/0!</v>
      </c>
      <c r="Y450" s="35" t="e">
        <f t="shared" si="340"/>
        <v>#DIV/0!</v>
      </c>
      <c r="Z450" s="35" t="e">
        <f t="shared" si="340"/>
        <v>#DIV/0!</v>
      </c>
      <c r="AA450" s="35">
        <f t="shared" si="340"/>
        <v>0</v>
      </c>
      <c r="AB450" s="35" t="e">
        <f t="shared" si="340"/>
        <v>#DIV/0!</v>
      </c>
      <c r="AC450" s="35">
        <f t="shared" si="340"/>
        <v>0</v>
      </c>
      <c r="AD450" s="35">
        <f t="shared" si="340"/>
        <v>0</v>
      </c>
    </row>
    <row r="451" spans="2:30">
      <c r="B451" s="201" t="s">
        <v>338</v>
      </c>
      <c r="C451" s="2" t="s">
        <v>592</v>
      </c>
      <c r="D451" s="35">
        <f t="shared" si="341"/>
        <v>0.92</v>
      </c>
      <c r="E451" s="35" t="e">
        <f t="shared" si="340"/>
        <v>#DIV/0!</v>
      </c>
      <c r="F451" s="35">
        <f t="shared" si="340"/>
        <v>0.81818181818181823</v>
      </c>
      <c r="G451" s="35">
        <f t="shared" si="340"/>
        <v>1</v>
      </c>
      <c r="H451" s="35" t="e">
        <f t="shared" si="340"/>
        <v>#DIV/0!</v>
      </c>
      <c r="I451" s="35" t="e">
        <f t="shared" si="340"/>
        <v>#DIV/0!</v>
      </c>
      <c r="J451" s="35">
        <f t="shared" si="340"/>
        <v>1</v>
      </c>
      <c r="K451" s="35" t="e">
        <f t="shared" si="340"/>
        <v>#DIV/0!</v>
      </c>
      <c r="L451" s="35">
        <f t="shared" si="340"/>
        <v>1</v>
      </c>
      <c r="M451" s="35" t="e">
        <f t="shared" si="340"/>
        <v>#DIV/0!</v>
      </c>
      <c r="N451" s="35" t="e">
        <f t="shared" si="340"/>
        <v>#DIV/0!</v>
      </c>
      <c r="O451" s="35">
        <f t="shared" si="340"/>
        <v>1</v>
      </c>
      <c r="P451" s="35">
        <f t="shared" si="340"/>
        <v>1</v>
      </c>
      <c r="Q451" s="35">
        <f t="shared" si="340"/>
        <v>1</v>
      </c>
      <c r="R451" s="35">
        <f t="shared" si="340"/>
        <v>1</v>
      </c>
      <c r="S451" s="35" t="e">
        <f t="shared" si="340"/>
        <v>#DIV/0!</v>
      </c>
      <c r="T451" s="35" t="e">
        <f t="shared" si="340"/>
        <v>#DIV/0!</v>
      </c>
      <c r="U451" s="35">
        <f t="shared" si="340"/>
        <v>1</v>
      </c>
      <c r="V451" s="35" t="e">
        <f t="shared" si="340"/>
        <v>#DIV/0!</v>
      </c>
      <c r="W451" s="35" t="e">
        <f t="shared" si="340"/>
        <v>#DIV/0!</v>
      </c>
      <c r="X451" s="35" t="e">
        <f t="shared" si="340"/>
        <v>#DIV/0!</v>
      </c>
      <c r="Y451" s="35" t="e">
        <f t="shared" si="340"/>
        <v>#DIV/0!</v>
      </c>
      <c r="Z451" s="35" t="e">
        <f t="shared" si="340"/>
        <v>#DIV/0!</v>
      </c>
      <c r="AA451" s="35">
        <f t="shared" si="340"/>
        <v>1</v>
      </c>
      <c r="AB451" s="35" t="e">
        <f t="shared" si="340"/>
        <v>#DIV/0!</v>
      </c>
      <c r="AC451" s="35">
        <f t="shared" si="340"/>
        <v>1</v>
      </c>
      <c r="AD451" s="35">
        <f t="shared" si="340"/>
        <v>1</v>
      </c>
    </row>
    <row r="452" spans="2:30">
      <c r="B452" s="200" t="s">
        <v>16</v>
      </c>
      <c r="C452" s="200" t="s">
        <v>592</v>
      </c>
      <c r="D452" s="145">
        <f t="shared" ref="D452:AD452" si="342">SUM(D445:D451)</f>
        <v>1</v>
      </c>
      <c r="E452" s="145" t="e">
        <f t="shared" si="342"/>
        <v>#DIV/0!</v>
      </c>
      <c r="F452" s="145">
        <f t="shared" si="342"/>
        <v>1</v>
      </c>
      <c r="G452" s="145">
        <f t="shared" si="342"/>
        <v>1</v>
      </c>
      <c r="H452" s="145" t="e">
        <f t="shared" si="342"/>
        <v>#DIV/0!</v>
      </c>
      <c r="I452" s="145" t="e">
        <f t="shared" si="342"/>
        <v>#DIV/0!</v>
      </c>
      <c r="J452" s="145">
        <f t="shared" si="342"/>
        <v>1</v>
      </c>
      <c r="K452" s="145" t="e">
        <f t="shared" si="342"/>
        <v>#DIV/0!</v>
      </c>
      <c r="L452" s="145">
        <f t="shared" si="342"/>
        <v>1</v>
      </c>
      <c r="M452" s="145" t="e">
        <f t="shared" si="342"/>
        <v>#DIV/0!</v>
      </c>
      <c r="N452" s="145" t="e">
        <f t="shared" si="342"/>
        <v>#DIV/0!</v>
      </c>
      <c r="O452" s="145">
        <f t="shared" si="342"/>
        <v>1</v>
      </c>
      <c r="P452" s="145">
        <f t="shared" si="342"/>
        <v>1</v>
      </c>
      <c r="Q452" s="145">
        <f t="shared" si="342"/>
        <v>1</v>
      </c>
      <c r="R452" s="145">
        <f t="shared" si="342"/>
        <v>1</v>
      </c>
      <c r="S452" s="145" t="e">
        <f t="shared" si="342"/>
        <v>#DIV/0!</v>
      </c>
      <c r="T452" s="145" t="e">
        <f t="shared" si="342"/>
        <v>#DIV/0!</v>
      </c>
      <c r="U452" s="145">
        <f t="shared" si="342"/>
        <v>1</v>
      </c>
      <c r="V452" s="145" t="e">
        <f t="shared" si="342"/>
        <v>#DIV/0!</v>
      </c>
      <c r="W452" s="145" t="e">
        <f t="shared" si="342"/>
        <v>#DIV/0!</v>
      </c>
      <c r="X452" s="145" t="e">
        <f t="shared" si="342"/>
        <v>#DIV/0!</v>
      </c>
      <c r="Y452" s="145" t="e">
        <f t="shared" si="342"/>
        <v>#DIV/0!</v>
      </c>
      <c r="Z452" s="145" t="e">
        <f t="shared" si="342"/>
        <v>#DIV/0!</v>
      </c>
      <c r="AA452" s="145">
        <f t="shared" si="342"/>
        <v>1</v>
      </c>
      <c r="AB452" s="145" t="e">
        <f t="shared" si="342"/>
        <v>#DIV/0!</v>
      </c>
      <c r="AC452" s="145">
        <f t="shared" si="342"/>
        <v>1</v>
      </c>
      <c r="AD452" s="145">
        <f t="shared" si="342"/>
        <v>1</v>
      </c>
    </row>
    <row r="453" spans="2:30">
      <c r="B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c r="AC453" s="201"/>
      <c r="AD453" s="201"/>
    </row>
    <row r="454" spans="2:30">
      <c r="B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c r="AC454" s="201"/>
      <c r="AD454" s="201"/>
    </row>
    <row r="455" spans="2:30">
      <c r="B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c r="AC455" s="201"/>
      <c r="AD455" s="201"/>
    </row>
    <row r="456" spans="2:30" ht="15.6">
      <c r="B456" s="167" t="s">
        <v>619</v>
      </c>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c r="AC456" s="201"/>
      <c r="AD456" s="201"/>
    </row>
    <row r="457" spans="2:30">
      <c r="B457" s="114" t="s">
        <v>588</v>
      </c>
      <c r="C457" s="114" t="s">
        <v>63</v>
      </c>
      <c r="D457" s="114" t="str">
        <f>D444</f>
        <v>IE</v>
      </c>
      <c r="E457" s="114" t="str">
        <f t="shared" ref="E457:AD457" si="343">E444</f>
        <v>IE-CW</v>
      </c>
      <c r="F457" s="114" t="str">
        <f t="shared" si="343"/>
        <v>IE-D</v>
      </c>
      <c r="G457" s="114" t="str">
        <f t="shared" si="343"/>
        <v>IE-KE</v>
      </c>
      <c r="H457" s="114" t="str">
        <f t="shared" si="343"/>
        <v>IE-KK</v>
      </c>
      <c r="I457" s="114" t="str">
        <f t="shared" si="343"/>
        <v>IE-LS</v>
      </c>
      <c r="J457" s="114" t="str">
        <f t="shared" si="343"/>
        <v>IE-LD</v>
      </c>
      <c r="K457" s="114" t="str">
        <f t="shared" si="343"/>
        <v>IE-LH</v>
      </c>
      <c r="L457" s="114" t="str">
        <f t="shared" si="343"/>
        <v>IE-MH</v>
      </c>
      <c r="M457" s="114" t="str">
        <f t="shared" si="343"/>
        <v>IE-OY</v>
      </c>
      <c r="N457" s="114" t="str">
        <f t="shared" si="343"/>
        <v>IE-WH</v>
      </c>
      <c r="O457" s="114" t="str">
        <f t="shared" si="343"/>
        <v>IE-WX</v>
      </c>
      <c r="P457" s="114" t="str">
        <f t="shared" si="343"/>
        <v>IE-WW</v>
      </c>
      <c r="Q457" s="114" t="str">
        <f t="shared" si="343"/>
        <v>IE-CE</v>
      </c>
      <c r="R457" s="114" t="str">
        <f t="shared" si="343"/>
        <v>IE-CO</v>
      </c>
      <c r="S457" s="114" t="str">
        <f t="shared" si="343"/>
        <v>IE-KY</v>
      </c>
      <c r="T457" s="114" t="str">
        <f t="shared" si="343"/>
        <v>IE-LK</v>
      </c>
      <c r="U457" s="114" t="str">
        <f t="shared" si="343"/>
        <v>IE-TA</v>
      </c>
      <c r="V457" s="114" t="str">
        <f t="shared" si="343"/>
        <v>IE-WD</v>
      </c>
      <c r="W457" s="114" t="str">
        <f t="shared" si="343"/>
        <v>IE-G</v>
      </c>
      <c r="X457" s="114" t="str">
        <f t="shared" si="343"/>
        <v>IE-LM</v>
      </c>
      <c r="Y457" s="114" t="str">
        <f t="shared" si="343"/>
        <v>IE-MO</v>
      </c>
      <c r="Z457" s="114" t="str">
        <f t="shared" si="343"/>
        <v>IE-RN</v>
      </c>
      <c r="AA457" s="114" t="str">
        <f t="shared" si="343"/>
        <v>IE-SO</v>
      </c>
      <c r="AB457" s="114" t="str">
        <f t="shared" si="343"/>
        <v>IE-CN</v>
      </c>
      <c r="AC457" s="114" t="str">
        <f t="shared" si="343"/>
        <v>IE-DL</v>
      </c>
      <c r="AD457" s="114" t="str">
        <f t="shared" si="343"/>
        <v>IE-MN</v>
      </c>
    </row>
    <row r="458" spans="2:30">
      <c r="B458" s="201" t="s">
        <v>332</v>
      </c>
      <c r="C458" s="201" t="s">
        <v>593</v>
      </c>
      <c r="D458" s="251">
        <v>0.89420463139996986</v>
      </c>
      <c r="E458" s="251">
        <v>0.89420463139996986</v>
      </c>
      <c r="F458" s="251">
        <v>0.89420463139996986</v>
      </c>
      <c r="G458" s="251">
        <v>0.89420463139996986</v>
      </c>
      <c r="H458" s="251">
        <v>0.89420463139996986</v>
      </c>
      <c r="I458" s="251">
        <v>0.89420463139996986</v>
      </c>
      <c r="J458" s="251">
        <v>0.89420463139996986</v>
      </c>
      <c r="K458" s="251">
        <v>0.89420463139996986</v>
      </c>
      <c r="L458" s="251">
        <v>0.89420463139996986</v>
      </c>
      <c r="M458" s="251">
        <v>0.89420463139996986</v>
      </c>
      <c r="N458" s="251">
        <v>0.89420463139996986</v>
      </c>
      <c r="O458" s="251">
        <v>0.89420463139996986</v>
      </c>
      <c r="P458" s="251">
        <v>0.89420463139996986</v>
      </c>
      <c r="Q458" s="251">
        <v>0.89420463139996986</v>
      </c>
      <c r="R458" s="251">
        <v>0.89420463139996986</v>
      </c>
      <c r="S458" s="251">
        <v>0.89420463139996986</v>
      </c>
      <c r="T458" s="251">
        <v>0.89420463139996986</v>
      </c>
      <c r="U458" s="251">
        <v>0.89420463139996986</v>
      </c>
      <c r="V458" s="251">
        <v>0.89420463139996986</v>
      </c>
      <c r="W458" s="251">
        <v>0.89420463139996986</v>
      </c>
      <c r="X458" s="251">
        <v>0.89420463139996986</v>
      </c>
      <c r="Y458" s="251">
        <v>0.89420463139996986</v>
      </c>
      <c r="Z458" s="251">
        <v>0.89420463139996986</v>
      </c>
      <c r="AA458" s="251">
        <v>0.89420463139996986</v>
      </c>
      <c r="AB458" s="251">
        <v>0.89420463139996986</v>
      </c>
      <c r="AC458" s="251">
        <v>0.89420463139996986</v>
      </c>
      <c r="AD458" s="251">
        <v>0.89420463139996986</v>
      </c>
    </row>
    <row r="459" spans="2:30">
      <c r="B459" s="201" t="s">
        <v>333</v>
      </c>
      <c r="C459" s="201" t="s">
        <v>593</v>
      </c>
      <c r="D459" s="251">
        <v>0.89549213686135043</v>
      </c>
      <c r="E459" s="251">
        <v>0.89549213686135043</v>
      </c>
      <c r="F459" s="251">
        <v>0.89549213686135043</v>
      </c>
      <c r="G459" s="251">
        <v>0.89549213686135043</v>
      </c>
      <c r="H459" s="251">
        <v>0.89549213686135043</v>
      </c>
      <c r="I459" s="251">
        <v>0.89549213686135043</v>
      </c>
      <c r="J459" s="251">
        <v>0.89549213686135043</v>
      </c>
      <c r="K459" s="251">
        <v>0.89549213686135043</v>
      </c>
      <c r="L459" s="251">
        <v>0.89549213686135043</v>
      </c>
      <c r="M459" s="251">
        <v>0.89549213686135043</v>
      </c>
      <c r="N459" s="251">
        <v>0.89549213686135043</v>
      </c>
      <c r="O459" s="251">
        <v>0.89549213686135043</v>
      </c>
      <c r="P459" s="251">
        <v>0.89549213686135043</v>
      </c>
      <c r="Q459" s="251">
        <v>0.89549213686135043</v>
      </c>
      <c r="R459" s="251">
        <v>0.89549213686135043</v>
      </c>
      <c r="S459" s="251">
        <v>0.89549213686135043</v>
      </c>
      <c r="T459" s="251">
        <v>0.89549213686135043</v>
      </c>
      <c r="U459" s="251">
        <v>0.89549213686135043</v>
      </c>
      <c r="V459" s="251">
        <v>0.89549213686135043</v>
      </c>
      <c r="W459" s="251">
        <v>0.89549213686135043</v>
      </c>
      <c r="X459" s="251">
        <v>0.89549213686135043</v>
      </c>
      <c r="Y459" s="251">
        <v>0.89549213686135043</v>
      </c>
      <c r="Z459" s="251">
        <v>0.89549213686135043</v>
      </c>
      <c r="AA459" s="251">
        <v>0.89549213686135043</v>
      </c>
      <c r="AB459" s="251">
        <v>0.89549213686135043</v>
      </c>
      <c r="AC459" s="251">
        <v>0.89549213686135043</v>
      </c>
      <c r="AD459" s="251">
        <v>0.89549213686135043</v>
      </c>
    </row>
    <row r="460" spans="2:30">
      <c r="B460" s="201" t="s">
        <v>334</v>
      </c>
      <c r="C460" s="201" t="s">
        <v>593</v>
      </c>
      <c r="D460" s="251">
        <v>0.88898830526723482</v>
      </c>
      <c r="E460" s="251">
        <v>0.88898830526723482</v>
      </c>
      <c r="F460" s="251">
        <v>0.88898830526723482</v>
      </c>
      <c r="G460" s="251">
        <v>0.88898830526723482</v>
      </c>
      <c r="H460" s="251">
        <v>0.88898830526723482</v>
      </c>
      <c r="I460" s="251">
        <v>0.88898830526723482</v>
      </c>
      <c r="J460" s="251">
        <v>0.88898830526723482</v>
      </c>
      <c r="K460" s="251">
        <v>0.88898830526723482</v>
      </c>
      <c r="L460" s="251">
        <v>0.88898830526723482</v>
      </c>
      <c r="M460" s="251">
        <v>0.88898830526723482</v>
      </c>
      <c r="N460" s="251">
        <v>0.88898830526723482</v>
      </c>
      <c r="O460" s="251">
        <v>0.88898830526723482</v>
      </c>
      <c r="P460" s="251">
        <v>0.88898830526723482</v>
      </c>
      <c r="Q460" s="251">
        <v>0.88898830526723482</v>
      </c>
      <c r="R460" s="251">
        <v>0.88898830526723482</v>
      </c>
      <c r="S460" s="251">
        <v>0.88898830526723482</v>
      </c>
      <c r="T460" s="251">
        <v>0.88898830526723482</v>
      </c>
      <c r="U460" s="251">
        <v>0.88898830526723482</v>
      </c>
      <c r="V460" s="251">
        <v>0.88898830526723482</v>
      </c>
      <c r="W460" s="251">
        <v>0.88898830526723482</v>
      </c>
      <c r="X460" s="251">
        <v>0.88898830526723482</v>
      </c>
      <c r="Y460" s="251">
        <v>0.88898830526723482</v>
      </c>
      <c r="Z460" s="251">
        <v>0.88898830526723482</v>
      </c>
      <c r="AA460" s="251">
        <v>0.88898830526723482</v>
      </c>
      <c r="AB460" s="251">
        <v>0.88898830526723482</v>
      </c>
      <c r="AC460" s="251">
        <v>0.88898830526723482</v>
      </c>
      <c r="AD460" s="251">
        <v>0.88898830526723482</v>
      </c>
    </row>
    <row r="461" spans="2:30">
      <c r="B461" s="201" t="s">
        <v>335</v>
      </c>
      <c r="C461" s="201" t="s">
        <v>593</v>
      </c>
      <c r="D461" s="251">
        <v>0.91515513280315741</v>
      </c>
      <c r="E461" s="251">
        <v>0.91515513280315741</v>
      </c>
      <c r="F461" s="251">
        <v>0.91515513280315741</v>
      </c>
      <c r="G461" s="251">
        <v>0.91515513280315741</v>
      </c>
      <c r="H461" s="251">
        <v>0.91515513280315741</v>
      </c>
      <c r="I461" s="251">
        <v>0.91515513280315741</v>
      </c>
      <c r="J461" s="251">
        <v>0.91515513280315741</v>
      </c>
      <c r="K461" s="251">
        <v>0.91515513280315741</v>
      </c>
      <c r="L461" s="251">
        <v>0.91515513280315741</v>
      </c>
      <c r="M461" s="251">
        <v>0.91515513280315741</v>
      </c>
      <c r="N461" s="251">
        <v>0.91515513280315741</v>
      </c>
      <c r="O461" s="251">
        <v>0.91515513280315741</v>
      </c>
      <c r="P461" s="251">
        <v>0.91515513280315741</v>
      </c>
      <c r="Q461" s="251">
        <v>0.91515513280315741</v>
      </c>
      <c r="R461" s="251">
        <v>0.91515513280315741</v>
      </c>
      <c r="S461" s="251">
        <v>0.91515513280315741</v>
      </c>
      <c r="T461" s="251">
        <v>0.91515513280315741</v>
      </c>
      <c r="U461" s="251">
        <v>0.91515513280315741</v>
      </c>
      <c r="V461" s="251">
        <v>0.91515513280315741</v>
      </c>
      <c r="W461" s="251">
        <v>0.91515513280315741</v>
      </c>
      <c r="X461" s="251">
        <v>0.91515513280315741</v>
      </c>
      <c r="Y461" s="251">
        <v>0.91515513280315741</v>
      </c>
      <c r="Z461" s="251">
        <v>0.91515513280315741</v>
      </c>
      <c r="AA461" s="251">
        <v>0.91515513280315741</v>
      </c>
      <c r="AB461" s="251">
        <v>0.91515513280315741</v>
      </c>
      <c r="AC461" s="251">
        <v>0.91515513280315741</v>
      </c>
      <c r="AD461" s="251">
        <v>0.91515513280315741</v>
      </c>
    </row>
    <row r="462" spans="2:30">
      <c r="B462" s="201" t="s">
        <v>336</v>
      </c>
      <c r="C462" s="201" t="s">
        <v>593</v>
      </c>
      <c r="D462" s="251">
        <v>0.99212392375028091</v>
      </c>
      <c r="E462" s="251">
        <v>0.99212392375028091</v>
      </c>
      <c r="F462" s="251">
        <v>0.99212392375028091</v>
      </c>
      <c r="G462" s="251">
        <v>0.99212392375028091</v>
      </c>
      <c r="H462" s="251">
        <v>0.99212392375028091</v>
      </c>
      <c r="I462" s="251">
        <v>0.99212392375028091</v>
      </c>
      <c r="J462" s="251">
        <v>0.99212392375028091</v>
      </c>
      <c r="K462" s="251">
        <v>0.99212392375028091</v>
      </c>
      <c r="L462" s="251">
        <v>0.99212392375028091</v>
      </c>
      <c r="M462" s="251">
        <v>0.99212392375028091</v>
      </c>
      <c r="N462" s="251">
        <v>0.99212392375028091</v>
      </c>
      <c r="O462" s="251">
        <v>0.99212392375028091</v>
      </c>
      <c r="P462" s="251">
        <v>0.99212392375028091</v>
      </c>
      <c r="Q462" s="251">
        <v>0.99212392375028091</v>
      </c>
      <c r="R462" s="251">
        <v>0.99212392375028091</v>
      </c>
      <c r="S462" s="251">
        <v>0.99212392375028091</v>
      </c>
      <c r="T462" s="251">
        <v>0.99212392375028091</v>
      </c>
      <c r="U462" s="251">
        <v>0.99212392375028091</v>
      </c>
      <c r="V462" s="251">
        <v>0.99212392375028091</v>
      </c>
      <c r="W462" s="251">
        <v>0.99212392375028091</v>
      </c>
      <c r="X462" s="251">
        <v>0.99212392375028091</v>
      </c>
      <c r="Y462" s="251">
        <v>0.99212392375028091</v>
      </c>
      <c r="Z462" s="251">
        <v>0.99212392375028091</v>
      </c>
      <c r="AA462" s="251">
        <v>0.99212392375028091</v>
      </c>
      <c r="AB462" s="251">
        <v>0.99212392375028091</v>
      </c>
      <c r="AC462" s="251">
        <v>0.99212392375028091</v>
      </c>
      <c r="AD462" s="251">
        <v>0.99212392375028091</v>
      </c>
    </row>
    <row r="463" spans="2:30">
      <c r="B463" s="201" t="s">
        <v>337</v>
      </c>
      <c r="C463" s="201" t="s">
        <v>593</v>
      </c>
      <c r="D463" s="251">
        <v>1.0153132420731179</v>
      </c>
      <c r="E463" s="251">
        <v>1.0153132420731179</v>
      </c>
      <c r="F463" s="251">
        <v>1.0153132420731179</v>
      </c>
      <c r="G463" s="251">
        <v>1.0153132420731179</v>
      </c>
      <c r="H463" s="251">
        <v>1.0153132420731179</v>
      </c>
      <c r="I463" s="251">
        <v>1.0153132420731179</v>
      </c>
      <c r="J463" s="251">
        <v>1.0153132420731179</v>
      </c>
      <c r="K463" s="251">
        <v>1.0153132420731179</v>
      </c>
      <c r="L463" s="251">
        <v>1.0153132420731179</v>
      </c>
      <c r="M463" s="251">
        <v>1.0153132420731179</v>
      </c>
      <c r="N463" s="251">
        <v>1.0153132420731179</v>
      </c>
      <c r="O463" s="251">
        <v>1.0153132420731179</v>
      </c>
      <c r="P463" s="251">
        <v>1.0153132420731179</v>
      </c>
      <c r="Q463" s="251">
        <v>1.0153132420731179</v>
      </c>
      <c r="R463" s="251">
        <v>1.0153132420731179</v>
      </c>
      <c r="S463" s="251">
        <v>1.0153132420731179</v>
      </c>
      <c r="T463" s="251">
        <v>1.0153132420731179</v>
      </c>
      <c r="U463" s="251">
        <v>1.0153132420731179</v>
      </c>
      <c r="V463" s="251">
        <v>1.0153132420731179</v>
      </c>
      <c r="W463" s="251">
        <v>1.0153132420731179</v>
      </c>
      <c r="X463" s="251">
        <v>1.0153132420731179</v>
      </c>
      <c r="Y463" s="251">
        <v>1.0153132420731179</v>
      </c>
      <c r="Z463" s="251">
        <v>1.0153132420731179</v>
      </c>
      <c r="AA463" s="251">
        <v>1.0153132420731179</v>
      </c>
      <c r="AB463" s="251">
        <v>1.0153132420731179</v>
      </c>
      <c r="AC463" s="251">
        <v>1.0153132420731179</v>
      </c>
      <c r="AD463" s="251">
        <v>1.0153132420731179</v>
      </c>
    </row>
    <row r="464" spans="2:30">
      <c r="B464" s="200" t="s">
        <v>338</v>
      </c>
      <c r="C464" s="200" t="s">
        <v>593</v>
      </c>
      <c r="D464" s="256">
        <v>1.0969120942538386</v>
      </c>
      <c r="E464" s="256">
        <v>1.0969120942538386</v>
      </c>
      <c r="F464" s="256">
        <v>1.0969120942538386</v>
      </c>
      <c r="G464" s="256">
        <v>1.0969120942538386</v>
      </c>
      <c r="H464" s="256">
        <v>1.0969120942538386</v>
      </c>
      <c r="I464" s="256">
        <v>1.0969120942538386</v>
      </c>
      <c r="J464" s="256">
        <v>1.0969120942538386</v>
      </c>
      <c r="K464" s="256">
        <v>1.0969120942538386</v>
      </c>
      <c r="L464" s="256">
        <v>1.0969120942538386</v>
      </c>
      <c r="M464" s="256">
        <v>1.0969120942538386</v>
      </c>
      <c r="N464" s="256">
        <v>1.0969120942538386</v>
      </c>
      <c r="O464" s="256">
        <v>1.0969120942538386</v>
      </c>
      <c r="P464" s="256">
        <v>1.0969120942538386</v>
      </c>
      <c r="Q464" s="256">
        <v>1.0969120942538386</v>
      </c>
      <c r="R464" s="256">
        <v>1.0969120942538386</v>
      </c>
      <c r="S464" s="256">
        <v>1.0969120942538386</v>
      </c>
      <c r="T464" s="256">
        <v>1.0969120942538386</v>
      </c>
      <c r="U464" s="256">
        <v>1.0969120942538386</v>
      </c>
      <c r="V464" s="256">
        <v>1.0969120942538386</v>
      </c>
      <c r="W464" s="256">
        <v>1.0969120942538386</v>
      </c>
      <c r="X464" s="256">
        <v>1.0969120942538386</v>
      </c>
      <c r="Y464" s="256">
        <v>1.0969120942538386</v>
      </c>
      <c r="Z464" s="256">
        <v>1.0969120942538386</v>
      </c>
      <c r="AA464" s="256">
        <v>1.0969120942538386</v>
      </c>
      <c r="AB464" s="256">
        <v>1.0969120942538386</v>
      </c>
      <c r="AC464" s="256">
        <v>1.0969120942538386</v>
      </c>
      <c r="AD464" s="256">
        <v>1.0969120942538386</v>
      </c>
    </row>
    <row r="465" spans="2:30">
      <c r="B465" s="252" t="s">
        <v>597</v>
      </c>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c r="AC465" s="201"/>
      <c r="AD465" s="201"/>
    </row>
    <row r="466" spans="2:30">
      <c r="B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c r="AC466" s="201"/>
      <c r="AD466" s="201"/>
    </row>
    <row r="467" spans="2:30">
      <c r="B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ht="15.6">
      <c r="B469" s="167" t="s">
        <v>619</v>
      </c>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114" t="s">
        <v>588</v>
      </c>
      <c r="C470" s="114" t="s">
        <v>63</v>
      </c>
      <c r="D470" s="114" t="str">
        <f>D457</f>
        <v>IE</v>
      </c>
      <c r="E470" s="114" t="str">
        <f t="shared" ref="E470:AD470" si="344">E457</f>
        <v>IE-CW</v>
      </c>
      <c r="F470" s="114" t="str">
        <f t="shared" si="344"/>
        <v>IE-D</v>
      </c>
      <c r="G470" s="114" t="str">
        <f t="shared" si="344"/>
        <v>IE-KE</v>
      </c>
      <c r="H470" s="114" t="str">
        <f t="shared" si="344"/>
        <v>IE-KK</v>
      </c>
      <c r="I470" s="114" t="str">
        <f t="shared" si="344"/>
        <v>IE-LS</v>
      </c>
      <c r="J470" s="114" t="str">
        <f t="shared" si="344"/>
        <v>IE-LD</v>
      </c>
      <c r="K470" s="114" t="str">
        <f t="shared" si="344"/>
        <v>IE-LH</v>
      </c>
      <c r="L470" s="114" t="str">
        <f t="shared" si="344"/>
        <v>IE-MH</v>
      </c>
      <c r="M470" s="114" t="str">
        <f t="shared" si="344"/>
        <v>IE-OY</v>
      </c>
      <c r="N470" s="114" t="str">
        <f t="shared" si="344"/>
        <v>IE-WH</v>
      </c>
      <c r="O470" s="114" t="str">
        <f t="shared" si="344"/>
        <v>IE-WX</v>
      </c>
      <c r="P470" s="114" t="str">
        <f t="shared" si="344"/>
        <v>IE-WW</v>
      </c>
      <c r="Q470" s="114" t="str">
        <f t="shared" si="344"/>
        <v>IE-CE</v>
      </c>
      <c r="R470" s="114" t="str">
        <f t="shared" si="344"/>
        <v>IE-CO</v>
      </c>
      <c r="S470" s="114" t="str">
        <f t="shared" si="344"/>
        <v>IE-KY</v>
      </c>
      <c r="T470" s="114" t="str">
        <f t="shared" si="344"/>
        <v>IE-LK</v>
      </c>
      <c r="U470" s="114" t="str">
        <f t="shared" si="344"/>
        <v>IE-TA</v>
      </c>
      <c r="V470" s="114" t="str">
        <f t="shared" si="344"/>
        <v>IE-WD</v>
      </c>
      <c r="W470" s="114" t="str">
        <f t="shared" si="344"/>
        <v>IE-G</v>
      </c>
      <c r="X470" s="114" t="str">
        <f t="shared" si="344"/>
        <v>IE-LM</v>
      </c>
      <c r="Y470" s="114" t="str">
        <f t="shared" si="344"/>
        <v>IE-MO</v>
      </c>
      <c r="Z470" s="114" t="str">
        <f t="shared" si="344"/>
        <v>IE-RN</v>
      </c>
      <c r="AA470" s="114" t="str">
        <f t="shared" si="344"/>
        <v>IE-SO</v>
      </c>
      <c r="AB470" s="114" t="str">
        <f t="shared" si="344"/>
        <v>IE-CN</v>
      </c>
      <c r="AC470" s="114" t="str">
        <f t="shared" si="344"/>
        <v>IE-DL</v>
      </c>
      <c r="AD470" s="114" t="str">
        <f t="shared" si="344"/>
        <v>IE-MN</v>
      </c>
    </row>
    <row r="471" spans="2:30">
      <c r="B471" s="201" t="s">
        <v>609</v>
      </c>
      <c r="C471" s="201" t="s">
        <v>593</v>
      </c>
      <c r="D471" s="247">
        <f>SUMPRODUCT(D445:D451,D458:D464)</f>
        <v>1.090384186079381</v>
      </c>
      <c r="E471" s="247">
        <f>IF(E438&gt;1,SUMPRODUCT(E445:E451,E458:E464),$D$230)</f>
        <v>1.9907750239914981</v>
      </c>
      <c r="F471" s="247">
        <f t="shared" ref="F471:AD471" si="345">IF(F438&gt;1,SUMPRODUCT(F445:F451,F458:F464),$D$230)</f>
        <v>1.0820759393118895</v>
      </c>
      <c r="G471" s="247">
        <f t="shared" si="345"/>
        <v>1.0969120942538386</v>
      </c>
      <c r="H471" s="247">
        <f t="shared" si="345"/>
        <v>1.9907750239914981</v>
      </c>
      <c r="I471" s="247">
        <f t="shared" si="345"/>
        <v>1.9907750239914981</v>
      </c>
      <c r="J471" s="247">
        <f t="shared" si="345"/>
        <v>1.9907750239914981</v>
      </c>
      <c r="K471" s="247">
        <f t="shared" si="345"/>
        <v>1.9907750239914981</v>
      </c>
      <c r="L471" s="247">
        <f t="shared" si="345"/>
        <v>1.9907750239914981</v>
      </c>
      <c r="M471" s="247">
        <f t="shared" si="345"/>
        <v>1.9907750239914981</v>
      </c>
      <c r="N471" s="247">
        <f t="shared" si="345"/>
        <v>1.9907750239914981</v>
      </c>
      <c r="O471" s="247">
        <f t="shared" si="345"/>
        <v>1.9907750239914981</v>
      </c>
      <c r="P471" s="247">
        <f t="shared" si="345"/>
        <v>1.9907750239914981</v>
      </c>
      <c r="Q471" s="247">
        <f t="shared" si="345"/>
        <v>1.0969120942538386</v>
      </c>
      <c r="R471" s="247">
        <f t="shared" si="345"/>
        <v>1.0969120942538386</v>
      </c>
      <c r="S471" s="247">
        <f t="shared" si="345"/>
        <v>1.9907750239914981</v>
      </c>
      <c r="T471" s="247">
        <f t="shared" si="345"/>
        <v>1.9907750239914981</v>
      </c>
      <c r="U471" s="247">
        <f t="shared" si="345"/>
        <v>1.9907750239914981</v>
      </c>
      <c r="V471" s="247">
        <f t="shared" si="345"/>
        <v>1.9907750239914981</v>
      </c>
      <c r="W471" s="247">
        <f t="shared" si="345"/>
        <v>1.9907750239914981</v>
      </c>
      <c r="X471" s="247">
        <f t="shared" si="345"/>
        <v>1.9907750239914981</v>
      </c>
      <c r="Y471" s="247">
        <f t="shared" si="345"/>
        <v>1.9907750239914981</v>
      </c>
      <c r="Z471" s="247">
        <f t="shared" si="345"/>
        <v>1.9907750239914981</v>
      </c>
      <c r="AA471" s="247">
        <f t="shared" si="345"/>
        <v>1.9907750239914981</v>
      </c>
      <c r="AB471" s="247">
        <f t="shared" si="345"/>
        <v>1.9907750239914981</v>
      </c>
      <c r="AC471" s="247">
        <f t="shared" si="345"/>
        <v>1.9907750239914981</v>
      </c>
      <c r="AD471" s="247">
        <f t="shared" si="345"/>
        <v>1.9907750239914981</v>
      </c>
    </row>
    <row r="472" spans="2:30">
      <c r="B472" s="200"/>
      <c r="C472" s="200" t="s">
        <v>581</v>
      </c>
      <c r="D472" s="250">
        <f>1000/D471</f>
        <v>917.10794485715246</v>
      </c>
      <c r="E472" s="250">
        <f>1000/E471</f>
        <v>502.31693081772892</v>
      </c>
      <c r="F472" s="250">
        <f>1000/F471</f>
        <v>924.1495570411787</v>
      </c>
      <c r="G472" s="250">
        <f>1000/G471</f>
        <v>911.65008138618259</v>
      </c>
      <c r="H472" s="250">
        <f t="shared" ref="H472" si="346">1000/H471</f>
        <v>502.31693081772892</v>
      </c>
      <c r="I472" s="250">
        <f t="shared" ref="I472" si="347">1000/I471</f>
        <v>502.31693081772892</v>
      </c>
      <c r="J472" s="250">
        <f t="shared" ref="J472" si="348">1000/J471</f>
        <v>502.31693081772892</v>
      </c>
      <c r="K472" s="250">
        <f t="shared" ref="K472" si="349">1000/K471</f>
        <v>502.31693081772892</v>
      </c>
      <c r="L472" s="250">
        <f t="shared" ref="L472" si="350">1000/L471</f>
        <v>502.31693081772892</v>
      </c>
      <c r="M472" s="250">
        <f t="shared" ref="M472" si="351">1000/M471</f>
        <v>502.31693081772892</v>
      </c>
      <c r="N472" s="250">
        <f t="shared" ref="N472" si="352">1000/N471</f>
        <v>502.31693081772892</v>
      </c>
      <c r="O472" s="250">
        <f t="shared" ref="O472" si="353">1000/O471</f>
        <v>502.31693081772892</v>
      </c>
      <c r="P472" s="250">
        <f t="shared" ref="P472" si="354">1000/P471</f>
        <v>502.31693081772892</v>
      </c>
      <c r="Q472" s="250">
        <f t="shared" ref="Q472" si="355">1000/Q471</f>
        <v>911.65008138618259</v>
      </c>
      <c r="R472" s="250">
        <f t="shared" ref="R472" si="356">1000/R471</f>
        <v>911.65008138618259</v>
      </c>
      <c r="S472" s="250">
        <f t="shared" ref="S472" si="357">1000/S471</f>
        <v>502.31693081772892</v>
      </c>
      <c r="T472" s="250">
        <f t="shared" ref="T472" si="358">1000/T471</f>
        <v>502.31693081772892</v>
      </c>
      <c r="U472" s="250">
        <f t="shared" ref="U472" si="359">1000/U471</f>
        <v>502.31693081772892</v>
      </c>
      <c r="V472" s="250">
        <f t="shared" ref="V472" si="360">1000/V471</f>
        <v>502.31693081772892</v>
      </c>
      <c r="W472" s="250">
        <f t="shared" ref="W472" si="361">1000/W471</f>
        <v>502.31693081772892</v>
      </c>
      <c r="X472" s="250">
        <f t="shared" ref="X472" si="362">1000/X471</f>
        <v>502.31693081772892</v>
      </c>
      <c r="Y472" s="250">
        <f t="shared" ref="Y472" si="363">1000/Y471</f>
        <v>502.31693081772892</v>
      </c>
      <c r="Z472" s="250">
        <f t="shared" ref="Z472" si="364">1000/Z471</f>
        <v>502.31693081772892</v>
      </c>
      <c r="AA472" s="250">
        <f t="shared" ref="AA472" si="365">1000/AA471</f>
        <v>502.31693081772892</v>
      </c>
      <c r="AB472" s="250">
        <f t="shared" ref="AB472" si="366">1000/AB471</f>
        <v>502.31693081772892</v>
      </c>
      <c r="AC472" s="250">
        <f t="shared" ref="AC472" si="367">1000/AC471</f>
        <v>502.31693081772892</v>
      </c>
      <c r="AD472" s="250">
        <f t="shared" ref="AD472" si="368">1000/AD471</f>
        <v>502.31693081772892</v>
      </c>
    </row>
    <row r="476" spans="2:30">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row>
    <row r="477" spans="2:30" ht="15.6">
      <c r="B477" s="143" t="s">
        <v>620</v>
      </c>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c r="AC477" s="201"/>
      <c r="AD477" s="201"/>
    </row>
    <row r="478" spans="2:30">
      <c r="B478" s="114" t="s">
        <v>623</v>
      </c>
      <c r="C478" s="114" t="s">
        <v>63</v>
      </c>
      <c r="D478" s="114" t="str">
        <f t="shared" ref="D478:AD478" si="369">D470</f>
        <v>IE</v>
      </c>
      <c r="E478" s="114" t="str">
        <f t="shared" si="369"/>
        <v>IE-CW</v>
      </c>
      <c r="F478" s="114" t="str">
        <f t="shared" si="369"/>
        <v>IE-D</v>
      </c>
      <c r="G478" s="114" t="str">
        <f t="shared" si="369"/>
        <v>IE-KE</v>
      </c>
      <c r="H478" s="114" t="str">
        <f t="shared" si="369"/>
        <v>IE-KK</v>
      </c>
      <c r="I478" s="114" t="str">
        <f t="shared" si="369"/>
        <v>IE-LS</v>
      </c>
      <c r="J478" s="114" t="str">
        <f t="shared" si="369"/>
        <v>IE-LD</v>
      </c>
      <c r="K478" s="114" t="str">
        <f t="shared" si="369"/>
        <v>IE-LH</v>
      </c>
      <c r="L478" s="114" t="str">
        <f t="shared" si="369"/>
        <v>IE-MH</v>
      </c>
      <c r="M478" s="114" t="str">
        <f t="shared" si="369"/>
        <v>IE-OY</v>
      </c>
      <c r="N478" s="114" t="str">
        <f t="shared" si="369"/>
        <v>IE-WH</v>
      </c>
      <c r="O478" s="114" t="str">
        <f t="shared" si="369"/>
        <v>IE-WX</v>
      </c>
      <c r="P478" s="114" t="str">
        <f t="shared" si="369"/>
        <v>IE-WW</v>
      </c>
      <c r="Q478" s="114" t="str">
        <f t="shared" si="369"/>
        <v>IE-CE</v>
      </c>
      <c r="R478" s="114" t="str">
        <f t="shared" si="369"/>
        <v>IE-CO</v>
      </c>
      <c r="S478" s="114" t="str">
        <f t="shared" si="369"/>
        <v>IE-KY</v>
      </c>
      <c r="T478" s="114" t="str">
        <f t="shared" si="369"/>
        <v>IE-LK</v>
      </c>
      <c r="U478" s="114" t="str">
        <f t="shared" si="369"/>
        <v>IE-TA</v>
      </c>
      <c r="V478" s="114" t="str">
        <f t="shared" si="369"/>
        <v>IE-WD</v>
      </c>
      <c r="W478" s="114" t="str">
        <f t="shared" si="369"/>
        <v>IE-G</v>
      </c>
      <c r="X478" s="114" t="str">
        <f t="shared" si="369"/>
        <v>IE-LM</v>
      </c>
      <c r="Y478" s="114" t="str">
        <f t="shared" si="369"/>
        <v>IE-MO</v>
      </c>
      <c r="Z478" s="114" t="str">
        <f t="shared" si="369"/>
        <v>IE-RN</v>
      </c>
      <c r="AA478" s="114" t="str">
        <f t="shared" si="369"/>
        <v>IE-SO</v>
      </c>
      <c r="AB478" s="114" t="str">
        <f t="shared" si="369"/>
        <v>IE-CN</v>
      </c>
      <c r="AC478" s="114" t="str">
        <f t="shared" si="369"/>
        <v>IE-DL</v>
      </c>
      <c r="AD478" s="114" t="str">
        <f t="shared" si="369"/>
        <v>IE-MN</v>
      </c>
    </row>
    <row r="479" spans="2:30">
      <c r="B479" s="201" t="s">
        <v>630</v>
      </c>
      <c r="C479" s="201" t="s">
        <v>516</v>
      </c>
      <c r="D479" s="10">
        <f>SUM(E479:AD479)</f>
        <v>0</v>
      </c>
      <c r="E479" s="254">
        <v>0</v>
      </c>
      <c r="F479" s="254">
        <v>0</v>
      </c>
      <c r="G479" s="254">
        <v>0</v>
      </c>
      <c r="H479" s="254">
        <v>0</v>
      </c>
      <c r="I479" s="254">
        <v>0</v>
      </c>
      <c r="J479" s="254">
        <v>0</v>
      </c>
      <c r="K479" s="254">
        <v>0</v>
      </c>
      <c r="L479" s="254">
        <v>0</v>
      </c>
      <c r="M479" s="254">
        <v>0</v>
      </c>
      <c r="N479" s="254">
        <v>0</v>
      </c>
      <c r="O479" s="254">
        <v>0</v>
      </c>
      <c r="P479" s="254">
        <v>0</v>
      </c>
      <c r="Q479" s="254">
        <v>0</v>
      </c>
      <c r="R479" s="254">
        <v>0</v>
      </c>
      <c r="S479" s="254">
        <v>0</v>
      </c>
      <c r="T479" s="254">
        <v>0</v>
      </c>
      <c r="U479" s="254">
        <v>0</v>
      </c>
      <c r="V479" s="254">
        <v>0</v>
      </c>
      <c r="W479" s="254">
        <v>0</v>
      </c>
      <c r="X479" s="254">
        <v>0</v>
      </c>
      <c r="Y479" s="254">
        <v>0</v>
      </c>
      <c r="Z479" s="254">
        <v>0</v>
      </c>
      <c r="AA479" s="254">
        <v>0</v>
      </c>
      <c r="AB479" s="254">
        <v>0</v>
      </c>
      <c r="AC479" s="254">
        <v>0</v>
      </c>
      <c r="AD479" s="254">
        <v>0</v>
      </c>
    </row>
    <row r="480" spans="2:30">
      <c r="B480" s="201" t="s">
        <v>632</v>
      </c>
      <c r="C480" s="201" t="s">
        <v>516</v>
      </c>
      <c r="D480" s="10">
        <f t="shared" ref="D480:D485" si="370">SUM(E480:AD480)</f>
        <v>2428</v>
      </c>
      <c r="E480" s="254">
        <v>35</v>
      </c>
      <c r="F480" s="254">
        <v>892</v>
      </c>
      <c r="G480" s="254">
        <v>150</v>
      </c>
      <c r="H480" s="254">
        <v>24</v>
      </c>
      <c r="I480" s="254">
        <v>23</v>
      </c>
      <c r="J480" s="254">
        <v>14</v>
      </c>
      <c r="K480" s="254">
        <v>53</v>
      </c>
      <c r="L480" s="254">
        <v>125</v>
      </c>
      <c r="M480" s="254">
        <v>23</v>
      </c>
      <c r="N480" s="254">
        <v>47</v>
      </c>
      <c r="O480" s="254">
        <v>70</v>
      </c>
      <c r="P480" s="254">
        <v>134</v>
      </c>
      <c r="Q480" s="254">
        <v>60</v>
      </c>
      <c r="R480" s="254">
        <v>270</v>
      </c>
      <c r="S480" s="254">
        <v>56</v>
      </c>
      <c r="T480" s="254">
        <v>60</v>
      </c>
      <c r="U480" s="254">
        <v>50</v>
      </c>
      <c r="V480" s="254">
        <v>57</v>
      </c>
      <c r="W480" s="254">
        <v>119</v>
      </c>
      <c r="X480" s="254">
        <v>13</v>
      </c>
      <c r="Y480" s="254">
        <v>24</v>
      </c>
      <c r="Z480" s="254">
        <v>24</v>
      </c>
      <c r="AA480" s="254">
        <v>23</v>
      </c>
      <c r="AB480" s="254">
        <v>23</v>
      </c>
      <c r="AC480" s="254">
        <v>34</v>
      </c>
      <c r="AD480" s="254">
        <v>25</v>
      </c>
    </row>
    <row r="481" spans="2:30">
      <c r="B481" s="201" t="s">
        <v>633</v>
      </c>
      <c r="C481" s="201" t="s">
        <v>516</v>
      </c>
      <c r="D481" s="10">
        <f t="shared" si="370"/>
        <v>986</v>
      </c>
      <c r="E481" s="254">
        <v>11</v>
      </c>
      <c r="F481" s="254">
        <v>362</v>
      </c>
      <c r="G481" s="254">
        <v>62</v>
      </c>
      <c r="H481" s="254">
        <v>12</v>
      </c>
      <c r="I481" s="254">
        <v>11</v>
      </c>
      <c r="J481" s="254">
        <v>10</v>
      </c>
      <c r="K481" s="254">
        <v>22</v>
      </c>
      <c r="L481" s="254">
        <v>52</v>
      </c>
      <c r="M481" s="254">
        <v>6</v>
      </c>
      <c r="N481" s="254">
        <v>17</v>
      </c>
      <c r="O481" s="254">
        <v>28</v>
      </c>
      <c r="P481" s="254">
        <v>56</v>
      </c>
      <c r="Q481" s="254">
        <v>24</v>
      </c>
      <c r="R481" s="254">
        <v>110</v>
      </c>
      <c r="S481" s="254">
        <v>22</v>
      </c>
      <c r="T481" s="254">
        <v>26</v>
      </c>
      <c r="U481" s="254">
        <v>21</v>
      </c>
      <c r="V481" s="254">
        <v>24</v>
      </c>
      <c r="W481" s="254">
        <v>48</v>
      </c>
      <c r="X481" s="254">
        <v>4</v>
      </c>
      <c r="Y481" s="254">
        <v>11</v>
      </c>
      <c r="Z481" s="254">
        <v>6</v>
      </c>
      <c r="AA481" s="254">
        <v>6</v>
      </c>
      <c r="AB481" s="254">
        <v>12</v>
      </c>
      <c r="AC481" s="254">
        <v>17</v>
      </c>
      <c r="AD481" s="254">
        <v>6</v>
      </c>
    </row>
    <row r="482" spans="2:30">
      <c r="B482" s="201" t="s">
        <v>634</v>
      </c>
      <c r="C482" s="201" t="s">
        <v>516</v>
      </c>
      <c r="D482" s="10">
        <f t="shared" si="370"/>
        <v>795</v>
      </c>
      <c r="E482" s="254">
        <v>0</v>
      </c>
      <c r="F482" s="254">
        <v>299</v>
      </c>
      <c r="G482" s="254">
        <v>57</v>
      </c>
      <c r="H482" s="254">
        <v>13</v>
      </c>
      <c r="I482" s="254">
        <v>15</v>
      </c>
      <c r="J482" s="254">
        <v>0</v>
      </c>
      <c r="K482" s="254">
        <v>20</v>
      </c>
      <c r="L482" s="254">
        <v>45</v>
      </c>
      <c r="M482" s="254">
        <v>0</v>
      </c>
      <c r="N482" s="254">
        <v>25</v>
      </c>
      <c r="O482" s="254">
        <v>31</v>
      </c>
      <c r="P482" s="254">
        <v>48</v>
      </c>
      <c r="Q482" s="254">
        <v>16</v>
      </c>
      <c r="R482" s="254">
        <v>95</v>
      </c>
      <c r="S482" s="254">
        <v>15</v>
      </c>
      <c r="T482" s="254">
        <v>26</v>
      </c>
      <c r="U482" s="254">
        <v>16</v>
      </c>
      <c r="V482" s="254">
        <v>14</v>
      </c>
      <c r="W482" s="254">
        <v>44</v>
      </c>
      <c r="X482" s="254">
        <v>0</v>
      </c>
      <c r="Y482" s="254">
        <v>16</v>
      </c>
      <c r="Z482" s="254">
        <v>0</v>
      </c>
      <c r="AA482" s="254">
        <v>0</v>
      </c>
      <c r="AB482" s="254">
        <v>0</v>
      </c>
      <c r="AC482" s="254">
        <v>0</v>
      </c>
      <c r="AD482" s="254">
        <v>0</v>
      </c>
    </row>
    <row r="483" spans="2:30">
      <c r="B483" s="201" t="s">
        <v>635</v>
      </c>
      <c r="C483" s="201" t="s">
        <v>516</v>
      </c>
      <c r="D483" s="10">
        <f t="shared" si="370"/>
        <v>241</v>
      </c>
      <c r="E483" s="254">
        <v>0</v>
      </c>
      <c r="F483" s="254">
        <v>93</v>
      </c>
      <c r="G483" s="254">
        <v>17</v>
      </c>
      <c r="H483" s="254">
        <v>4</v>
      </c>
      <c r="I483" s="254">
        <v>5</v>
      </c>
      <c r="J483" s="254">
        <v>0</v>
      </c>
      <c r="K483" s="254">
        <v>6</v>
      </c>
      <c r="L483" s="254">
        <v>13</v>
      </c>
      <c r="M483" s="254">
        <v>0</v>
      </c>
      <c r="N483" s="254">
        <v>7</v>
      </c>
      <c r="O483" s="254">
        <v>9</v>
      </c>
      <c r="P483" s="254">
        <v>14</v>
      </c>
      <c r="Q483" s="254">
        <v>5</v>
      </c>
      <c r="R483" s="254">
        <v>29</v>
      </c>
      <c r="S483" s="254">
        <v>4</v>
      </c>
      <c r="T483" s="254">
        <v>8</v>
      </c>
      <c r="U483" s="254">
        <v>5</v>
      </c>
      <c r="V483" s="254">
        <v>4</v>
      </c>
      <c r="W483" s="254">
        <v>13</v>
      </c>
      <c r="X483" s="254">
        <v>0</v>
      </c>
      <c r="Y483" s="254">
        <v>5</v>
      </c>
      <c r="Z483" s="254">
        <v>0</v>
      </c>
      <c r="AA483" s="254">
        <v>0</v>
      </c>
      <c r="AB483" s="254">
        <v>0</v>
      </c>
      <c r="AC483" s="254">
        <v>0</v>
      </c>
      <c r="AD483" s="254">
        <v>0</v>
      </c>
    </row>
    <row r="484" spans="2:30">
      <c r="B484" s="201" t="s">
        <v>636</v>
      </c>
      <c r="C484" s="201" t="s">
        <v>516</v>
      </c>
      <c r="D484" s="10">
        <f t="shared" si="370"/>
        <v>0</v>
      </c>
      <c r="E484" s="254">
        <v>0</v>
      </c>
      <c r="F484" s="254">
        <v>0</v>
      </c>
      <c r="G484" s="254">
        <v>0</v>
      </c>
      <c r="H484" s="254">
        <v>0</v>
      </c>
      <c r="I484" s="254">
        <v>0</v>
      </c>
      <c r="J484" s="254">
        <v>0</v>
      </c>
      <c r="K484" s="254">
        <v>0</v>
      </c>
      <c r="L484" s="254">
        <v>0</v>
      </c>
      <c r="M484" s="254">
        <v>0</v>
      </c>
      <c r="N484" s="254">
        <v>0</v>
      </c>
      <c r="O484" s="254">
        <v>0</v>
      </c>
      <c r="P484" s="254">
        <v>0</v>
      </c>
      <c r="Q484" s="254">
        <v>0</v>
      </c>
      <c r="R484" s="254">
        <v>0</v>
      </c>
      <c r="S484" s="254">
        <v>0</v>
      </c>
      <c r="T484" s="254">
        <v>0</v>
      </c>
      <c r="U484" s="254">
        <v>0</v>
      </c>
      <c r="V484" s="254">
        <v>0</v>
      </c>
      <c r="W484" s="254">
        <v>0</v>
      </c>
      <c r="X484" s="254">
        <v>0</v>
      </c>
      <c r="Y484" s="254">
        <v>0</v>
      </c>
      <c r="Z484" s="254">
        <v>0</v>
      </c>
      <c r="AA484" s="254">
        <v>0</v>
      </c>
      <c r="AB484" s="254">
        <v>0</v>
      </c>
      <c r="AC484" s="254">
        <v>0</v>
      </c>
      <c r="AD484" s="254">
        <v>0</v>
      </c>
    </row>
    <row r="485" spans="2:30">
      <c r="B485" s="201" t="s">
        <v>637</v>
      </c>
      <c r="C485" s="201" t="s">
        <v>516</v>
      </c>
      <c r="D485" s="10">
        <f t="shared" si="370"/>
        <v>80</v>
      </c>
      <c r="E485" s="254">
        <v>0</v>
      </c>
      <c r="F485" s="254">
        <v>30</v>
      </c>
      <c r="G485" s="254">
        <v>6</v>
      </c>
      <c r="H485" s="254">
        <v>1</v>
      </c>
      <c r="I485" s="254">
        <v>2</v>
      </c>
      <c r="J485" s="254">
        <v>0</v>
      </c>
      <c r="K485" s="254">
        <v>2</v>
      </c>
      <c r="L485" s="254">
        <v>4</v>
      </c>
      <c r="M485" s="254">
        <v>0</v>
      </c>
      <c r="N485" s="254">
        <v>2</v>
      </c>
      <c r="O485" s="254">
        <v>3</v>
      </c>
      <c r="P485" s="254">
        <v>5</v>
      </c>
      <c r="Q485" s="254">
        <v>2</v>
      </c>
      <c r="R485" s="254">
        <v>10</v>
      </c>
      <c r="S485" s="254">
        <v>1</v>
      </c>
      <c r="T485" s="254">
        <v>3</v>
      </c>
      <c r="U485" s="254">
        <v>2</v>
      </c>
      <c r="V485" s="254">
        <v>1</v>
      </c>
      <c r="W485" s="254">
        <v>4</v>
      </c>
      <c r="X485" s="254">
        <v>0</v>
      </c>
      <c r="Y485" s="254">
        <v>2</v>
      </c>
      <c r="Z485" s="254">
        <v>0</v>
      </c>
      <c r="AA485" s="254">
        <v>0</v>
      </c>
      <c r="AB485" s="254">
        <v>0</v>
      </c>
      <c r="AC485" s="254">
        <v>0</v>
      </c>
      <c r="AD485" s="254">
        <v>0</v>
      </c>
    </row>
    <row r="486" spans="2:30">
      <c r="B486" s="200" t="s">
        <v>16</v>
      </c>
      <c r="C486" s="200" t="s">
        <v>516</v>
      </c>
      <c r="D486" s="246">
        <f>SUM(D479:D485)</f>
        <v>4530</v>
      </c>
      <c r="E486" s="246">
        <f>SUM(E479:E485)</f>
        <v>46</v>
      </c>
      <c r="F486" s="246">
        <f t="shared" ref="F486" si="371">SUM(F479:F485)</f>
        <v>1676</v>
      </c>
      <c r="G486" s="246">
        <f t="shared" ref="G486" si="372">SUM(G479:G485)</f>
        <v>292</v>
      </c>
      <c r="H486" s="246">
        <f t="shared" ref="H486" si="373">SUM(H479:H485)</f>
        <v>54</v>
      </c>
      <c r="I486" s="246">
        <f t="shared" ref="I486" si="374">SUM(I479:I485)</f>
        <v>56</v>
      </c>
      <c r="J486" s="246">
        <f t="shared" ref="J486" si="375">SUM(J479:J485)</f>
        <v>24</v>
      </c>
      <c r="K486" s="246">
        <f t="shared" ref="K486" si="376">SUM(K479:K485)</f>
        <v>103</v>
      </c>
      <c r="L486" s="246">
        <f t="shared" ref="L486" si="377">SUM(L479:L485)</f>
        <v>239</v>
      </c>
      <c r="M486" s="246">
        <f t="shared" ref="M486" si="378">SUM(M479:M485)</f>
        <v>29</v>
      </c>
      <c r="N486" s="246">
        <f t="shared" ref="N486" si="379">SUM(N479:N485)</f>
        <v>98</v>
      </c>
      <c r="O486" s="246">
        <f t="shared" ref="O486" si="380">SUM(O479:O485)</f>
        <v>141</v>
      </c>
      <c r="P486" s="246">
        <f t="shared" ref="P486" si="381">SUM(P479:P485)</f>
        <v>257</v>
      </c>
      <c r="Q486" s="246">
        <f t="shared" ref="Q486" si="382">SUM(Q479:Q485)</f>
        <v>107</v>
      </c>
      <c r="R486" s="246">
        <f t="shared" ref="R486" si="383">SUM(R479:R485)</f>
        <v>514</v>
      </c>
      <c r="S486" s="246">
        <f t="shared" ref="S486" si="384">SUM(S479:S485)</f>
        <v>98</v>
      </c>
      <c r="T486" s="246">
        <f t="shared" ref="T486" si="385">SUM(T479:T485)</f>
        <v>123</v>
      </c>
      <c r="U486" s="246">
        <f t="shared" ref="U486" si="386">SUM(U479:U485)</f>
        <v>94</v>
      </c>
      <c r="V486" s="246">
        <f t="shared" ref="V486" si="387">SUM(V479:V485)</f>
        <v>100</v>
      </c>
      <c r="W486" s="246">
        <f t="shared" ref="W486" si="388">SUM(W479:W485)</f>
        <v>228</v>
      </c>
      <c r="X486" s="246">
        <f t="shared" ref="X486" si="389">SUM(X479:X485)</f>
        <v>17</v>
      </c>
      <c r="Y486" s="246">
        <f t="shared" ref="Y486" si="390">SUM(Y479:Y485)</f>
        <v>58</v>
      </c>
      <c r="Z486" s="246">
        <f t="shared" ref="Z486" si="391">SUM(Z479:Z485)</f>
        <v>30</v>
      </c>
      <c r="AA486" s="246">
        <f t="shared" ref="AA486" si="392">SUM(AA479:AA485)</f>
        <v>29</v>
      </c>
      <c r="AB486" s="246">
        <f t="shared" ref="AB486" si="393">SUM(AB479:AB485)</f>
        <v>35</v>
      </c>
      <c r="AC486" s="246">
        <f t="shared" ref="AC486" si="394">SUM(AC479:AC485)</f>
        <v>51</v>
      </c>
      <c r="AD486" s="246">
        <f t="shared" ref="AD486" si="395">SUM(AD479:AD485)</f>
        <v>31</v>
      </c>
    </row>
    <row r="487" spans="2:30">
      <c r="B487" s="201" t="s">
        <v>599</v>
      </c>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c r="AC487" s="201"/>
      <c r="AD487" s="201"/>
    </row>
    <row r="488" spans="2:30">
      <c r="B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c r="AC488" s="201"/>
      <c r="AD488" s="201"/>
    </row>
    <row r="489" spans="2:30">
      <c r="B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c r="AC489" s="201"/>
      <c r="AD489" s="201"/>
    </row>
    <row r="490" spans="2:30">
      <c r="B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c r="AC490" s="201"/>
      <c r="AD490" s="201"/>
    </row>
    <row r="491" spans="2:30" ht="15.6">
      <c r="B491" s="143" t="s">
        <v>621</v>
      </c>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c r="AC491" s="201"/>
      <c r="AD491" s="201"/>
    </row>
    <row r="492" spans="2:30">
      <c r="B492" s="114" t="s">
        <v>623</v>
      </c>
      <c r="C492" s="114" t="s">
        <v>63</v>
      </c>
      <c r="D492" s="114" t="str">
        <f>D478</f>
        <v>IE</v>
      </c>
      <c r="E492" s="114" t="str">
        <f t="shared" ref="E492:AD492" si="396">E478</f>
        <v>IE-CW</v>
      </c>
      <c r="F492" s="114" t="str">
        <f t="shared" si="396"/>
        <v>IE-D</v>
      </c>
      <c r="G492" s="114" t="str">
        <f t="shared" si="396"/>
        <v>IE-KE</v>
      </c>
      <c r="H492" s="114" t="str">
        <f t="shared" si="396"/>
        <v>IE-KK</v>
      </c>
      <c r="I492" s="114" t="str">
        <f t="shared" si="396"/>
        <v>IE-LS</v>
      </c>
      <c r="J492" s="114" t="str">
        <f t="shared" si="396"/>
        <v>IE-LD</v>
      </c>
      <c r="K492" s="114" t="str">
        <f t="shared" si="396"/>
        <v>IE-LH</v>
      </c>
      <c r="L492" s="114" t="str">
        <f t="shared" si="396"/>
        <v>IE-MH</v>
      </c>
      <c r="M492" s="114" t="str">
        <f t="shared" si="396"/>
        <v>IE-OY</v>
      </c>
      <c r="N492" s="114" t="str">
        <f t="shared" si="396"/>
        <v>IE-WH</v>
      </c>
      <c r="O492" s="114" t="str">
        <f t="shared" si="396"/>
        <v>IE-WX</v>
      </c>
      <c r="P492" s="114" t="str">
        <f t="shared" si="396"/>
        <v>IE-WW</v>
      </c>
      <c r="Q492" s="114" t="str">
        <f t="shared" si="396"/>
        <v>IE-CE</v>
      </c>
      <c r="R492" s="114" t="str">
        <f t="shared" si="396"/>
        <v>IE-CO</v>
      </c>
      <c r="S492" s="114" t="str">
        <f t="shared" si="396"/>
        <v>IE-KY</v>
      </c>
      <c r="T492" s="114" t="str">
        <f t="shared" si="396"/>
        <v>IE-LK</v>
      </c>
      <c r="U492" s="114" t="str">
        <f t="shared" si="396"/>
        <v>IE-TA</v>
      </c>
      <c r="V492" s="114" t="str">
        <f t="shared" si="396"/>
        <v>IE-WD</v>
      </c>
      <c r="W492" s="114" t="str">
        <f t="shared" si="396"/>
        <v>IE-G</v>
      </c>
      <c r="X492" s="114" t="str">
        <f t="shared" si="396"/>
        <v>IE-LM</v>
      </c>
      <c r="Y492" s="114" t="str">
        <f t="shared" si="396"/>
        <v>IE-MO</v>
      </c>
      <c r="Z492" s="114" t="str">
        <f t="shared" si="396"/>
        <v>IE-RN</v>
      </c>
      <c r="AA492" s="114" t="str">
        <f t="shared" si="396"/>
        <v>IE-SO</v>
      </c>
      <c r="AB492" s="114" t="str">
        <f t="shared" si="396"/>
        <v>IE-CN</v>
      </c>
      <c r="AC492" s="114" t="str">
        <f t="shared" si="396"/>
        <v>IE-DL</v>
      </c>
      <c r="AD492" s="114" t="str">
        <f t="shared" si="396"/>
        <v>IE-MN</v>
      </c>
    </row>
    <row r="493" spans="2:30">
      <c r="B493" s="201" t="s">
        <v>630</v>
      </c>
      <c r="C493" s="249" t="s">
        <v>592</v>
      </c>
      <c r="D493" s="35">
        <f>D479/D$486</f>
        <v>0</v>
      </c>
      <c r="E493" s="35">
        <f t="shared" ref="E493:AD499" si="397">E479/E$486</f>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c r="AD493" s="35">
        <f t="shared" si="397"/>
        <v>0</v>
      </c>
    </row>
    <row r="494" spans="2:30">
      <c r="B494" s="201" t="s">
        <v>624</v>
      </c>
      <c r="C494" s="2" t="s">
        <v>592</v>
      </c>
      <c r="D494" s="35">
        <f t="shared" ref="D494:S499" si="398">D480/D$486</f>
        <v>0.53598233995584987</v>
      </c>
      <c r="E494" s="35">
        <f t="shared" si="398"/>
        <v>0.76086956521739135</v>
      </c>
      <c r="F494" s="35">
        <f t="shared" si="398"/>
        <v>0.53221957040572787</v>
      </c>
      <c r="G494" s="35">
        <f t="shared" si="398"/>
        <v>0.51369863013698636</v>
      </c>
      <c r="H494" s="35">
        <f t="shared" si="398"/>
        <v>0.44444444444444442</v>
      </c>
      <c r="I494" s="35">
        <f t="shared" si="398"/>
        <v>0.4107142857142857</v>
      </c>
      <c r="J494" s="35">
        <f t="shared" si="398"/>
        <v>0.58333333333333337</v>
      </c>
      <c r="K494" s="35">
        <f t="shared" si="398"/>
        <v>0.5145631067961165</v>
      </c>
      <c r="L494" s="35">
        <f t="shared" si="398"/>
        <v>0.52301255230125521</v>
      </c>
      <c r="M494" s="35">
        <f t="shared" si="398"/>
        <v>0.7931034482758621</v>
      </c>
      <c r="N494" s="35">
        <f t="shared" si="398"/>
        <v>0.47959183673469385</v>
      </c>
      <c r="O494" s="35">
        <f t="shared" si="398"/>
        <v>0.49645390070921985</v>
      </c>
      <c r="P494" s="35">
        <f t="shared" si="398"/>
        <v>0.52140077821011677</v>
      </c>
      <c r="Q494" s="35">
        <f t="shared" si="398"/>
        <v>0.56074766355140182</v>
      </c>
      <c r="R494" s="35">
        <f t="shared" si="398"/>
        <v>0.52529182879377434</v>
      </c>
      <c r="S494" s="35">
        <f t="shared" si="398"/>
        <v>0.5714285714285714</v>
      </c>
      <c r="T494" s="35">
        <f t="shared" si="397"/>
        <v>0.48780487804878048</v>
      </c>
      <c r="U494" s="35">
        <f t="shared" si="397"/>
        <v>0.53191489361702127</v>
      </c>
      <c r="V494" s="35">
        <f t="shared" si="397"/>
        <v>0.56999999999999995</v>
      </c>
      <c r="W494" s="35">
        <f t="shared" si="397"/>
        <v>0.52192982456140347</v>
      </c>
      <c r="X494" s="35">
        <f t="shared" si="397"/>
        <v>0.76470588235294112</v>
      </c>
      <c r="Y494" s="35">
        <f t="shared" si="397"/>
        <v>0.41379310344827586</v>
      </c>
      <c r="Z494" s="35">
        <f t="shared" si="397"/>
        <v>0.8</v>
      </c>
      <c r="AA494" s="35">
        <f t="shared" si="397"/>
        <v>0.7931034482758621</v>
      </c>
      <c r="AB494" s="35">
        <f t="shared" si="397"/>
        <v>0.65714285714285714</v>
      </c>
      <c r="AC494" s="35">
        <f t="shared" si="397"/>
        <v>0.66666666666666663</v>
      </c>
      <c r="AD494" s="35">
        <f t="shared" si="397"/>
        <v>0.80645161290322576</v>
      </c>
    </row>
    <row r="495" spans="2:30">
      <c r="B495" s="201" t="s">
        <v>625</v>
      </c>
      <c r="C495" s="2" t="s">
        <v>592</v>
      </c>
      <c r="D495" s="35">
        <f t="shared" si="398"/>
        <v>0.21766004415011037</v>
      </c>
      <c r="E495" s="35">
        <f t="shared" si="397"/>
        <v>0.2391304347826087</v>
      </c>
      <c r="F495" s="35">
        <f t="shared" si="397"/>
        <v>0.21599045346062051</v>
      </c>
      <c r="G495" s="35">
        <f t="shared" si="397"/>
        <v>0.21232876712328766</v>
      </c>
      <c r="H495" s="35">
        <f t="shared" si="397"/>
        <v>0.22222222222222221</v>
      </c>
      <c r="I495" s="35">
        <f t="shared" si="397"/>
        <v>0.19642857142857142</v>
      </c>
      <c r="J495" s="35">
        <f t="shared" si="397"/>
        <v>0.41666666666666669</v>
      </c>
      <c r="K495" s="35">
        <f t="shared" si="397"/>
        <v>0.21359223300970873</v>
      </c>
      <c r="L495" s="35">
        <f t="shared" si="397"/>
        <v>0.21757322175732219</v>
      </c>
      <c r="M495" s="35">
        <f t="shared" si="397"/>
        <v>0.20689655172413793</v>
      </c>
      <c r="N495" s="35">
        <f t="shared" si="397"/>
        <v>0.17346938775510204</v>
      </c>
      <c r="O495" s="35">
        <f t="shared" si="397"/>
        <v>0.19858156028368795</v>
      </c>
      <c r="P495" s="35">
        <f t="shared" si="397"/>
        <v>0.21789883268482491</v>
      </c>
      <c r="Q495" s="35">
        <f t="shared" si="397"/>
        <v>0.22429906542056074</v>
      </c>
      <c r="R495" s="35">
        <f t="shared" si="397"/>
        <v>0.2140077821011673</v>
      </c>
      <c r="S495" s="35">
        <f t="shared" si="397"/>
        <v>0.22448979591836735</v>
      </c>
      <c r="T495" s="35">
        <f t="shared" si="397"/>
        <v>0.21138211382113822</v>
      </c>
      <c r="U495" s="35">
        <f t="shared" si="397"/>
        <v>0.22340425531914893</v>
      </c>
      <c r="V495" s="35">
        <f t="shared" si="397"/>
        <v>0.24</v>
      </c>
      <c r="W495" s="35">
        <f t="shared" si="397"/>
        <v>0.21052631578947367</v>
      </c>
      <c r="X495" s="35">
        <f t="shared" si="397"/>
        <v>0.23529411764705882</v>
      </c>
      <c r="Y495" s="35">
        <f t="shared" si="397"/>
        <v>0.18965517241379309</v>
      </c>
      <c r="Z495" s="35">
        <f t="shared" si="397"/>
        <v>0.2</v>
      </c>
      <c r="AA495" s="35">
        <f t="shared" si="397"/>
        <v>0.20689655172413793</v>
      </c>
      <c r="AB495" s="35">
        <f t="shared" si="397"/>
        <v>0.34285714285714286</v>
      </c>
      <c r="AC495" s="35">
        <f t="shared" si="397"/>
        <v>0.33333333333333331</v>
      </c>
      <c r="AD495" s="35">
        <f t="shared" si="397"/>
        <v>0.19354838709677419</v>
      </c>
    </row>
    <row r="496" spans="2:30">
      <c r="B496" s="201" t="s">
        <v>626</v>
      </c>
      <c r="C496" s="2" t="s">
        <v>592</v>
      </c>
      <c r="D496" s="35">
        <f t="shared" si="398"/>
        <v>0.17549668874172186</v>
      </c>
      <c r="E496" s="35">
        <f t="shared" si="397"/>
        <v>0</v>
      </c>
      <c r="F496" s="35">
        <f t="shared" si="397"/>
        <v>0.17840095465393796</v>
      </c>
      <c r="G496" s="35">
        <f t="shared" si="397"/>
        <v>0.1952054794520548</v>
      </c>
      <c r="H496" s="35">
        <f t="shared" si="397"/>
        <v>0.24074074074074073</v>
      </c>
      <c r="I496" s="35">
        <f t="shared" si="397"/>
        <v>0.26785714285714285</v>
      </c>
      <c r="J496" s="35">
        <f t="shared" si="397"/>
        <v>0</v>
      </c>
      <c r="K496" s="35">
        <f t="shared" si="397"/>
        <v>0.1941747572815534</v>
      </c>
      <c r="L496" s="35">
        <f t="shared" si="397"/>
        <v>0.18828451882845187</v>
      </c>
      <c r="M496" s="35">
        <f t="shared" si="397"/>
        <v>0</v>
      </c>
      <c r="N496" s="35">
        <f t="shared" si="397"/>
        <v>0.25510204081632654</v>
      </c>
      <c r="O496" s="35">
        <f t="shared" si="397"/>
        <v>0.21985815602836881</v>
      </c>
      <c r="P496" s="35">
        <f t="shared" si="397"/>
        <v>0.1867704280155642</v>
      </c>
      <c r="Q496" s="35">
        <f t="shared" si="397"/>
        <v>0.14953271028037382</v>
      </c>
      <c r="R496" s="35">
        <f t="shared" si="397"/>
        <v>0.18482490272373542</v>
      </c>
      <c r="S496" s="35">
        <f t="shared" si="397"/>
        <v>0.15306122448979592</v>
      </c>
      <c r="T496" s="35">
        <f t="shared" si="397"/>
        <v>0.21138211382113822</v>
      </c>
      <c r="U496" s="35">
        <f t="shared" si="397"/>
        <v>0.1702127659574468</v>
      </c>
      <c r="V496" s="35">
        <f t="shared" si="397"/>
        <v>0.14000000000000001</v>
      </c>
      <c r="W496" s="35">
        <f t="shared" si="397"/>
        <v>0.19298245614035087</v>
      </c>
      <c r="X496" s="35">
        <f t="shared" si="397"/>
        <v>0</v>
      </c>
      <c r="Y496" s="35">
        <f t="shared" si="397"/>
        <v>0.27586206896551724</v>
      </c>
      <c r="Z496" s="35">
        <f t="shared" si="397"/>
        <v>0</v>
      </c>
      <c r="AA496" s="35">
        <f t="shared" si="397"/>
        <v>0</v>
      </c>
      <c r="AB496" s="35">
        <f t="shared" si="397"/>
        <v>0</v>
      </c>
      <c r="AC496" s="35">
        <f t="shared" si="397"/>
        <v>0</v>
      </c>
      <c r="AD496" s="35">
        <f t="shared" si="397"/>
        <v>0</v>
      </c>
    </row>
    <row r="497" spans="2:30">
      <c r="B497" s="201" t="s">
        <v>627</v>
      </c>
      <c r="C497" s="2" t="s">
        <v>592</v>
      </c>
      <c r="D497" s="35">
        <f t="shared" si="398"/>
        <v>5.3200883002207502E-2</v>
      </c>
      <c r="E497" s="35">
        <f t="shared" si="397"/>
        <v>0</v>
      </c>
      <c r="F497" s="35">
        <f t="shared" si="397"/>
        <v>5.5489260143198091E-2</v>
      </c>
      <c r="G497" s="35">
        <f t="shared" si="397"/>
        <v>5.8219178082191778E-2</v>
      </c>
      <c r="H497" s="35">
        <f t="shared" si="397"/>
        <v>7.407407407407407E-2</v>
      </c>
      <c r="I497" s="35">
        <f t="shared" si="397"/>
        <v>8.9285714285714288E-2</v>
      </c>
      <c r="J497" s="35">
        <f t="shared" si="397"/>
        <v>0</v>
      </c>
      <c r="K497" s="35">
        <f t="shared" si="397"/>
        <v>5.8252427184466021E-2</v>
      </c>
      <c r="L497" s="35">
        <f t="shared" si="397"/>
        <v>5.4393305439330547E-2</v>
      </c>
      <c r="M497" s="35">
        <f t="shared" si="397"/>
        <v>0</v>
      </c>
      <c r="N497" s="35">
        <f t="shared" si="397"/>
        <v>7.1428571428571425E-2</v>
      </c>
      <c r="O497" s="35">
        <f t="shared" si="397"/>
        <v>6.3829787234042548E-2</v>
      </c>
      <c r="P497" s="35">
        <f t="shared" si="397"/>
        <v>5.4474708171206226E-2</v>
      </c>
      <c r="Q497" s="35">
        <f t="shared" si="397"/>
        <v>4.6728971962616821E-2</v>
      </c>
      <c r="R497" s="35">
        <f t="shared" si="397"/>
        <v>5.642023346303502E-2</v>
      </c>
      <c r="S497" s="35">
        <f t="shared" si="397"/>
        <v>4.0816326530612242E-2</v>
      </c>
      <c r="T497" s="35">
        <f t="shared" si="397"/>
        <v>6.5040650406504072E-2</v>
      </c>
      <c r="U497" s="35">
        <f t="shared" si="397"/>
        <v>5.3191489361702128E-2</v>
      </c>
      <c r="V497" s="35">
        <f t="shared" si="397"/>
        <v>0.04</v>
      </c>
      <c r="W497" s="35">
        <f t="shared" si="397"/>
        <v>5.701754385964912E-2</v>
      </c>
      <c r="X497" s="35">
        <f t="shared" si="397"/>
        <v>0</v>
      </c>
      <c r="Y497" s="35">
        <f t="shared" si="397"/>
        <v>8.6206896551724144E-2</v>
      </c>
      <c r="Z497" s="35">
        <f t="shared" si="397"/>
        <v>0</v>
      </c>
      <c r="AA497" s="35">
        <f t="shared" si="397"/>
        <v>0</v>
      </c>
      <c r="AB497" s="35">
        <f t="shared" si="397"/>
        <v>0</v>
      </c>
      <c r="AC497" s="35">
        <f t="shared" si="397"/>
        <v>0</v>
      </c>
      <c r="AD497" s="35">
        <f t="shared" si="397"/>
        <v>0</v>
      </c>
    </row>
    <row r="498" spans="2:30">
      <c r="B498" s="201" t="s">
        <v>628</v>
      </c>
      <c r="C498" s="2" t="s">
        <v>592</v>
      </c>
      <c r="D498" s="35">
        <f t="shared" si="398"/>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c r="AD498" s="35">
        <f t="shared" si="397"/>
        <v>0</v>
      </c>
    </row>
    <row r="499" spans="2:30">
      <c r="B499" s="201" t="s">
        <v>631</v>
      </c>
      <c r="C499" s="2" t="s">
        <v>592</v>
      </c>
      <c r="D499" s="35">
        <f t="shared" si="398"/>
        <v>1.7660044150110375E-2</v>
      </c>
      <c r="E499" s="35">
        <f t="shared" si="397"/>
        <v>0</v>
      </c>
      <c r="F499" s="35">
        <f t="shared" si="397"/>
        <v>1.7899761336515514E-2</v>
      </c>
      <c r="G499" s="35">
        <f t="shared" si="397"/>
        <v>2.0547945205479451E-2</v>
      </c>
      <c r="H499" s="35">
        <f t="shared" si="397"/>
        <v>1.8518518518518517E-2</v>
      </c>
      <c r="I499" s="35">
        <f t="shared" si="397"/>
        <v>3.5714285714285712E-2</v>
      </c>
      <c r="J499" s="35">
        <f t="shared" si="397"/>
        <v>0</v>
      </c>
      <c r="K499" s="35">
        <f t="shared" si="397"/>
        <v>1.9417475728155338E-2</v>
      </c>
      <c r="L499" s="35">
        <f t="shared" si="397"/>
        <v>1.6736401673640166E-2</v>
      </c>
      <c r="M499" s="35">
        <f t="shared" si="397"/>
        <v>0</v>
      </c>
      <c r="N499" s="35">
        <f t="shared" si="397"/>
        <v>2.0408163265306121E-2</v>
      </c>
      <c r="O499" s="35">
        <f t="shared" si="397"/>
        <v>2.1276595744680851E-2</v>
      </c>
      <c r="P499" s="35">
        <f t="shared" si="397"/>
        <v>1.9455252918287938E-2</v>
      </c>
      <c r="Q499" s="35">
        <f t="shared" si="397"/>
        <v>1.8691588785046728E-2</v>
      </c>
      <c r="R499" s="35">
        <f t="shared" si="397"/>
        <v>1.9455252918287938E-2</v>
      </c>
      <c r="S499" s="35">
        <f t="shared" si="397"/>
        <v>1.020408163265306E-2</v>
      </c>
      <c r="T499" s="35">
        <f t="shared" si="397"/>
        <v>2.4390243902439025E-2</v>
      </c>
      <c r="U499" s="35">
        <f t="shared" si="397"/>
        <v>2.1276595744680851E-2</v>
      </c>
      <c r="V499" s="35">
        <f t="shared" si="397"/>
        <v>0.01</v>
      </c>
      <c r="W499" s="35">
        <f t="shared" si="397"/>
        <v>1.7543859649122806E-2</v>
      </c>
      <c r="X499" s="35">
        <f t="shared" si="397"/>
        <v>0</v>
      </c>
      <c r="Y499" s="35">
        <f t="shared" si="397"/>
        <v>3.4482758620689655E-2</v>
      </c>
      <c r="Z499" s="35">
        <f t="shared" si="397"/>
        <v>0</v>
      </c>
      <c r="AA499" s="35">
        <f t="shared" si="397"/>
        <v>0</v>
      </c>
      <c r="AB499" s="35">
        <f t="shared" si="397"/>
        <v>0</v>
      </c>
      <c r="AC499" s="35">
        <f t="shared" si="397"/>
        <v>0</v>
      </c>
      <c r="AD499" s="35">
        <f t="shared" si="397"/>
        <v>0</v>
      </c>
    </row>
    <row r="500" spans="2:30">
      <c r="B500" s="200" t="s">
        <v>16</v>
      </c>
      <c r="C500" s="200" t="s">
        <v>592</v>
      </c>
      <c r="D500" s="145">
        <f t="shared" ref="D500:AD500" si="399">SUM(D493:D499)</f>
        <v>1</v>
      </c>
      <c r="E500" s="145">
        <f t="shared" si="399"/>
        <v>1</v>
      </c>
      <c r="F500" s="145">
        <f t="shared" si="399"/>
        <v>0.99999999999999989</v>
      </c>
      <c r="G500" s="145">
        <f t="shared" si="399"/>
        <v>1</v>
      </c>
      <c r="H500" s="145">
        <f t="shared" si="399"/>
        <v>0.99999999999999989</v>
      </c>
      <c r="I500" s="145">
        <f t="shared" si="399"/>
        <v>1</v>
      </c>
      <c r="J500" s="145">
        <f t="shared" si="399"/>
        <v>1</v>
      </c>
      <c r="K500" s="145">
        <f t="shared" si="399"/>
        <v>1</v>
      </c>
      <c r="L500" s="145">
        <f t="shared" si="399"/>
        <v>1</v>
      </c>
      <c r="M500" s="145">
        <f t="shared" si="399"/>
        <v>1</v>
      </c>
      <c r="N500" s="145">
        <f t="shared" si="399"/>
        <v>1</v>
      </c>
      <c r="O500" s="145">
        <f t="shared" si="399"/>
        <v>1</v>
      </c>
      <c r="P500" s="145">
        <f t="shared" si="399"/>
        <v>1</v>
      </c>
      <c r="Q500" s="145">
        <f t="shared" si="399"/>
        <v>1</v>
      </c>
      <c r="R500" s="145">
        <f t="shared" si="399"/>
        <v>1</v>
      </c>
      <c r="S500" s="145">
        <f t="shared" si="399"/>
        <v>1</v>
      </c>
      <c r="T500" s="145">
        <f t="shared" si="399"/>
        <v>1</v>
      </c>
      <c r="U500" s="145">
        <f t="shared" si="399"/>
        <v>1</v>
      </c>
      <c r="V500" s="145">
        <f t="shared" si="399"/>
        <v>1</v>
      </c>
      <c r="W500" s="145">
        <f t="shared" si="399"/>
        <v>0.99999999999999978</v>
      </c>
      <c r="X500" s="145">
        <f t="shared" si="399"/>
        <v>1</v>
      </c>
      <c r="Y500" s="145">
        <f t="shared" si="399"/>
        <v>0.99999999999999989</v>
      </c>
      <c r="Z500" s="145">
        <f t="shared" si="399"/>
        <v>1</v>
      </c>
      <c r="AA500" s="145">
        <f t="shared" si="399"/>
        <v>1</v>
      </c>
      <c r="AB500" s="145">
        <f t="shared" si="399"/>
        <v>1</v>
      </c>
      <c r="AC500" s="145">
        <f t="shared" si="399"/>
        <v>1</v>
      </c>
      <c r="AD500" s="145">
        <f t="shared" si="399"/>
        <v>1</v>
      </c>
    </row>
    <row r="501" spans="2:30">
      <c r="B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c r="AC501" s="201"/>
      <c r="AD501" s="201"/>
    </row>
    <row r="502" spans="2:30">
      <c r="B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c r="AC502" s="201"/>
      <c r="AD502" s="201"/>
    </row>
    <row r="503" spans="2:30">
      <c r="B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c r="AC503" s="201"/>
      <c r="AD503" s="201"/>
    </row>
    <row r="504" spans="2:30" ht="15.6">
      <c r="B504" s="167" t="s">
        <v>622</v>
      </c>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c r="AC504" s="201"/>
      <c r="AD504" s="201"/>
    </row>
    <row r="505" spans="2:30">
      <c r="B505" s="114" t="s">
        <v>623</v>
      </c>
      <c r="C505" s="114" t="s">
        <v>63</v>
      </c>
      <c r="D505" s="114" t="str">
        <f>D492</f>
        <v>IE</v>
      </c>
      <c r="E505" s="114" t="str">
        <f t="shared" ref="E505:AD505" si="400">E492</f>
        <v>IE-CW</v>
      </c>
      <c r="F505" s="114" t="str">
        <f t="shared" si="400"/>
        <v>IE-D</v>
      </c>
      <c r="G505" s="114" t="str">
        <f t="shared" si="400"/>
        <v>IE-KE</v>
      </c>
      <c r="H505" s="114" t="str">
        <f t="shared" si="400"/>
        <v>IE-KK</v>
      </c>
      <c r="I505" s="114" t="str">
        <f t="shared" si="400"/>
        <v>IE-LS</v>
      </c>
      <c r="J505" s="114" t="str">
        <f t="shared" si="400"/>
        <v>IE-LD</v>
      </c>
      <c r="K505" s="114" t="str">
        <f t="shared" si="400"/>
        <v>IE-LH</v>
      </c>
      <c r="L505" s="114" t="str">
        <f t="shared" si="400"/>
        <v>IE-MH</v>
      </c>
      <c r="M505" s="114" t="str">
        <f t="shared" si="400"/>
        <v>IE-OY</v>
      </c>
      <c r="N505" s="114" t="str">
        <f t="shared" si="400"/>
        <v>IE-WH</v>
      </c>
      <c r="O505" s="114" t="str">
        <f t="shared" si="400"/>
        <v>IE-WX</v>
      </c>
      <c r="P505" s="114" t="str">
        <f t="shared" si="400"/>
        <v>IE-WW</v>
      </c>
      <c r="Q505" s="114" t="str">
        <f t="shared" si="400"/>
        <v>IE-CE</v>
      </c>
      <c r="R505" s="114" t="str">
        <f t="shared" si="400"/>
        <v>IE-CO</v>
      </c>
      <c r="S505" s="114" t="str">
        <f t="shared" si="400"/>
        <v>IE-KY</v>
      </c>
      <c r="T505" s="114" t="str">
        <f t="shared" si="400"/>
        <v>IE-LK</v>
      </c>
      <c r="U505" s="114" t="str">
        <f t="shared" si="400"/>
        <v>IE-TA</v>
      </c>
      <c r="V505" s="114" t="str">
        <f t="shared" si="400"/>
        <v>IE-WD</v>
      </c>
      <c r="W505" s="114" t="str">
        <f t="shared" si="400"/>
        <v>IE-G</v>
      </c>
      <c r="X505" s="114" t="str">
        <f t="shared" si="400"/>
        <v>IE-LM</v>
      </c>
      <c r="Y505" s="114" t="str">
        <f t="shared" si="400"/>
        <v>IE-MO</v>
      </c>
      <c r="Z505" s="114" t="str">
        <f t="shared" si="400"/>
        <v>IE-RN</v>
      </c>
      <c r="AA505" s="114" t="str">
        <f t="shared" si="400"/>
        <v>IE-SO</v>
      </c>
      <c r="AB505" s="114" t="str">
        <f t="shared" si="400"/>
        <v>IE-CN</v>
      </c>
      <c r="AC505" s="114" t="str">
        <f t="shared" si="400"/>
        <v>IE-DL</v>
      </c>
      <c r="AD505" s="114" t="str">
        <f t="shared" si="400"/>
        <v>IE-MN</v>
      </c>
    </row>
    <row r="506" spans="2:30">
      <c r="B506" s="249" t="s">
        <v>630</v>
      </c>
      <c r="C506" s="201" t="s">
        <v>593</v>
      </c>
      <c r="D506" s="251">
        <v>0.273642</v>
      </c>
      <c r="E506" s="251">
        <v>0.273642</v>
      </c>
      <c r="F506" s="251">
        <v>0.273642</v>
      </c>
      <c r="G506" s="251">
        <v>0.273642</v>
      </c>
      <c r="H506" s="251">
        <v>0.273642</v>
      </c>
      <c r="I506" s="251">
        <v>0.273642</v>
      </c>
      <c r="J506" s="251">
        <v>0.273642</v>
      </c>
      <c r="K506" s="251">
        <v>0.273642</v>
      </c>
      <c r="L506" s="251">
        <v>0.273642</v>
      </c>
      <c r="M506" s="251">
        <v>0.273642</v>
      </c>
      <c r="N506" s="251">
        <v>0.273642</v>
      </c>
      <c r="O506" s="251">
        <v>0.273642</v>
      </c>
      <c r="P506" s="251">
        <v>0.273642</v>
      </c>
      <c r="Q506" s="251">
        <v>0.273642</v>
      </c>
      <c r="R506" s="251">
        <v>0.273642</v>
      </c>
      <c r="S506" s="251">
        <v>0.273642</v>
      </c>
      <c r="T506" s="251">
        <v>0.273642</v>
      </c>
      <c r="U506" s="251">
        <v>0.273642</v>
      </c>
      <c r="V506" s="251">
        <v>0.273642</v>
      </c>
      <c r="W506" s="251">
        <v>0.273642</v>
      </c>
      <c r="X506" s="251">
        <v>0.273642</v>
      </c>
      <c r="Y506" s="251">
        <v>0.273642</v>
      </c>
      <c r="Z506" s="251">
        <v>0.273642</v>
      </c>
      <c r="AA506" s="251">
        <v>0.273642</v>
      </c>
      <c r="AB506" s="251">
        <v>0.273642</v>
      </c>
      <c r="AC506" s="251">
        <v>0.273642</v>
      </c>
      <c r="AD506" s="251">
        <v>0.273642</v>
      </c>
    </row>
    <row r="507" spans="2:30">
      <c r="B507" s="2" t="s">
        <v>624</v>
      </c>
      <c r="C507" s="201" t="s">
        <v>593</v>
      </c>
      <c r="D507" s="251">
        <v>0.54281375999999992</v>
      </c>
      <c r="E507" s="251">
        <v>0.54281375999999992</v>
      </c>
      <c r="F507" s="251">
        <v>0.54281375999999992</v>
      </c>
      <c r="G507" s="251">
        <v>0.54281375999999992</v>
      </c>
      <c r="H507" s="251">
        <v>0.54281375999999992</v>
      </c>
      <c r="I507" s="251">
        <v>0.54281375999999992</v>
      </c>
      <c r="J507" s="251">
        <v>0.54281375999999992</v>
      </c>
      <c r="K507" s="251">
        <v>0.54281375999999992</v>
      </c>
      <c r="L507" s="251">
        <v>0.54281375999999992</v>
      </c>
      <c r="M507" s="251">
        <v>0.54281375999999992</v>
      </c>
      <c r="N507" s="251">
        <v>0.54281375999999992</v>
      </c>
      <c r="O507" s="251">
        <v>0.54281375999999992</v>
      </c>
      <c r="P507" s="251">
        <v>0.54281375999999992</v>
      </c>
      <c r="Q507" s="251">
        <v>0.54281375999999992</v>
      </c>
      <c r="R507" s="251">
        <v>0.54281375999999992</v>
      </c>
      <c r="S507" s="251">
        <v>0.54281375999999992</v>
      </c>
      <c r="T507" s="251">
        <v>0.54281375999999992</v>
      </c>
      <c r="U507" s="251">
        <v>0.54281375999999992</v>
      </c>
      <c r="V507" s="251">
        <v>0.54281375999999992</v>
      </c>
      <c r="W507" s="251">
        <v>0.54281375999999992</v>
      </c>
      <c r="X507" s="251">
        <v>0.54281375999999992</v>
      </c>
      <c r="Y507" s="251">
        <v>0.54281375999999992</v>
      </c>
      <c r="Z507" s="251">
        <v>0.54281375999999992</v>
      </c>
      <c r="AA507" s="251">
        <v>0.54281375999999992</v>
      </c>
      <c r="AB507" s="251">
        <v>0.54281375999999992</v>
      </c>
      <c r="AC507" s="251">
        <v>0.54281375999999992</v>
      </c>
      <c r="AD507" s="251">
        <v>0.54281375999999992</v>
      </c>
    </row>
    <row r="508" spans="2:30">
      <c r="B508" s="2" t="s">
        <v>625</v>
      </c>
      <c r="C508" s="201" t="s">
        <v>593</v>
      </c>
      <c r="D508" s="251">
        <v>0.61380411428571424</v>
      </c>
      <c r="E508" s="251">
        <v>0.61380411428571424</v>
      </c>
      <c r="F508" s="251">
        <v>0.61380411428571424</v>
      </c>
      <c r="G508" s="251">
        <v>0.61380411428571424</v>
      </c>
      <c r="H508" s="251">
        <v>0.61380411428571424</v>
      </c>
      <c r="I508" s="251">
        <v>0.61380411428571424</v>
      </c>
      <c r="J508" s="251">
        <v>0.61380411428571424</v>
      </c>
      <c r="K508" s="251">
        <v>0.61380411428571424</v>
      </c>
      <c r="L508" s="251">
        <v>0.61380411428571424</v>
      </c>
      <c r="M508" s="251">
        <v>0.61380411428571424</v>
      </c>
      <c r="N508" s="251">
        <v>0.61380411428571424</v>
      </c>
      <c r="O508" s="251">
        <v>0.61380411428571424</v>
      </c>
      <c r="P508" s="251">
        <v>0.61380411428571424</v>
      </c>
      <c r="Q508" s="251">
        <v>0.61380411428571424</v>
      </c>
      <c r="R508" s="251">
        <v>0.61380411428571424</v>
      </c>
      <c r="S508" s="251">
        <v>0.61380411428571424</v>
      </c>
      <c r="T508" s="251">
        <v>0.61380411428571424</v>
      </c>
      <c r="U508" s="251">
        <v>0.61380411428571424</v>
      </c>
      <c r="V508" s="251">
        <v>0.61380411428571424</v>
      </c>
      <c r="W508" s="251">
        <v>0.61380411428571424</v>
      </c>
      <c r="X508" s="251">
        <v>0.61380411428571424</v>
      </c>
      <c r="Y508" s="251">
        <v>0.61380411428571424</v>
      </c>
      <c r="Z508" s="251">
        <v>0.61380411428571424</v>
      </c>
      <c r="AA508" s="251">
        <v>0.61380411428571424</v>
      </c>
      <c r="AB508" s="251">
        <v>0.61380411428571424</v>
      </c>
      <c r="AC508" s="251">
        <v>0.61380411428571424</v>
      </c>
      <c r="AD508" s="251">
        <v>0.61380411428571424</v>
      </c>
    </row>
    <row r="509" spans="2:30">
      <c r="B509" s="2" t="s">
        <v>626</v>
      </c>
      <c r="C509" s="201" t="s">
        <v>593</v>
      </c>
      <c r="D509" s="251">
        <v>0.65324320000000002</v>
      </c>
      <c r="E509" s="251">
        <v>0.65324320000000002</v>
      </c>
      <c r="F509" s="251">
        <v>0.65324320000000002</v>
      </c>
      <c r="G509" s="251">
        <v>0.65324320000000002</v>
      </c>
      <c r="H509" s="251">
        <v>0.65324320000000002</v>
      </c>
      <c r="I509" s="251">
        <v>0.65324320000000002</v>
      </c>
      <c r="J509" s="251">
        <v>0.65324320000000002</v>
      </c>
      <c r="K509" s="251">
        <v>0.65324320000000002</v>
      </c>
      <c r="L509" s="251">
        <v>0.65324320000000002</v>
      </c>
      <c r="M509" s="251">
        <v>0.65324320000000002</v>
      </c>
      <c r="N509" s="251">
        <v>0.65324320000000002</v>
      </c>
      <c r="O509" s="251">
        <v>0.65324320000000002</v>
      </c>
      <c r="P509" s="251">
        <v>0.65324320000000002</v>
      </c>
      <c r="Q509" s="251">
        <v>0.65324320000000002</v>
      </c>
      <c r="R509" s="251">
        <v>0.65324320000000002</v>
      </c>
      <c r="S509" s="251">
        <v>0.65324320000000002</v>
      </c>
      <c r="T509" s="251">
        <v>0.65324320000000002</v>
      </c>
      <c r="U509" s="251">
        <v>0.65324320000000002</v>
      </c>
      <c r="V509" s="251">
        <v>0.65324320000000002</v>
      </c>
      <c r="W509" s="251">
        <v>0.65324320000000002</v>
      </c>
      <c r="X509" s="251">
        <v>0.65324320000000002</v>
      </c>
      <c r="Y509" s="251">
        <v>0.65324320000000002</v>
      </c>
      <c r="Z509" s="251">
        <v>0.65324320000000002</v>
      </c>
      <c r="AA509" s="251">
        <v>0.65324320000000002</v>
      </c>
      <c r="AB509" s="251">
        <v>0.65324320000000002</v>
      </c>
      <c r="AC509" s="251">
        <v>0.65324320000000002</v>
      </c>
      <c r="AD509" s="251">
        <v>0.65324320000000002</v>
      </c>
    </row>
    <row r="510" spans="2:30">
      <c r="B510" s="2" t="s">
        <v>627</v>
      </c>
      <c r="C510" s="201" t="s">
        <v>593</v>
      </c>
      <c r="D510" s="251">
        <v>0.67834080000000008</v>
      </c>
      <c r="E510" s="251">
        <v>0.67834080000000008</v>
      </c>
      <c r="F510" s="251">
        <v>0.67834080000000008</v>
      </c>
      <c r="G510" s="251">
        <v>0.67834080000000008</v>
      </c>
      <c r="H510" s="251">
        <v>0.67834080000000008</v>
      </c>
      <c r="I510" s="251">
        <v>0.67834080000000008</v>
      </c>
      <c r="J510" s="251">
        <v>0.67834080000000008</v>
      </c>
      <c r="K510" s="251">
        <v>0.67834080000000008</v>
      </c>
      <c r="L510" s="251">
        <v>0.67834080000000008</v>
      </c>
      <c r="M510" s="251">
        <v>0.67834080000000008</v>
      </c>
      <c r="N510" s="251">
        <v>0.67834080000000008</v>
      </c>
      <c r="O510" s="251">
        <v>0.67834080000000008</v>
      </c>
      <c r="P510" s="251">
        <v>0.67834080000000008</v>
      </c>
      <c r="Q510" s="251">
        <v>0.67834080000000008</v>
      </c>
      <c r="R510" s="251">
        <v>0.67834080000000008</v>
      </c>
      <c r="S510" s="251">
        <v>0.67834080000000008</v>
      </c>
      <c r="T510" s="251">
        <v>0.67834080000000008</v>
      </c>
      <c r="U510" s="251">
        <v>0.67834080000000008</v>
      </c>
      <c r="V510" s="251">
        <v>0.67834080000000008</v>
      </c>
      <c r="W510" s="251">
        <v>0.67834080000000008</v>
      </c>
      <c r="X510" s="251">
        <v>0.67834080000000008</v>
      </c>
      <c r="Y510" s="251">
        <v>0.67834080000000008</v>
      </c>
      <c r="Z510" s="251">
        <v>0.67834080000000008</v>
      </c>
      <c r="AA510" s="251">
        <v>0.67834080000000008</v>
      </c>
      <c r="AB510" s="251">
        <v>0.67834080000000008</v>
      </c>
      <c r="AC510" s="251">
        <v>0.67834080000000008</v>
      </c>
      <c r="AD510" s="251">
        <v>0.67834080000000008</v>
      </c>
    </row>
    <row r="511" spans="2:30">
      <c r="B511" s="2" t="s">
        <v>628</v>
      </c>
      <c r="C511" s="2" t="s">
        <v>593</v>
      </c>
      <c r="D511" s="251">
        <v>0.69571606153846166</v>
      </c>
      <c r="E511" s="251">
        <v>0.69571606153846166</v>
      </c>
      <c r="F511" s="251">
        <v>0.69571606153846166</v>
      </c>
      <c r="G511" s="251">
        <v>0.69571606153846166</v>
      </c>
      <c r="H511" s="251">
        <v>0.69571606153846166</v>
      </c>
      <c r="I511" s="251">
        <v>0.69571606153846166</v>
      </c>
      <c r="J511" s="251">
        <v>0.69571606153846166</v>
      </c>
      <c r="K511" s="251">
        <v>0.69571606153846166</v>
      </c>
      <c r="L511" s="251">
        <v>0.69571606153846166</v>
      </c>
      <c r="M511" s="251">
        <v>0.69571606153846166</v>
      </c>
      <c r="N511" s="251">
        <v>0.69571606153846166</v>
      </c>
      <c r="O511" s="251">
        <v>0.69571606153846166</v>
      </c>
      <c r="P511" s="251">
        <v>0.69571606153846166</v>
      </c>
      <c r="Q511" s="251">
        <v>0.69571606153846166</v>
      </c>
      <c r="R511" s="251">
        <v>0.69571606153846166</v>
      </c>
      <c r="S511" s="251">
        <v>0.69571606153846166</v>
      </c>
      <c r="T511" s="251">
        <v>0.69571606153846166</v>
      </c>
      <c r="U511" s="251">
        <v>0.69571606153846166</v>
      </c>
      <c r="V511" s="251">
        <v>0.69571606153846166</v>
      </c>
      <c r="W511" s="251">
        <v>0.69571606153846166</v>
      </c>
      <c r="X511" s="251">
        <v>0.69571606153846166</v>
      </c>
      <c r="Y511" s="251">
        <v>0.69571606153846166</v>
      </c>
      <c r="Z511" s="251">
        <v>0.69571606153846166</v>
      </c>
      <c r="AA511" s="251">
        <v>0.69571606153846166</v>
      </c>
      <c r="AB511" s="251">
        <v>0.69571606153846166</v>
      </c>
      <c r="AC511" s="251">
        <v>0.69571606153846166</v>
      </c>
      <c r="AD511" s="251">
        <v>0.69571606153846166</v>
      </c>
    </row>
    <row r="512" spans="2:30">
      <c r="B512" s="200" t="s">
        <v>631</v>
      </c>
      <c r="C512" s="200" t="s">
        <v>593</v>
      </c>
      <c r="D512" s="256">
        <v>0.71104610999999995</v>
      </c>
      <c r="E512" s="256">
        <v>0.71104610999999995</v>
      </c>
      <c r="F512" s="256">
        <v>0.71104610999999995</v>
      </c>
      <c r="G512" s="256">
        <v>0.71104610999999995</v>
      </c>
      <c r="H512" s="256">
        <v>0.71104610999999995</v>
      </c>
      <c r="I512" s="256">
        <v>0.71104610999999995</v>
      </c>
      <c r="J512" s="256">
        <v>0.71104610999999995</v>
      </c>
      <c r="K512" s="256">
        <v>0.71104610999999995</v>
      </c>
      <c r="L512" s="256">
        <v>0.71104610999999995</v>
      </c>
      <c r="M512" s="256">
        <v>0.71104610999999995</v>
      </c>
      <c r="N512" s="256">
        <v>0.71104610999999995</v>
      </c>
      <c r="O512" s="256">
        <v>0.71104610999999995</v>
      </c>
      <c r="P512" s="256">
        <v>0.71104610999999995</v>
      </c>
      <c r="Q512" s="256">
        <v>0.71104610999999995</v>
      </c>
      <c r="R512" s="256">
        <v>0.71104610999999995</v>
      </c>
      <c r="S512" s="256">
        <v>0.71104610999999995</v>
      </c>
      <c r="T512" s="256">
        <v>0.71104610999999995</v>
      </c>
      <c r="U512" s="256">
        <v>0.71104610999999995</v>
      </c>
      <c r="V512" s="256">
        <v>0.71104610999999995</v>
      </c>
      <c r="W512" s="256">
        <v>0.71104610999999995</v>
      </c>
      <c r="X512" s="256">
        <v>0.71104610999999995</v>
      </c>
      <c r="Y512" s="256">
        <v>0.71104610999999995</v>
      </c>
      <c r="Z512" s="256">
        <v>0.71104610999999995</v>
      </c>
      <c r="AA512" s="256">
        <v>0.71104610999999995</v>
      </c>
      <c r="AB512" s="256">
        <v>0.71104610999999995</v>
      </c>
      <c r="AC512" s="256">
        <v>0.71104610999999995</v>
      </c>
      <c r="AD512" s="256">
        <v>0.71104610999999995</v>
      </c>
    </row>
    <row r="513" spans="2:30">
      <c r="B513" s="252" t="s">
        <v>597</v>
      </c>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c r="AC513" s="201"/>
      <c r="AD513" s="201"/>
    </row>
    <row r="514" spans="2:30">
      <c r="B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c r="AC514" s="201"/>
      <c r="AD514" s="201"/>
    </row>
    <row r="515" spans="2:30">
      <c r="B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ht="15.6">
      <c r="B517" s="167" t="s">
        <v>622</v>
      </c>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114" t="s">
        <v>623</v>
      </c>
      <c r="C518" s="114" t="s">
        <v>63</v>
      </c>
      <c r="D518" s="114" t="str">
        <f>D505</f>
        <v>IE</v>
      </c>
      <c r="E518" s="114" t="str">
        <f t="shared" ref="E518:AD518" si="401">E505</f>
        <v>IE-CW</v>
      </c>
      <c r="F518" s="114" t="str">
        <f t="shared" si="401"/>
        <v>IE-D</v>
      </c>
      <c r="G518" s="114" t="str">
        <f t="shared" si="401"/>
        <v>IE-KE</v>
      </c>
      <c r="H518" s="114" t="str">
        <f t="shared" si="401"/>
        <v>IE-KK</v>
      </c>
      <c r="I518" s="114" t="str">
        <f t="shared" si="401"/>
        <v>IE-LS</v>
      </c>
      <c r="J518" s="114" t="str">
        <f t="shared" si="401"/>
        <v>IE-LD</v>
      </c>
      <c r="K518" s="114" t="str">
        <f t="shared" si="401"/>
        <v>IE-LH</v>
      </c>
      <c r="L518" s="114" t="str">
        <f t="shared" si="401"/>
        <v>IE-MH</v>
      </c>
      <c r="M518" s="114" t="str">
        <f t="shared" si="401"/>
        <v>IE-OY</v>
      </c>
      <c r="N518" s="114" t="str">
        <f t="shared" si="401"/>
        <v>IE-WH</v>
      </c>
      <c r="O518" s="114" t="str">
        <f t="shared" si="401"/>
        <v>IE-WX</v>
      </c>
      <c r="P518" s="114" t="str">
        <f t="shared" si="401"/>
        <v>IE-WW</v>
      </c>
      <c r="Q518" s="114" t="str">
        <f t="shared" si="401"/>
        <v>IE-CE</v>
      </c>
      <c r="R518" s="114" t="str">
        <f t="shared" si="401"/>
        <v>IE-CO</v>
      </c>
      <c r="S518" s="114" t="str">
        <f t="shared" si="401"/>
        <v>IE-KY</v>
      </c>
      <c r="T518" s="114" t="str">
        <f t="shared" si="401"/>
        <v>IE-LK</v>
      </c>
      <c r="U518" s="114" t="str">
        <f t="shared" si="401"/>
        <v>IE-TA</v>
      </c>
      <c r="V518" s="114" t="str">
        <f t="shared" si="401"/>
        <v>IE-WD</v>
      </c>
      <c r="W518" s="114" t="str">
        <f t="shared" si="401"/>
        <v>IE-G</v>
      </c>
      <c r="X518" s="114" t="str">
        <f t="shared" si="401"/>
        <v>IE-LM</v>
      </c>
      <c r="Y518" s="114" t="str">
        <f t="shared" si="401"/>
        <v>IE-MO</v>
      </c>
      <c r="Z518" s="114" t="str">
        <f t="shared" si="401"/>
        <v>IE-RN</v>
      </c>
      <c r="AA518" s="114" t="str">
        <f t="shared" si="401"/>
        <v>IE-SO</v>
      </c>
      <c r="AB518" s="114" t="str">
        <f t="shared" si="401"/>
        <v>IE-CN</v>
      </c>
      <c r="AC518" s="114" t="str">
        <f t="shared" si="401"/>
        <v>IE-DL</v>
      </c>
      <c r="AD518" s="114" t="str">
        <f t="shared" si="401"/>
        <v>IE-MN</v>
      </c>
    </row>
    <row r="519" spans="2:30">
      <c r="B519" s="201" t="s">
        <v>629</v>
      </c>
      <c r="C519" s="201" t="s">
        <v>593</v>
      </c>
      <c r="D519" s="247">
        <f>SUMPRODUCT(D493:D499,D506:D512)</f>
        <v>0.58782667363481544</v>
      </c>
      <c r="E519" s="247">
        <f>IF(E486&gt;1,SUMPRODUCT(E493:E499,E506:E512),$D$230)</f>
        <v>0.55978971428571422</v>
      </c>
      <c r="F519" s="247">
        <f t="shared" ref="F519:AD519" si="402">IF(F486&gt;1,SUMPRODUCT(F493:F499,F506:F512),$D$230)</f>
        <v>0.58837933042447998</v>
      </c>
      <c r="G519" s="247">
        <f t="shared" si="402"/>
        <v>0.59079058817025443</v>
      </c>
      <c r="H519" s="247">
        <f t="shared" si="402"/>
        <v>0.59832871335978832</v>
      </c>
      <c r="I519" s="247">
        <f t="shared" si="402"/>
        <v>0.6044465349489796</v>
      </c>
      <c r="J519" s="247">
        <f t="shared" si="402"/>
        <v>0.57239307428571429</v>
      </c>
      <c r="K519" s="247">
        <f t="shared" si="402"/>
        <v>0.59058078460471564</v>
      </c>
      <c r="L519" s="247">
        <f t="shared" si="402"/>
        <v>0.58923888193664076</v>
      </c>
      <c r="M519" s="247">
        <f t="shared" si="402"/>
        <v>0.55750141950738907</v>
      </c>
      <c r="N519" s="247">
        <f t="shared" si="402"/>
        <v>0.59641300492711358</v>
      </c>
      <c r="O519" s="247">
        <f t="shared" si="402"/>
        <v>0.59342002219858159</v>
      </c>
      <c r="P519" s="247">
        <f t="shared" si="402"/>
        <v>0.58956322797665373</v>
      </c>
      <c r="Q519" s="247">
        <f t="shared" si="402"/>
        <v>0.58472721273698258</v>
      </c>
      <c r="R519" s="247">
        <f t="shared" si="402"/>
        <v>0.58933582893274039</v>
      </c>
      <c r="S519" s="247">
        <f t="shared" si="402"/>
        <v>0.58290120800291534</v>
      </c>
      <c r="T519" s="247">
        <f t="shared" si="402"/>
        <v>0.59408065448315917</v>
      </c>
      <c r="U519" s="247">
        <f t="shared" si="402"/>
        <v>0.58825810446808502</v>
      </c>
      <c r="V519" s="247">
        <f t="shared" si="402"/>
        <v>0.58241497172857126</v>
      </c>
      <c r="W519" s="247">
        <f t="shared" si="402"/>
        <v>0.58974890598997487</v>
      </c>
      <c r="X519" s="247">
        <f t="shared" si="402"/>
        <v>0.55951737277310909</v>
      </c>
      <c r="Y519" s="247">
        <f t="shared" si="402"/>
        <v>0.60422522270935952</v>
      </c>
      <c r="Z519" s="247">
        <f t="shared" si="402"/>
        <v>0.55701183085714279</v>
      </c>
      <c r="AA519" s="247">
        <f t="shared" si="402"/>
        <v>0.55750141950738907</v>
      </c>
      <c r="AB519" s="247">
        <f t="shared" si="402"/>
        <v>0.56715331004081626</v>
      </c>
      <c r="AC519" s="247">
        <f t="shared" si="402"/>
        <v>0.56647721142857133</v>
      </c>
      <c r="AD519" s="247">
        <f t="shared" si="402"/>
        <v>0.55655382857142843</v>
      </c>
    </row>
    <row r="520" spans="2:30">
      <c r="B520" s="200"/>
      <c r="C520" s="200" t="s">
        <v>581</v>
      </c>
      <c r="D520" s="250">
        <f>1000/D519</f>
        <v>1701.1817340926677</v>
      </c>
      <c r="E520" s="250">
        <f>1000/E519</f>
        <v>1786.3850915445803</v>
      </c>
      <c r="F520" s="250">
        <f>1000/F519</f>
        <v>1699.5838369756475</v>
      </c>
      <c r="G520" s="250">
        <f>1000/G519</f>
        <v>1692.647141006619</v>
      </c>
      <c r="H520" s="250">
        <f t="shared" ref="H520" si="403">1000/H519</f>
        <v>1671.322097154107</v>
      </c>
      <c r="I520" s="250">
        <f t="shared" ref="I520" si="404">1000/I519</f>
        <v>1654.4060428510993</v>
      </c>
      <c r="J520" s="250">
        <f t="shared" ref="J520" si="405">1000/J519</f>
        <v>1747.0511872420777</v>
      </c>
      <c r="K520" s="250">
        <f t="shared" ref="K520" si="406">1000/K519</f>
        <v>1693.2484531634645</v>
      </c>
      <c r="L520" s="250">
        <f t="shared" ref="L520" si="407">1000/L519</f>
        <v>1697.1045710923186</v>
      </c>
      <c r="M520" s="250">
        <f t="shared" ref="M520" si="408">1000/M519</f>
        <v>1793.717405928051</v>
      </c>
      <c r="N520" s="250">
        <f t="shared" ref="N520" si="409">1000/N519</f>
        <v>1676.6904674089189</v>
      </c>
      <c r="O520" s="250">
        <f t="shared" ref="O520" si="410">1000/O519</f>
        <v>1685.1470503052235</v>
      </c>
      <c r="P520" s="250">
        <f t="shared" ref="P520" si="411">1000/P519</f>
        <v>1696.1709152586418</v>
      </c>
      <c r="Q520" s="250">
        <f t="shared" ref="Q520" si="412">1000/Q519</f>
        <v>1710.1991804335814</v>
      </c>
      <c r="R520" s="250">
        <f t="shared" ref="R520" si="413">1000/R519</f>
        <v>1696.8253937843101</v>
      </c>
      <c r="S520" s="250">
        <f t="shared" ref="S520" si="414">1000/S519</f>
        <v>1715.5565750603121</v>
      </c>
      <c r="T520" s="250">
        <f t="shared" ref="T520" si="415">1000/T519</f>
        <v>1683.2731253805669</v>
      </c>
      <c r="U520" s="250">
        <f t="shared" ref="U520" si="416">1000/U519</f>
        <v>1699.9340806434284</v>
      </c>
      <c r="V520" s="250">
        <f t="shared" ref="V520" si="417">1000/V519</f>
        <v>1716.9888284843751</v>
      </c>
      <c r="W520" s="250">
        <f t="shared" ref="W520" si="418">1000/W519</f>
        <v>1695.6368885862739</v>
      </c>
      <c r="X520" s="250">
        <f t="shared" ref="X520" si="419">1000/X519</f>
        <v>1787.2546030943561</v>
      </c>
      <c r="Y520" s="250">
        <f t="shared" ref="Y520" si="420">1000/Y519</f>
        <v>1655.0120094556421</v>
      </c>
      <c r="Z520" s="250">
        <f t="shared" ref="Z520" si="421">1000/Z519</f>
        <v>1795.2940038296433</v>
      </c>
      <c r="AA520" s="250">
        <f t="shared" ref="AA520" si="422">1000/AA519</f>
        <v>1793.717405928051</v>
      </c>
      <c r="AB520" s="250">
        <f t="shared" ref="AB520" si="423">1000/AB519</f>
        <v>1763.191684322592</v>
      </c>
      <c r="AC520" s="250">
        <f t="shared" ref="AC520" si="424">1000/AC519</f>
        <v>1765.2960786862875</v>
      </c>
      <c r="AD520" s="250">
        <f t="shared" ref="AD520" si="425">1000/AD519</f>
        <v>1796.7713968778482</v>
      </c>
    </row>
    <row r="524" spans="2:30">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row>
    <row r="525" spans="2:30" ht="15.6">
      <c r="B525" s="167" t="s">
        <v>638</v>
      </c>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c r="AC525" s="201"/>
      <c r="AD525" s="201"/>
    </row>
    <row r="526" spans="2:30">
      <c r="B526" s="114" t="s">
        <v>588</v>
      </c>
      <c r="C526" s="114" t="s">
        <v>63</v>
      </c>
      <c r="D526" s="114" t="str">
        <f>D518</f>
        <v>IE</v>
      </c>
      <c r="E526" s="114" t="str">
        <f t="shared" ref="E526:AD526" si="426">E518</f>
        <v>IE-CW</v>
      </c>
      <c r="F526" s="114" t="str">
        <f t="shared" si="426"/>
        <v>IE-D</v>
      </c>
      <c r="G526" s="114" t="str">
        <f t="shared" si="426"/>
        <v>IE-KE</v>
      </c>
      <c r="H526" s="114" t="str">
        <f t="shared" si="426"/>
        <v>IE-KK</v>
      </c>
      <c r="I526" s="114" t="str">
        <f t="shared" si="426"/>
        <v>IE-LS</v>
      </c>
      <c r="J526" s="114" t="str">
        <f t="shared" si="426"/>
        <v>IE-LD</v>
      </c>
      <c r="K526" s="114" t="str">
        <f t="shared" si="426"/>
        <v>IE-LH</v>
      </c>
      <c r="L526" s="114" t="str">
        <f t="shared" si="426"/>
        <v>IE-MH</v>
      </c>
      <c r="M526" s="114" t="str">
        <f t="shared" si="426"/>
        <v>IE-OY</v>
      </c>
      <c r="N526" s="114" t="str">
        <f t="shared" si="426"/>
        <v>IE-WH</v>
      </c>
      <c r="O526" s="114" t="str">
        <f t="shared" si="426"/>
        <v>IE-WX</v>
      </c>
      <c r="P526" s="114" t="str">
        <f t="shared" si="426"/>
        <v>IE-WW</v>
      </c>
      <c r="Q526" s="114" t="str">
        <f t="shared" si="426"/>
        <v>IE-CE</v>
      </c>
      <c r="R526" s="114" t="str">
        <f t="shared" si="426"/>
        <v>IE-CO</v>
      </c>
      <c r="S526" s="114" t="str">
        <f t="shared" si="426"/>
        <v>IE-KY</v>
      </c>
      <c r="T526" s="114" t="str">
        <f t="shared" si="426"/>
        <v>IE-LK</v>
      </c>
      <c r="U526" s="114" t="str">
        <f t="shared" si="426"/>
        <v>IE-TA</v>
      </c>
      <c r="V526" s="114" t="str">
        <f t="shared" si="426"/>
        <v>IE-WD</v>
      </c>
      <c r="W526" s="114" t="str">
        <f t="shared" si="426"/>
        <v>IE-G</v>
      </c>
      <c r="X526" s="114" t="str">
        <f t="shared" si="426"/>
        <v>IE-LM</v>
      </c>
      <c r="Y526" s="114" t="str">
        <f t="shared" si="426"/>
        <v>IE-MO</v>
      </c>
      <c r="Z526" s="114" t="str">
        <f t="shared" si="426"/>
        <v>IE-RN</v>
      </c>
      <c r="AA526" s="114" t="str">
        <f t="shared" si="426"/>
        <v>IE-SO</v>
      </c>
      <c r="AB526" s="114" t="str">
        <f t="shared" si="426"/>
        <v>IE-CN</v>
      </c>
      <c r="AC526" s="114" t="str">
        <f t="shared" si="426"/>
        <v>IE-DL</v>
      </c>
      <c r="AD526" s="114" t="str">
        <f t="shared" si="426"/>
        <v>IE-MN</v>
      </c>
    </row>
    <row r="527" spans="2:30">
      <c r="B527" s="201" t="s">
        <v>332</v>
      </c>
      <c r="C527" s="201" t="s">
        <v>516</v>
      </c>
      <c r="D527" s="36">
        <f>SUM(E527:AD527)</f>
        <v>5</v>
      </c>
      <c r="E527" s="201">
        <v>0</v>
      </c>
      <c r="F527" s="201">
        <v>4</v>
      </c>
      <c r="G527" s="201">
        <v>0</v>
      </c>
      <c r="H527" s="201">
        <v>0</v>
      </c>
      <c r="I527" s="201">
        <v>0</v>
      </c>
      <c r="J527" s="201">
        <v>0</v>
      </c>
      <c r="K527" s="201">
        <v>0</v>
      </c>
      <c r="L527" s="201">
        <v>0</v>
      </c>
      <c r="M527" s="201">
        <v>0</v>
      </c>
      <c r="N527" s="201">
        <v>0</v>
      </c>
      <c r="O527" s="201">
        <v>0</v>
      </c>
      <c r="P527" s="201">
        <v>0</v>
      </c>
      <c r="Q527" s="201">
        <v>0</v>
      </c>
      <c r="R527" s="201">
        <v>1</v>
      </c>
      <c r="S527" s="201">
        <v>0</v>
      </c>
      <c r="T527" s="201">
        <v>0</v>
      </c>
      <c r="U527" s="201">
        <v>0</v>
      </c>
      <c r="V527" s="201">
        <v>0</v>
      </c>
      <c r="W527" s="201">
        <v>0</v>
      </c>
      <c r="X527" s="201">
        <v>0</v>
      </c>
      <c r="Y527" s="201">
        <v>0</v>
      </c>
      <c r="Z527" s="201">
        <v>0</v>
      </c>
      <c r="AA527" s="201">
        <v>0</v>
      </c>
      <c r="AB527" s="201">
        <v>0</v>
      </c>
      <c r="AC527" s="201">
        <v>0</v>
      </c>
      <c r="AD527" s="201">
        <v>0</v>
      </c>
    </row>
    <row r="528" spans="2:30">
      <c r="B528" s="201" t="s">
        <v>333</v>
      </c>
      <c r="C528" s="201" t="s">
        <v>516</v>
      </c>
      <c r="D528" s="36">
        <f t="shared" ref="D528:D533" si="427">SUM(E528:AD528)</f>
        <v>49</v>
      </c>
      <c r="E528" s="201">
        <v>0</v>
      </c>
      <c r="F528" s="201">
        <v>35</v>
      </c>
      <c r="G528" s="201">
        <v>5</v>
      </c>
      <c r="H528" s="201">
        <v>0</v>
      </c>
      <c r="I528" s="201">
        <v>0</v>
      </c>
      <c r="J528" s="201">
        <v>0</v>
      </c>
      <c r="K528" s="201">
        <v>2</v>
      </c>
      <c r="L528" s="201">
        <v>0</v>
      </c>
      <c r="M528" s="201">
        <v>0</v>
      </c>
      <c r="N528" s="201">
        <v>0</v>
      </c>
      <c r="O528" s="201">
        <v>0</v>
      </c>
      <c r="P528" s="201">
        <v>0</v>
      </c>
      <c r="Q528" s="201">
        <v>0</v>
      </c>
      <c r="R528" s="201">
        <v>2</v>
      </c>
      <c r="S528" s="201">
        <v>1</v>
      </c>
      <c r="T528" s="201">
        <v>1</v>
      </c>
      <c r="U528" s="201">
        <v>0</v>
      </c>
      <c r="V528" s="201">
        <v>1</v>
      </c>
      <c r="W528" s="201">
        <v>0</v>
      </c>
      <c r="X528" s="201">
        <v>0</v>
      </c>
      <c r="Y528" s="201">
        <v>0</v>
      </c>
      <c r="Z528" s="201">
        <v>0</v>
      </c>
      <c r="AA528" s="201">
        <v>0</v>
      </c>
      <c r="AB528" s="201">
        <v>1</v>
      </c>
      <c r="AC528" s="201">
        <v>1</v>
      </c>
      <c r="AD528" s="201">
        <v>0</v>
      </c>
    </row>
    <row r="529" spans="2:30">
      <c r="B529" s="201" t="s">
        <v>334</v>
      </c>
      <c r="C529" s="201" t="s">
        <v>516</v>
      </c>
      <c r="D529" s="36">
        <f t="shared" si="427"/>
        <v>150</v>
      </c>
      <c r="E529" s="201">
        <v>0</v>
      </c>
      <c r="F529" s="201">
        <v>104</v>
      </c>
      <c r="G529" s="201">
        <v>3</v>
      </c>
      <c r="H529" s="201">
        <v>1</v>
      </c>
      <c r="I529" s="201">
        <v>2</v>
      </c>
      <c r="J529" s="201">
        <v>0</v>
      </c>
      <c r="K529" s="201">
        <v>2</v>
      </c>
      <c r="L529" s="201">
        <v>3</v>
      </c>
      <c r="M529" s="201">
        <v>1</v>
      </c>
      <c r="N529" s="201">
        <v>1</v>
      </c>
      <c r="O529" s="201">
        <v>1</v>
      </c>
      <c r="P529" s="201">
        <v>0</v>
      </c>
      <c r="Q529" s="201">
        <v>2</v>
      </c>
      <c r="R529" s="201">
        <v>12</v>
      </c>
      <c r="S529" s="201">
        <v>3</v>
      </c>
      <c r="T529" s="201">
        <v>8</v>
      </c>
      <c r="U529" s="201">
        <v>1</v>
      </c>
      <c r="V529" s="201">
        <v>1</v>
      </c>
      <c r="W529" s="201">
        <v>2</v>
      </c>
      <c r="X529" s="201">
        <v>0</v>
      </c>
      <c r="Y529" s="201">
        <v>1</v>
      </c>
      <c r="Z529" s="201">
        <v>0</v>
      </c>
      <c r="AA529" s="201">
        <v>2</v>
      </c>
      <c r="AB529" s="201">
        <v>0</v>
      </c>
      <c r="AC529" s="201">
        <v>0</v>
      </c>
      <c r="AD529" s="201">
        <v>0</v>
      </c>
    </row>
    <row r="530" spans="2:30">
      <c r="B530" s="201" t="s">
        <v>335</v>
      </c>
      <c r="C530" s="201" t="s">
        <v>516</v>
      </c>
      <c r="D530" s="36">
        <f t="shared" si="427"/>
        <v>1287</v>
      </c>
      <c r="E530" s="201">
        <v>2</v>
      </c>
      <c r="F530" s="201">
        <v>810</v>
      </c>
      <c r="G530" s="201">
        <v>32</v>
      </c>
      <c r="H530" s="201">
        <v>6</v>
      </c>
      <c r="I530" s="201">
        <v>5</v>
      </c>
      <c r="J530" s="201">
        <v>0</v>
      </c>
      <c r="K530" s="201">
        <v>21</v>
      </c>
      <c r="L530" s="201">
        <v>48</v>
      </c>
      <c r="M530" s="201">
        <v>3</v>
      </c>
      <c r="N530" s="201">
        <v>9</v>
      </c>
      <c r="O530" s="201">
        <v>9</v>
      </c>
      <c r="P530" s="201">
        <v>15</v>
      </c>
      <c r="Q530" s="201">
        <v>26</v>
      </c>
      <c r="R530" s="201">
        <v>95</v>
      </c>
      <c r="S530" s="201">
        <v>10</v>
      </c>
      <c r="T530" s="201">
        <v>84</v>
      </c>
      <c r="U530" s="201">
        <v>6</v>
      </c>
      <c r="V530" s="201">
        <v>25</v>
      </c>
      <c r="W530" s="201">
        <v>51</v>
      </c>
      <c r="X530" s="201">
        <v>0</v>
      </c>
      <c r="Y530" s="201">
        <v>12</v>
      </c>
      <c r="Z530" s="201">
        <v>1</v>
      </c>
      <c r="AA530" s="201">
        <v>6</v>
      </c>
      <c r="AB530" s="201">
        <v>3</v>
      </c>
      <c r="AC530" s="201">
        <v>7</v>
      </c>
      <c r="AD530" s="201">
        <v>1</v>
      </c>
    </row>
    <row r="531" spans="2:30">
      <c r="B531" s="201" t="s">
        <v>336</v>
      </c>
      <c r="C531" s="201" t="s">
        <v>516</v>
      </c>
      <c r="D531" s="36">
        <f t="shared" si="427"/>
        <v>577</v>
      </c>
      <c r="E531" s="201">
        <v>0</v>
      </c>
      <c r="F531" s="201">
        <v>413</v>
      </c>
      <c r="G531" s="201">
        <v>21</v>
      </c>
      <c r="H531" s="201">
        <v>1</v>
      </c>
      <c r="I531" s="201">
        <v>2</v>
      </c>
      <c r="J531" s="201">
        <v>1</v>
      </c>
      <c r="K531" s="201">
        <v>11</v>
      </c>
      <c r="L531" s="201">
        <v>16</v>
      </c>
      <c r="M531" s="201">
        <v>4</v>
      </c>
      <c r="N531" s="201">
        <v>2</v>
      </c>
      <c r="O531" s="201">
        <v>2</v>
      </c>
      <c r="P531" s="201">
        <v>5</v>
      </c>
      <c r="Q531" s="201">
        <v>10</v>
      </c>
      <c r="R531" s="201">
        <v>27</v>
      </c>
      <c r="S531" s="201">
        <v>4</v>
      </c>
      <c r="T531" s="201">
        <v>13</v>
      </c>
      <c r="U531" s="201">
        <v>1</v>
      </c>
      <c r="V531" s="201">
        <v>3</v>
      </c>
      <c r="W531" s="201">
        <v>33</v>
      </c>
      <c r="X531" s="201">
        <v>0</v>
      </c>
      <c r="Y531" s="201">
        <v>2</v>
      </c>
      <c r="Z531" s="201">
        <v>0</v>
      </c>
      <c r="AA531" s="201">
        <v>1</v>
      </c>
      <c r="AB531" s="201">
        <v>2</v>
      </c>
      <c r="AC531" s="201">
        <v>3</v>
      </c>
      <c r="AD531" s="201">
        <v>0</v>
      </c>
    </row>
    <row r="532" spans="2:30">
      <c r="B532" s="201" t="s">
        <v>337</v>
      </c>
      <c r="C532" s="201" t="s">
        <v>516</v>
      </c>
      <c r="D532" s="36">
        <f t="shared" si="427"/>
        <v>161</v>
      </c>
      <c r="E532" s="201">
        <v>3</v>
      </c>
      <c r="F532" s="201">
        <v>103</v>
      </c>
      <c r="G532" s="201">
        <v>2</v>
      </c>
      <c r="H532" s="201">
        <v>0</v>
      </c>
      <c r="I532" s="201">
        <v>0</v>
      </c>
      <c r="J532" s="201">
        <v>0</v>
      </c>
      <c r="K532" s="201">
        <v>1</v>
      </c>
      <c r="L532" s="201">
        <v>10</v>
      </c>
      <c r="M532" s="201">
        <v>0</v>
      </c>
      <c r="N532" s="201">
        <v>0</v>
      </c>
      <c r="O532" s="201">
        <v>1</v>
      </c>
      <c r="P532" s="201">
        <v>4</v>
      </c>
      <c r="Q532" s="201">
        <v>1</v>
      </c>
      <c r="R532" s="201">
        <v>6</v>
      </c>
      <c r="S532" s="201">
        <v>2</v>
      </c>
      <c r="T532" s="201">
        <v>5</v>
      </c>
      <c r="U532" s="201">
        <v>1</v>
      </c>
      <c r="V532" s="201">
        <v>7</v>
      </c>
      <c r="W532" s="201">
        <v>8</v>
      </c>
      <c r="X532" s="201">
        <v>0</v>
      </c>
      <c r="Y532" s="201">
        <v>1</v>
      </c>
      <c r="Z532" s="201">
        <v>0</v>
      </c>
      <c r="AA532" s="201">
        <v>1</v>
      </c>
      <c r="AB532" s="201">
        <v>0</v>
      </c>
      <c r="AC532" s="201">
        <v>5</v>
      </c>
      <c r="AD532" s="201">
        <v>0</v>
      </c>
    </row>
    <row r="533" spans="2:30">
      <c r="B533" s="201" t="s">
        <v>338</v>
      </c>
      <c r="C533" s="201" t="s">
        <v>516</v>
      </c>
      <c r="D533" s="36">
        <f t="shared" si="427"/>
        <v>271</v>
      </c>
      <c r="E533" s="201">
        <v>5</v>
      </c>
      <c r="F533" s="201">
        <v>110</v>
      </c>
      <c r="G533" s="201">
        <v>8</v>
      </c>
      <c r="H533" s="201">
        <v>2</v>
      </c>
      <c r="I533" s="201">
        <v>3</v>
      </c>
      <c r="J533" s="201">
        <v>3</v>
      </c>
      <c r="K533" s="201">
        <v>11</v>
      </c>
      <c r="L533" s="201">
        <v>18</v>
      </c>
      <c r="M533" s="201">
        <v>6</v>
      </c>
      <c r="N533" s="201">
        <v>2</v>
      </c>
      <c r="O533" s="201">
        <v>4</v>
      </c>
      <c r="P533" s="201">
        <v>7</v>
      </c>
      <c r="Q533" s="201">
        <v>5</v>
      </c>
      <c r="R533" s="201">
        <v>21</v>
      </c>
      <c r="S533" s="201">
        <v>8</v>
      </c>
      <c r="T533" s="201">
        <v>14</v>
      </c>
      <c r="U533" s="201">
        <v>3</v>
      </c>
      <c r="V533" s="201">
        <v>7</v>
      </c>
      <c r="W533" s="201">
        <v>21</v>
      </c>
      <c r="X533" s="201">
        <v>0</v>
      </c>
      <c r="Y533" s="201">
        <v>4</v>
      </c>
      <c r="Z533" s="201">
        <v>2</v>
      </c>
      <c r="AA533" s="201">
        <v>2</v>
      </c>
      <c r="AB533" s="201">
        <v>1</v>
      </c>
      <c r="AC533" s="201">
        <v>1</v>
      </c>
      <c r="AD533" s="201">
        <v>3</v>
      </c>
    </row>
    <row r="534" spans="2:30">
      <c r="B534" s="200" t="s">
        <v>16</v>
      </c>
      <c r="C534" s="200" t="s">
        <v>516</v>
      </c>
      <c r="D534" s="246">
        <f>SUM(E534:AD534)</f>
        <v>2500</v>
      </c>
      <c r="E534" s="246">
        <f t="shared" ref="E534:AD534" si="428">SUM(E527:E533)</f>
        <v>10</v>
      </c>
      <c r="F534" s="246">
        <f t="shared" si="428"/>
        <v>1579</v>
      </c>
      <c r="G534" s="246">
        <f t="shared" si="428"/>
        <v>71</v>
      </c>
      <c r="H534" s="246">
        <f t="shared" si="428"/>
        <v>10</v>
      </c>
      <c r="I534" s="246">
        <f t="shared" si="428"/>
        <v>12</v>
      </c>
      <c r="J534" s="246">
        <f t="shared" si="428"/>
        <v>4</v>
      </c>
      <c r="K534" s="246">
        <f t="shared" si="428"/>
        <v>48</v>
      </c>
      <c r="L534" s="246">
        <f t="shared" si="428"/>
        <v>95</v>
      </c>
      <c r="M534" s="246">
        <f t="shared" si="428"/>
        <v>14</v>
      </c>
      <c r="N534" s="246">
        <f t="shared" si="428"/>
        <v>14</v>
      </c>
      <c r="O534" s="246">
        <f t="shared" si="428"/>
        <v>17</v>
      </c>
      <c r="P534" s="246">
        <f t="shared" si="428"/>
        <v>31</v>
      </c>
      <c r="Q534" s="246">
        <f t="shared" si="428"/>
        <v>44</v>
      </c>
      <c r="R534" s="246">
        <f t="shared" si="428"/>
        <v>164</v>
      </c>
      <c r="S534" s="246">
        <f t="shared" si="428"/>
        <v>28</v>
      </c>
      <c r="T534" s="246">
        <f t="shared" si="428"/>
        <v>125</v>
      </c>
      <c r="U534" s="246">
        <f t="shared" si="428"/>
        <v>12</v>
      </c>
      <c r="V534" s="246">
        <f t="shared" si="428"/>
        <v>44</v>
      </c>
      <c r="W534" s="246">
        <f t="shared" si="428"/>
        <v>115</v>
      </c>
      <c r="X534" s="246">
        <f t="shared" si="428"/>
        <v>0</v>
      </c>
      <c r="Y534" s="246">
        <f t="shared" si="428"/>
        <v>20</v>
      </c>
      <c r="Z534" s="246">
        <f t="shared" si="428"/>
        <v>3</v>
      </c>
      <c r="AA534" s="246">
        <f t="shared" si="428"/>
        <v>12</v>
      </c>
      <c r="AB534" s="246">
        <f t="shared" si="428"/>
        <v>7</v>
      </c>
      <c r="AC534" s="246">
        <f t="shared" si="428"/>
        <v>17</v>
      </c>
      <c r="AD534" s="246">
        <f t="shared" si="428"/>
        <v>4</v>
      </c>
    </row>
    <row r="535" spans="2:30">
      <c r="B535" s="201" t="s">
        <v>599</v>
      </c>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c r="AC535" s="201"/>
      <c r="AD535" s="201"/>
    </row>
    <row r="536" spans="2:30">
      <c r="B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c r="AC536" s="201"/>
      <c r="AD536" s="201"/>
    </row>
    <row r="537" spans="2:30">
      <c r="B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c r="AC537" s="201"/>
      <c r="AD537" s="201"/>
    </row>
    <row r="538" spans="2:30">
      <c r="B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c r="AC538" s="201"/>
      <c r="AD538" s="201"/>
    </row>
    <row r="539" spans="2:30" ht="15.6">
      <c r="B539" s="167" t="s">
        <v>639</v>
      </c>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c r="AC539" s="201"/>
      <c r="AD539" s="201"/>
    </row>
    <row r="540" spans="2:30">
      <c r="B540" s="114" t="s">
        <v>588</v>
      </c>
      <c r="C540" s="114" t="s">
        <v>63</v>
      </c>
      <c r="D540" s="114" t="str">
        <f>D526</f>
        <v>IE</v>
      </c>
      <c r="E540" s="114" t="str">
        <f t="shared" ref="E540:AD540" si="429">E526</f>
        <v>IE-CW</v>
      </c>
      <c r="F540" s="114" t="str">
        <f t="shared" si="429"/>
        <v>IE-D</v>
      </c>
      <c r="G540" s="114" t="str">
        <f t="shared" si="429"/>
        <v>IE-KE</v>
      </c>
      <c r="H540" s="114" t="str">
        <f t="shared" si="429"/>
        <v>IE-KK</v>
      </c>
      <c r="I540" s="114" t="str">
        <f t="shared" si="429"/>
        <v>IE-LS</v>
      </c>
      <c r="J540" s="114" t="str">
        <f t="shared" si="429"/>
        <v>IE-LD</v>
      </c>
      <c r="K540" s="114" t="str">
        <f t="shared" si="429"/>
        <v>IE-LH</v>
      </c>
      <c r="L540" s="114" t="str">
        <f t="shared" si="429"/>
        <v>IE-MH</v>
      </c>
      <c r="M540" s="114" t="str">
        <f t="shared" si="429"/>
        <v>IE-OY</v>
      </c>
      <c r="N540" s="114" t="str">
        <f t="shared" si="429"/>
        <v>IE-WH</v>
      </c>
      <c r="O540" s="114" t="str">
        <f t="shared" si="429"/>
        <v>IE-WX</v>
      </c>
      <c r="P540" s="114" t="str">
        <f t="shared" si="429"/>
        <v>IE-WW</v>
      </c>
      <c r="Q540" s="114" t="str">
        <f t="shared" si="429"/>
        <v>IE-CE</v>
      </c>
      <c r="R540" s="114" t="str">
        <f t="shared" si="429"/>
        <v>IE-CO</v>
      </c>
      <c r="S540" s="114" t="str">
        <f t="shared" si="429"/>
        <v>IE-KY</v>
      </c>
      <c r="T540" s="114" t="str">
        <f t="shared" si="429"/>
        <v>IE-LK</v>
      </c>
      <c r="U540" s="114" t="str">
        <f t="shared" si="429"/>
        <v>IE-TA</v>
      </c>
      <c r="V540" s="114" t="str">
        <f t="shared" si="429"/>
        <v>IE-WD</v>
      </c>
      <c r="W540" s="114" t="str">
        <f t="shared" si="429"/>
        <v>IE-G</v>
      </c>
      <c r="X540" s="114" t="str">
        <f t="shared" si="429"/>
        <v>IE-LM</v>
      </c>
      <c r="Y540" s="114" t="str">
        <f t="shared" si="429"/>
        <v>IE-MO</v>
      </c>
      <c r="Z540" s="114" t="str">
        <f t="shared" si="429"/>
        <v>IE-RN</v>
      </c>
      <c r="AA540" s="114" t="str">
        <f t="shared" si="429"/>
        <v>IE-SO</v>
      </c>
      <c r="AB540" s="114" t="str">
        <f t="shared" si="429"/>
        <v>IE-CN</v>
      </c>
      <c r="AC540" s="114" t="str">
        <f t="shared" si="429"/>
        <v>IE-DL</v>
      </c>
      <c r="AD540" s="114" t="str">
        <f t="shared" si="429"/>
        <v>IE-MN</v>
      </c>
    </row>
    <row r="541" spans="2:30">
      <c r="B541" s="201" t="s">
        <v>332</v>
      </c>
      <c r="C541" s="249" t="s">
        <v>592</v>
      </c>
      <c r="D541" s="35">
        <f>D527/D$534</f>
        <v>2E-3</v>
      </c>
      <c r="E541" s="35">
        <f>E527/E$534</f>
        <v>0</v>
      </c>
      <c r="F541" s="35">
        <f t="shared" ref="F541:AD547" si="430">F527/F$534</f>
        <v>2.5332488917036099E-3</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0</v>
      </c>
      <c r="R541" s="35">
        <f t="shared" si="430"/>
        <v>6.0975609756097563E-3</v>
      </c>
      <c r="S541" s="35">
        <f t="shared" si="430"/>
        <v>0</v>
      </c>
      <c r="T541" s="35">
        <f t="shared" si="430"/>
        <v>0</v>
      </c>
      <c r="U541" s="35">
        <f t="shared" si="430"/>
        <v>0</v>
      </c>
      <c r="V541" s="35">
        <f t="shared" si="430"/>
        <v>0</v>
      </c>
      <c r="W541" s="35">
        <f t="shared" si="430"/>
        <v>0</v>
      </c>
      <c r="X541" s="257" t="e">
        <f>X527/X$534</f>
        <v>#DIV/0!</v>
      </c>
      <c r="Y541" s="35">
        <f t="shared" si="430"/>
        <v>0</v>
      </c>
      <c r="Z541" s="35">
        <f t="shared" si="430"/>
        <v>0</v>
      </c>
      <c r="AA541" s="35">
        <f t="shared" si="430"/>
        <v>0</v>
      </c>
      <c r="AB541" s="35">
        <f t="shared" si="430"/>
        <v>0</v>
      </c>
      <c r="AC541" s="35">
        <f t="shared" si="430"/>
        <v>0</v>
      </c>
      <c r="AD541" s="35">
        <f t="shared" si="430"/>
        <v>0</v>
      </c>
    </row>
    <row r="542" spans="2:30">
      <c r="B542" s="201" t="s">
        <v>333</v>
      </c>
      <c r="C542" s="2" t="s">
        <v>592</v>
      </c>
      <c r="D542" s="35">
        <f t="shared" ref="D542:D547" si="431">D528/D$534</f>
        <v>1.9599999999999999E-2</v>
      </c>
      <c r="E542" s="35">
        <f t="shared" ref="E542:T547" si="432">E528/E$534</f>
        <v>0</v>
      </c>
      <c r="F542" s="35">
        <f t="shared" si="432"/>
        <v>2.2165927802406588E-2</v>
      </c>
      <c r="G542" s="35">
        <f t="shared" si="432"/>
        <v>7.0422535211267609E-2</v>
      </c>
      <c r="H542" s="35">
        <f t="shared" si="432"/>
        <v>0</v>
      </c>
      <c r="I542" s="35">
        <f t="shared" si="432"/>
        <v>0</v>
      </c>
      <c r="J542" s="35">
        <f t="shared" si="432"/>
        <v>0</v>
      </c>
      <c r="K542" s="35">
        <f t="shared" si="432"/>
        <v>4.1666666666666664E-2</v>
      </c>
      <c r="L542" s="35">
        <f t="shared" si="432"/>
        <v>0</v>
      </c>
      <c r="M542" s="35">
        <f t="shared" si="432"/>
        <v>0</v>
      </c>
      <c r="N542" s="35">
        <f t="shared" si="432"/>
        <v>0</v>
      </c>
      <c r="O542" s="35">
        <f t="shared" si="432"/>
        <v>0</v>
      </c>
      <c r="P542" s="35">
        <f t="shared" si="432"/>
        <v>0</v>
      </c>
      <c r="Q542" s="35">
        <f t="shared" si="432"/>
        <v>0</v>
      </c>
      <c r="R542" s="35">
        <f t="shared" si="432"/>
        <v>1.2195121951219513E-2</v>
      </c>
      <c r="S542" s="35">
        <f t="shared" si="432"/>
        <v>3.5714285714285712E-2</v>
      </c>
      <c r="T542" s="35">
        <f t="shared" si="432"/>
        <v>8.0000000000000002E-3</v>
      </c>
      <c r="U542" s="35">
        <f t="shared" si="430"/>
        <v>0</v>
      </c>
      <c r="V542" s="35">
        <f t="shared" si="430"/>
        <v>2.2727272727272728E-2</v>
      </c>
      <c r="W542" s="35">
        <f t="shared" si="430"/>
        <v>0</v>
      </c>
      <c r="X542" s="35" t="e">
        <f t="shared" si="430"/>
        <v>#DIV/0!</v>
      </c>
      <c r="Y542" s="35">
        <f t="shared" si="430"/>
        <v>0</v>
      </c>
      <c r="Z542" s="35">
        <f t="shared" si="430"/>
        <v>0</v>
      </c>
      <c r="AA542" s="35">
        <f t="shared" si="430"/>
        <v>0</v>
      </c>
      <c r="AB542" s="35">
        <f t="shared" si="430"/>
        <v>0.14285714285714285</v>
      </c>
      <c r="AC542" s="35">
        <f t="shared" si="430"/>
        <v>5.8823529411764705E-2</v>
      </c>
      <c r="AD542" s="35">
        <f t="shared" si="430"/>
        <v>0</v>
      </c>
    </row>
    <row r="543" spans="2:30">
      <c r="B543" s="201" t="s">
        <v>334</v>
      </c>
      <c r="C543" s="2" t="s">
        <v>592</v>
      </c>
      <c r="D543" s="35">
        <f t="shared" si="431"/>
        <v>0.06</v>
      </c>
      <c r="E543" s="35">
        <f t="shared" si="432"/>
        <v>0</v>
      </c>
      <c r="F543" s="35">
        <f t="shared" si="430"/>
        <v>6.5864471184293852E-2</v>
      </c>
      <c r="G543" s="35">
        <f t="shared" si="430"/>
        <v>4.2253521126760563E-2</v>
      </c>
      <c r="H543" s="35">
        <f t="shared" si="430"/>
        <v>0.1</v>
      </c>
      <c r="I543" s="35">
        <f t="shared" si="430"/>
        <v>0.16666666666666666</v>
      </c>
      <c r="J543" s="35">
        <f t="shared" si="430"/>
        <v>0</v>
      </c>
      <c r="K543" s="35">
        <f t="shared" si="430"/>
        <v>4.1666666666666664E-2</v>
      </c>
      <c r="L543" s="35">
        <f t="shared" si="430"/>
        <v>3.1578947368421054E-2</v>
      </c>
      <c r="M543" s="35">
        <f t="shared" si="430"/>
        <v>7.1428571428571425E-2</v>
      </c>
      <c r="N543" s="35">
        <f t="shared" si="430"/>
        <v>7.1428571428571425E-2</v>
      </c>
      <c r="O543" s="35">
        <f t="shared" si="430"/>
        <v>5.8823529411764705E-2</v>
      </c>
      <c r="P543" s="35">
        <f t="shared" si="430"/>
        <v>0</v>
      </c>
      <c r="Q543" s="35">
        <f t="shared" si="430"/>
        <v>4.5454545454545456E-2</v>
      </c>
      <c r="R543" s="35">
        <f t="shared" si="430"/>
        <v>7.3170731707317069E-2</v>
      </c>
      <c r="S543" s="35">
        <f t="shared" si="430"/>
        <v>0.10714285714285714</v>
      </c>
      <c r="T543" s="35">
        <f t="shared" si="430"/>
        <v>6.4000000000000001E-2</v>
      </c>
      <c r="U543" s="35">
        <f t="shared" si="430"/>
        <v>8.3333333333333329E-2</v>
      </c>
      <c r="V543" s="35">
        <f t="shared" si="430"/>
        <v>2.2727272727272728E-2</v>
      </c>
      <c r="W543" s="35">
        <f t="shared" si="430"/>
        <v>1.7391304347826087E-2</v>
      </c>
      <c r="X543" s="35" t="e">
        <f t="shared" si="430"/>
        <v>#DIV/0!</v>
      </c>
      <c r="Y543" s="35">
        <f t="shared" si="430"/>
        <v>0.05</v>
      </c>
      <c r="Z543" s="35">
        <f t="shared" si="430"/>
        <v>0</v>
      </c>
      <c r="AA543" s="35">
        <f t="shared" si="430"/>
        <v>0.16666666666666666</v>
      </c>
      <c r="AB543" s="35">
        <f t="shared" si="430"/>
        <v>0</v>
      </c>
      <c r="AC543" s="35">
        <f t="shared" si="430"/>
        <v>0</v>
      </c>
      <c r="AD543" s="35">
        <f t="shared" si="430"/>
        <v>0</v>
      </c>
    </row>
    <row r="544" spans="2:30">
      <c r="B544" s="201" t="s">
        <v>335</v>
      </c>
      <c r="C544" s="2" t="s">
        <v>592</v>
      </c>
      <c r="D544" s="35">
        <f t="shared" si="431"/>
        <v>0.51480000000000004</v>
      </c>
      <c r="E544" s="35">
        <f t="shared" si="432"/>
        <v>0.2</v>
      </c>
      <c r="F544" s="35">
        <f t="shared" si="430"/>
        <v>0.51298290056998097</v>
      </c>
      <c r="G544" s="35">
        <f t="shared" si="430"/>
        <v>0.45070422535211269</v>
      </c>
      <c r="H544" s="35">
        <f t="shared" si="430"/>
        <v>0.6</v>
      </c>
      <c r="I544" s="35">
        <f t="shared" si="430"/>
        <v>0.41666666666666669</v>
      </c>
      <c r="J544" s="35">
        <f t="shared" si="430"/>
        <v>0</v>
      </c>
      <c r="K544" s="35">
        <f t="shared" si="430"/>
        <v>0.4375</v>
      </c>
      <c r="L544" s="35">
        <f t="shared" si="430"/>
        <v>0.50526315789473686</v>
      </c>
      <c r="M544" s="35">
        <f t="shared" si="430"/>
        <v>0.21428571428571427</v>
      </c>
      <c r="N544" s="35">
        <f t="shared" si="430"/>
        <v>0.6428571428571429</v>
      </c>
      <c r="O544" s="35">
        <f t="shared" si="430"/>
        <v>0.52941176470588236</v>
      </c>
      <c r="P544" s="35">
        <f t="shared" si="430"/>
        <v>0.4838709677419355</v>
      </c>
      <c r="Q544" s="35">
        <f t="shared" si="430"/>
        <v>0.59090909090909094</v>
      </c>
      <c r="R544" s="35">
        <f t="shared" si="430"/>
        <v>0.57926829268292679</v>
      </c>
      <c r="S544" s="35">
        <f t="shared" si="430"/>
        <v>0.35714285714285715</v>
      </c>
      <c r="T544" s="35">
        <f t="shared" si="430"/>
        <v>0.67200000000000004</v>
      </c>
      <c r="U544" s="35">
        <f t="shared" si="430"/>
        <v>0.5</v>
      </c>
      <c r="V544" s="35">
        <f t="shared" si="430"/>
        <v>0.56818181818181823</v>
      </c>
      <c r="W544" s="35">
        <f t="shared" si="430"/>
        <v>0.44347826086956521</v>
      </c>
      <c r="X544" s="35" t="e">
        <f t="shared" si="430"/>
        <v>#DIV/0!</v>
      </c>
      <c r="Y544" s="35">
        <f t="shared" si="430"/>
        <v>0.6</v>
      </c>
      <c r="Z544" s="35">
        <f t="shared" si="430"/>
        <v>0.33333333333333331</v>
      </c>
      <c r="AA544" s="35">
        <f t="shared" si="430"/>
        <v>0.5</v>
      </c>
      <c r="AB544" s="35">
        <f t="shared" si="430"/>
        <v>0.42857142857142855</v>
      </c>
      <c r="AC544" s="35">
        <f t="shared" si="430"/>
        <v>0.41176470588235292</v>
      </c>
      <c r="AD544" s="35">
        <f t="shared" si="430"/>
        <v>0.25</v>
      </c>
    </row>
    <row r="545" spans="2:30">
      <c r="B545" s="201" t="s">
        <v>336</v>
      </c>
      <c r="C545" s="2" t="s">
        <v>592</v>
      </c>
      <c r="D545" s="35">
        <f t="shared" si="431"/>
        <v>0.23080000000000001</v>
      </c>
      <c r="E545" s="35">
        <f t="shared" si="432"/>
        <v>0</v>
      </c>
      <c r="F545" s="35">
        <f t="shared" si="430"/>
        <v>0.26155794806839772</v>
      </c>
      <c r="G545" s="35">
        <f t="shared" si="430"/>
        <v>0.29577464788732394</v>
      </c>
      <c r="H545" s="35">
        <f t="shared" si="430"/>
        <v>0.1</v>
      </c>
      <c r="I545" s="35">
        <f t="shared" si="430"/>
        <v>0.16666666666666666</v>
      </c>
      <c r="J545" s="35">
        <f t="shared" si="430"/>
        <v>0.25</v>
      </c>
      <c r="K545" s="35">
        <f t="shared" si="430"/>
        <v>0.22916666666666666</v>
      </c>
      <c r="L545" s="35">
        <f t="shared" si="430"/>
        <v>0.16842105263157894</v>
      </c>
      <c r="M545" s="35">
        <f t="shared" si="430"/>
        <v>0.2857142857142857</v>
      </c>
      <c r="N545" s="35">
        <f t="shared" si="430"/>
        <v>0.14285714285714285</v>
      </c>
      <c r="O545" s="35">
        <f t="shared" si="430"/>
        <v>0.11764705882352941</v>
      </c>
      <c r="P545" s="35">
        <f t="shared" si="430"/>
        <v>0.16129032258064516</v>
      </c>
      <c r="Q545" s="35">
        <f t="shared" si="430"/>
        <v>0.22727272727272727</v>
      </c>
      <c r="R545" s="35">
        <f t="shared" si="430"/>
        <v>0.16463414634146342</v>
      </c>
      <c r="S545" s="35">
        <f t="shared" si="430"/>
        <v>0.14285714285714285</v>
      </c>
      <c r="T545" s="35">
        <f t="shared" si="430"/>
        <v>0.104</v>
      </c>
      <c r="U545" s="35">
        <f t="shared" si="430"/>
        <v>8.3333333333333329E-2</v>
      </c>
      <c r="V545" s="35">
        <f t="shared" si="430"/>
        <v>6.8181818181818177E-2</v>
      </c>
      <c r="W545" s="35">
        <f t="shared" si="430"/>
        <v>0.28695652173913044</v>
      </c>
      <c r="X545" s="35" t="e">
        <f t="shared" si="430"/>
        <v>#DIV/0!</v>
      </c>
      <c r="Y545" s="35">
        <f t="shared" si="430"/>
        <v>0.1</v>
      </c>
      <c r="Z545" s="35">
        <f t="shared" si="430"/>
        <v>0</v>
      </c>
      <c r="AA545" s="35">
        <f t="shared" si="430"/>
        <v>8.3333333333333329E-2</v>
      </c>
      <c r="AB545" s="35">
        <f t="shared" si="430"/>
        <v>0.2857142857142857</v>
      </c>
      <c r="AC545" s="35">
        <f t="shared" si="430"/>
        <v>0.17647058823529413</v>
      </c>
      <c r="AD545" s="35">
        <f t="shared" si="430"/>
        <v>0</v>
      </c>
    </row>
    <row r="546" spans="2:30">
      <c r="B546" s="201" t="s">
        <v>337</v>
      </c>
      <c r="C546" s="2" t="s">
        <v>592</v>
      </c>
      <c r="D546" s="35">
        <f t="shared" si="431"/>
        <v>6.4399999999999999E-2</v>
      </c>
      <c r="E546" s="35">
        <f t="shared" si="432"/>
        <v>0.3</v>
      </c>
      <c r="F546" s="35">
        <f t="shared" si="430"/>
        <v>6.5231158961367955E-2</v>
      </c>
      <c r="G546" s="35">
        <f t="shared" si="430"/>
        <v>2.8169014084507043E-2</v>
      </c>
      <c r="H546" s="35">
        <f t="shared" si="430"/>
        <v>0</v>
      </c>
      <c r="I546" s="35">
        <f t="shared" si="430"/>
        <v>0</v>
      </c>
      <c r="J546" s="35">
        <f t="shared" si="430"/>
        <v>0</v>
      </c>
      <c r="K546" s="35">
        <f t="shared" si="430"/>
        <v>2.0833333333333332E-2</v>
      </c>
      <c r="L546" s="35">
        <f t="shared" si="430"/>
        <v>0.10526315789473684</v>
      </c>
      <c r="M546" s="35">
        <f t="shared" si="430"/>
        <v>0</v>
      </c>
      <c r="N546" s="35">
        <f t="shared" si="430"/>
        <v>0</v>
      </c>
      <c r="O546" s="35">
        <f t="shared" si="430"/>
        <v>5.8823529411764705E-2</v>
      </c>
      <c r="P546" s="35">
        <f t="shared" si="430"/>
        <v>0.12903225806451613</v>
      </c>
      <c r="Q546" s="35">
        <f t="shared" si="430"/>
        <v>2.2727272727272728E-2</v>
      </c>
      <c r="R546" s="35">
        <f t="shared" si="430"/>
        <v>3.6585365853658534E-2</v>
      </c>
      <c r="S546" s="35">
        <f t="shared" si="430"/>
        <v>7.1428571428571425E-2</v>
      </c>
      <c r="T546" s="35">
        <f t="shared" si="430"/>
        <v>0.04</v>
      </c>
      <c r="U546" s="35">
        <f t="shared" si="430"/>
        <v>8.3333333333333329E-2</v>
      </c>
      <c r="V546" s="35">
        <f t="shared" si="430"/>
        <v>0.15909090909090909</v>
      </c>
      <c r="W546" s="35">
        <f t="shared" si="430"/>
        <v>6.9565217391304349E-2</v>
      </c>
      <c r="X546" s="35" t="e">
        <f t="shared" si="430"/>
        <v>#DIV/0!</v>
      </c>
      <c r="Y546" s="35">
        <f t="shared" si="430"/>
        <v>0.05</v>
      </c>
      <c r="Z546" s="35">
        <f t="shared" si="430"/>
        <v>0</v>
      </c>
      <c r="AA546" s="35">
        <f t="shared" si="430"/>
        <v>8.3333333333333329E-2</v>
      </c>
      <c r="AB546" s="35">
        <f t="shared" si="430"/>
        <v>0</v>
      </c>
      <c r="AC546" s="35">
        <f t="shared" si="430"/>
        <v>0.29411764705882354</v>
      </c>
      <c r="AD546" s="35">
        <f t="shared" si="430"/>
        <v>0</v>
      </c>
    </row>
    <row r="547" spans="2:30">
      <c r="B547" s="201" t="s">
        <v>338</v>
      </c>
      <c r="C547" s="2" t="s">
        <v>592</v>
      </c>
      <c r="D547" s="35">
        <f t="shared" si="431"/>
        <v>0.1084</v>
      </c>
      <c r="E547" s="35">
        <f t="shared" si="432"/>
        <v>0.5</v>
      </c>
      <c r="F547" s="35">
        <f t="shared" si="430"/>
        <v>6.9664344521849275E-2</v>
      </c>
      <c r="G547" s="35">
        <f t="shared" si="430"/>
        <v>0.11267605633802817</v>
      </c>
      <c r="H547" s="35">
        <f t="shared" si="430"/>
        <v>0.2</v>
      </c>
      <c r="I547" s="35">
        <f t="shared" si="430"/>
        <v>0.25</v>
      </c>
      <c r="J547" s="35">
        <f t="shared" si="430"/>
        <v>0.75</v>
      </c>
      <c r="K547" s="35">
        <f t="shared" si="430"/>
        <v>0.22916666666666666</v>
      </c>
      <c r="L547" s="35">
        <f t="shared" si="430"/>
        <v>0.18947368421052632</v>
      </c>
      <c r="M547" s="35">
        <f t="shared" si="430"/>
        <v>0.42857142857142855</v>
      </c>
      <c r="N547" s="35">
        <f t="shared" si="430"/>
        <v>0.14285714285714285</v>
      </c>
      <c r="O547" s="35">
        <f t="shared" si="430"/>
        <v>0.23529411764705882</v>
      </c>
      <c r="P547" s="35">
        <f t="shared" si="430"/>
        <v>0.22580645161290322</v>
      </c>
      <c r="Q547" s="35">
        <f t="shared" si="430"/>
        <v>0.11363636363636363</v>
      </c>
      <c r="R547" s="35">
        <f t="shared" si="430"/>
        <v>0.12804878048780488</v>
      </c>
      <c r="S547" s="35">
        <f t="shared" si="430"/>
        <v>0.2857142857142857</v>
      </c>
      <c r="T547" s="35">
        <f t="shared" si="430"/>
        <v>0.112</v>
      </c>
      <c r="U547" s="35">
        <f t="shared" si="430"/>
        <v>0.25</v>
      </c>
      <c r="V547" s="35">
        <f t="shared" si="430"/>
        <v>0.15909090909090909</v>
      </c>
      <c r="W547" s="35">
        <f t="shared" si="430"/>
        <v>0.18260869565217391</v>
      </c>
      <c r="X547" s="35" t="e">
        <f t="shared" si="430"/>
        <v>#DIV/0!</v>
      </c>
      <c r="Y547" s="35">
        <f t="shared" si="430"/>
        <v>0.2</v>
      </c>
      <c r="Z547" s="35">
        <f t="shared" si="430"/>
        <v>0.66666666666666663</v>
      </c>
      <c r="AA547" s="35">
        <f t="shared" si="430"/>
        <v>0.16666666666666666</v>
      </c>
      <c r="AB547" s="35">
        <f t="shared" si="430"/>
        <v>0.14285714285714285</v>
      </c>
      <c r="AC547" s="35">
        <f t="shared" si="430"/>
        <v>5.8823529411764705E-2</v>
      </c>
      <c r="AD547" s="35">
        <f t="shared" si="430"/>
        <v>0.75</v>
      </c>
    </row>
    <row r="548" spans="2:30">
      <c r="B548" s="200" t="s">
        <v>16</v>
      </c>
      <c r="C548" s="200" t="s">
        <v>592</v>
      </c>
      <c r="D548" s="145">
        <f t="shared" ref="D548:AD548" si="433">SUM(D541:D547)</f>
        <v>1</v>
      </c>
      <c r="E548" s="145">
        <f t="shared" si="433"/>
        <v>1</v>
      </c>
      <c r="F548" s="145">
        <f t="shared" si="433"/>
        <v>1</v>
      </c>
      <c r="G548" s="145">
        <f t="shared" si="433"/>
        <v>0.99999999999999989</v>
      </c>
      <c r="H548" s="145">
        <f t="shared" si="433"/>
        <v>1</v>
      </c>
      <c r="I548" s="145">
        <f t="shared" si="433"/>
        <v>1</v>
      </c>
      <c r="J548" s="145">
        <f t="shared" si="433"/>
        <v>1</v>
      </c>
      <c r="K548" s="145">
        <f t="shared" si="433"/>
        <v>1</v>
      </c>
      <c r="L548" s="145">
        <f t="shared" si="433"/>
        <v>1</v>
      </c>
      <c r="M548" s="145">
        <f t="shared" si="433"/>
        <v>1</v>
      </c>
      <c r="N548" s="145">
        <f t="shared" si="433"/>
        <v>1</v>
      </c>
      <c r="O548" s="145">
        <f t="shared" si="433"/>
        <v>1</v>
      </c>
      <c r="P548" s="145">
        <f t="shared" si="433"/>
        <v>1</v>
      </c>
      <c r="Q548" s="145">
        <f t="shared" si="433"/>
        <v>1</v>
      </c>
      <c r="R548" s="145">
        <f t="shared" si="433"/>
        <v>1</v>
      </c>
      <c r="S548" s="145">
        <f t="shared" si="433"/>
        <v>0.99999999999999989</v>
      </c>
      <c r="T548" s="145">
        <f t="shared" si="433"/>
        <v>1</v>
      </c>
      <c r="U548" s="145">
        <f t="shared" si="433"/>
        <v>1</v>
      </c>
      <c r="V548" s="145">
        <f t="shared" si="433"/>
        <v>1</v>
      </c>
      <c r="W548" s="145">
        <f t="shared" si="433"/>
        <v>1</v>
      </c>
      <c r="X548" s="145" t="e">
        <f t="shared" si="433"/>
        <v>#DIV/0!</v>
      </c>
      <c r="Y548" s="145">
        <f t="shared" si="433"/>
        <v>1</v>
      </c>
      <c r="Z548" s="145">
        <f t="shared" si="433"/>
        <v>1</v>
      </c>
      <c r="AA548" s="145">
        <f t="shared" si="433"/>
        <v>1</v>
      </c>
      <c r="AB548" s="145">
        <f t="shared" si="433"/>
        <v>1</v>
      </c>
      <c r="AC548" s="145">
        <f t="shared" si="433"/>
        <v>1</v>
      </c>
      <c r="AD548" s="145">
        <f t="shared" si="433"/>
        <v>1</v>
      </c>
    </row>
    <row r="549" spans="2:30">
      <c r="B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c r="AC549" s="201"/>
      <c r="AD549" s="201"/>
    </row>
    <row r="550" spans="2:30">
      <c r="B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c r="AC550" s="201"/>
      <c r="AD550" s="201"/>
    </row>
    <row r="551" spans="2:30">
      <c r="B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c r="AC551" s="201"/>
      <c r="AD551" s="201"/>
    </row>
    <row r="552" spans="2:30" ht="15.6">
      <c r="B552" s="167" t="s">
        <v>640</v>
      </c>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c r="AC552" s="201"/>
      <c r="AD552" s="201"/>
    </row>
    <row r="553" spans="2:30">
      <c r="B553" s="114" t="s">
        <v>588</v>
      </c>
      <c r="C553" s="114" t="s">
        <v>63</v>
      </c>
      <c r="D553" s="114" t="str">
        <f>D540</f>
        <v>IE</v>
      </c>
      <c r="E553" s="114" t="str">
        <f t="shared" ref="E553:AD553" si="434">E540</f>
        <v>IE-CW</v>
      </c>
      <c r="F553" s="114" t="str">
        <f t="shared" si="434"/>
        <v>IE-D</v>
      </c>
      <c r="G553" s="114" t="str">
        <f t="shared" si="434"/>
        <v>IE-KE</v>
      </c>
      <c r="H553" s="114" t="str">
        <f t="shared" si="434"/>
        <v>IE-KK</v>
      </c>
      <c r="I553" s="114" t="str">
        <f t="shared" si="434"/>
        <v>IE-LS</v>
      </c>
      <c r="J553" s="114" t="str">
        <f t="shared" si="434"/>
        <v>IE-LD</v>
      </c>
      <c r="K553" s="114" t="str">
        <f t="shared" si="434"/>
        <v>IE-LH</v>
      </c>
      <c r="L553" s="114" t="str">
        <f t="shared" si="434"/>
        <v>IE-MH</v>
      </c>
      <c r="M553" s="114" t="str">
        <f t="shared" si="434"/>
        <v>IE-OY</v>
      </c>
      <c r="N553" s="114" t="str">
        <f t="shared" si="434"/>
        <v>IE-WH</v>
      </c>
      <c r="O553" s="114" t="str">
        <f t="shared" si="434"/>
        <v>IE-WX</v>
      </c>
      <c r="P553" s="114" t="str">
        <f t="shared" si="434"/>
        <v>IE-WW</v>
      </c>
      <c r="Q553" s="114" t="str">
        <f t="shared" si="434"/>
        <v>IE-CE</v>
      </c>
      <c r="R553" s="114" t="str">
        <f t="shared" si="434"/>
        <v>IE-CO</v>
      </c>
      <c r="S553" s="114" t="str">
        <f t="shared" si="434"/>
        <v>IE-KY</v>
      </c>
      <c r="T553" s="114" t="str">
        <f t="shared" si="434"/>
        <v>IE-LK</v>
      </c>
      <c r="U553" s="114" t="str">
        <f t="shared" si="434"/>
        <v>IE-TA</v>
      </c>
      <c r="V553" s="114" t="str">
        <f t="shared" si="434"/>
        <v>IE-WD</v>
      </c>
      <c r="W553" s="114" t="str">
        <f t="shared" si="434"/>
        <v>IE-G</v>
      </c>
      <c r="X553" s="114" t="str">
        <f t="shared" si="434"/>
        <v>IE-LM</v>
      </c>
      <c r="Y553" s="114" t="str">
        <f t="shared" si="434"/>
        <v>IE-MO</v>
      </c>
      <c r="Z553" s="114" t="str">
        <f t="shared" si="434"/>
        <v>IE-RN</v>
      </c>
      <c r="AA553" s="114" t="str">
        <f t="shared" si="434"/>
        <v>IE-SO</v>
      </c>
      <c r="AB553" s="114" t="str">
        <f t="shared" si="434"/>
        <v>IE-CN</v>
      </c>
      <c r="AC553" s="114" t="str">
        <f t="shared" si="434"/>
        <v>IE-DL</v>
      </c>
      <c r="AD553" s="114" t="str">
        <f t="shared" si="434"/>
        <v>IE-MN</v>
      </c>
    </row>
    <row r="554" spans="2:30">
      <c r="B554" s="201" t="s">
        <v>332</v>
      </c>
      <c r="C554" s="201" t="s">
        <v>593</v>
      </c>
      <c r="D554" s="247">
        <v>1.5410369892896236</v>
      </c>
      <c r="E554" s="247">
        <v>1.5410369892896236</v>
      </c>
      <c r="F554" s="247">
        <v>1.5410369892896236</v>
      </c>
      <c r="G554" s="247">
        <v>1.5410369892896236</v>
      </c>
      <c r="H554" s="247">
        <v>1.5410369892896236</v>
      </c>
      <c r="I554" s="247">
        <v>1.5410369892896236</v>
      </c>
      <c r="J554" s="247">
        <v>1.5410369892896236</v>
      </c>
      <c r="K554" s="247">
        <v>1.5410369892896236</v>
      </c>
      <c r="L554" s="247">
        <v>1.5410369892896236</v>
      </c>
      <c r="M554" s="247">
        <v>1.5410369892896236</v>
      </c>
      <c r="N554" s="247">
        <v>1.5410369892896236</v>
      </c>
      <c r="O554" s="247">
        <v>1.5410369892896236</v>
      </c>
      <c r="P554" s="247">
        <v>1.5410369892896236</v>
      </c>
      <c r="Q554" s="247">
        <v>1.5410369892896236</v>
      </c>
      <c r="R554" s="247">
        <v>1.5410369892896236</v>
      </c>
      <c r="S554" s="247">
        <v>1.5410369892896236</v>
      </c>
      <c r="T554" s="247">
        <v>1.5410369892896236</v>
      </c>
      <c r="U554" s="247">
        <v>1.5410369892896236</v>
      </c>
      <c r="V554" s="247">
        <v>1.5410369892896236</v>
      </c>
      <c r="W554" s="247">
        <v>1.5410369892896236</v>
      </c>
      <c r="X554" s="247">
        <v>1.5410369892896236</v>
      </c>
      <c r="Y554" s="247">
        <v>1.5410369892896236</v>
      </c>
      <c r="Z554" s="247">
        <v>1.5410369892896236</v>
      </c>
      <c r="AA554" s="247">
        <v>1.5410369892896236</v>
      </c>
      <c r="AB554" s="247">
        <v>1.5410369892896236</v>
      </c>
      <c r="AC554" s="247">
        <v>1.5410369892896236</v>
      </c>
      <c r="AD554" s="247">
        <v>1.5410369892896236</v>
      </c>
    </row>
    <row r="555" spans="2:30">
      <c r="B555" s="201" t="s">
        <v>333</v>
      </c>
      <c r="C555" s="201" t="s">
        <v>593</v>
      </c>
      <c r="D555" s="247">
        <v>1.5689674081337737</v>
      </c>
      <c r="E555" s="247">
        <v>1.5689674081337737</v>
      </c>
      <c r="F555" s="247">
        <v>1.5689674081337737</v>
      </c>
      <c r="G555" s="247">
        <v>1.5689674081337737</v>
      </c>
      <c r="H555" s="247">
        <v>1.5689674081337737</v>
      </c>
      <c r="I555" s="247">
        <v>1.5689674081337737</v>
      </c>
      <c r="J555" s="247">
        <v>1.5689674081337737</v>
      </c>
      <c r="K555" s="247">
        <v>1.5689674081337737</v>
      </c>
      <c r="L555" s="247">
        <v>1.5689674081337737</v>
      </c>
      <c r="M555" s="247">
        <v>1.5689674081337737</v>
      </c>
      <c r="N555" s="247">
        <v>1.5689674081337737</v>
      </c>
      <c r="O555" s="247">
        <v>1.5689674081337737</v>
      </c>
      <c r="P555" s="247">
        <v>1.5689674081337737</v>
      </c>
      <c r="Q555" s="247">
        <v>1.5689674081337737</v>
      </c>
      <c r="R555" s="247">
        <v>1.5689674081337737</v>
      </c>
      <c r="S555" s="247">
        <v>1.5689674081337737</v>
      </c>
      <c r="T555" s="247">
        <v>1.5689674081337737</v>
      </c>
      <c r="U555" s="247">
        <v>1.5689674081337737</v>
      </c>
      <c r="V555" s="247">
        <v>1.5689674081337737</v>
      </c>
      <c r="W555" s="247">
        <v>1.5689674081337737</v>
      </c>
      <c r="X555" s="247">
        <v>1.5689674081337737</v>
      </c>
      <c r="Y555" s="247">
        <v>1.5689674081337737</v>
      </c>
      <c r="Z555" s="247">
        <v>1.5689674081337737</v>
      </c>
      <c r="AA555" s="247">
        <v>1.5689674081337737</v>
      </c>
      <c r="AB555" s="247">
        <v>1.5689674081337737</v>
      </c>
      <c r="AC555" s="247">
        <v>1.5689674081337737</v>
      </c>
      <c r="AD555" s="247">
        <v>1.5689674081337737</v>
      </c>
    </row>
    <row r="556" spans="2:30">
      <c r="B556" s="201" t="s">
        <v>334</v>
      </c>
      <c r="C556" s="201" t="s">
        <v>593</v>
      </c>
      <c r="D556" s="247">
        <v>1.7415357309829498</v>
      </c>
      <c r="E556" s="247">
        <v>1.7415357309829498</v>
      </c>
      <c r="F556" s="247">
        <v>1.7415357309829498</v>
      </c>
      <c r="G556" s="247">
        <v>1.7415357309829498</v>
      </c>
      <c r="H556" s="247">
        <v>1.7415357309829498</v>
      </c>
      <c r="I556" s="247">
        <v>1.7415357309829498</v>
      </c>
      <c r="J556" s="247">
        <v>1.7415357309829498</v>
      </c>
      <c r="K556" s="247">
        <v>1.7415357309829498</v>
      </c>
      <c r="L556" s="247">
        <v>1.7415357309829498</v>
      </c>
      <c r="M556" s="247">
        <v>1.7415357309829498</v>
      </c>
      <c r="N556" s="247">
        <v>1.7415357309829498</v>
      </c>
      <c r="O556" s="247">
        <v>1.7415357309829498</v>
      </c>
      <c r="P556" s="247">
        <v>1.7415357309829498</v>
      </c>
      <c r="Q556" s="247">
        <v>1.7415357309829498</v>
      </c>
      <c r="R556" s="247">
        <v>1.7415357309829498</v>
      </c>
      <c r="S556" s="247">
        <v>1.7415357309829498</v>
      </c>
      <c r="T556" s="247">
        <v>1.7415357309829498</v>
      </c>
      <c r="U556" s="247">
        <v>1.7415357309829498</v>
      </c>
      <c r="V556" s="247">
        <v>1.7415357309829498</v>
      </c>
      <c r="W556" s="247">
        <v>1.7415357309829498</v>
      </c>
      <c r="X556" s="247">
        <v>1.7415357309829498</v>
      </c>
      <c r="Y556" s="247">
        <v>1.7415357309829498</v>
      </c>
      <c r="Z556" s="247">
        <v>1.7415357309829498</v>
      </c>
      <c r="AA556" s="247">
        <v>1.7415357309829498</v>
      </c>
      <c r="AB556" s="247">
        <v>1.7415357309829498</v>
      </c>
      <c r="AC556" s="247">
        <v>1.7415357309829498</v>
      </c>
      <c r="AD556" s="247">
        <v>1.7415357309829498</v>
      </c>
    </row>
    <row r="557" spans="2:30">
      <c r="B557" s="201" t="s">
        <v>335</v>
      </c>
      <c r="C557" s="201" t="s">
        <v>593</v>
      </c>
      <c r="D557" s="247">
        <v>1.7596865383612372</v>
      </c>
      <c r="E557" s="247">
        <v>1.7596865383612372</v>
      </c>
      <c r="F557" s="247">
        <v>1.7596865383612372</v>
      </c>
      <c r="G557" s="247">
        <v>1.7596865383612372</v>
      </c>
      <c r="H557" s="247">
        <v>1.7596865383612372</v>
      </c>
      <c r="I557" s="247">
        <v>1.7596865383612372</v>
      </c>
      <c r="J557" s="247">
        <v>1.7596865383612372</v>
      </c>
      <c r="K557" s="247">
        <v>1.7596865383612372</v>
      </c>
      <c r="L557" s="247">
        <v>1.7596865383612372</v>
      </c>
      <c r="M557" s="247">
        <v>1.7596865383612372</v>
      </c>
      <c r="N557" s="247">
        <v>1.7596865383612372</v>
      </c>
      <c r="O557" s="247">
        <v>1.7596865383612372</v>
      </c>
      <c r="P557" s="247">
        <v>1.7596865383612372</v>
      </c>
      <c r="Q557" s="247">
        <v>1.7596865383612372</v>
      </c>
      <c r="R557" s="247">
        <v>1.7596865383612372</v>
      </c>
      <c r="S557" s="247">
        <v>1.7596865383612372</v>
      </c>
      <c r="T557" s="247">
        <v>1.7596865383612372</v>
      </c>
      <c r="U557" s="247">
        <v>1.7596865383612372</v>
      </c>
      <c r="V557" s="247">
        <v>1.7596865383612372</v>
      </c>
      <c r="W557" s="247">
        <v>1.7596865383612372</v>
      </c>
      <c r="X557" s="247">
        <v>1.7596865383612372</v>
      </c>
      <c r="Y557" s="247">
        <v>1.7596865383612372</v>
      </c>
      <c r="Z557" s="247">
        <v>1.7596865383612372</v>
      </c>
      <c r="AA557" s="247">
        <v>1.7596865383612372</v>
      </c>
      <c r="AB557" s="247">
        <v>1.7596865383612372</v>
      </c>
      <c r="AC557" s="247">
        <v>1.7596865383612372</v>
      </c>
      <c r="AD557" s="247">
        <v>1.7596865383612372</v>
      </c>
    </row>
    <row r="558" spans="2:30">
      <c r="B558" s="201" t="s">
        <v>336</v>
      </c>
      <c r="C558" s="201" t="s">
        <v>593</v>
      </c>
      <c r="D558" s="247">
        <v>1.8433586255014824</v>
      </c>
      <c r="E558" s="247">
        <v>1.8433586255014824</v>
      </c>
      <c r="F558" s="247">
        <v>1.8433586255014824</v>
      </c>
      <c r="G558" s="247">
        <v>1.8433586255014824</v>
      </c>
      <c r="H558" s="247">
        <v>1.8433586255014824</v>
      </c>
      <c r="I558" s="247">
        <v>1.8433586255014824</v>
      </c>
      <c r="J558" s="247">
        <v>1.8433586255014824</v>
      </c>
      <c r="K558" s="247">
        <v>1.8433586255014824</v>
      </c>
      <c r="L558" s="247">
        <v>1.8433586255014824</v>
      </c>
      <c r="M558" s="247">
        <v>1.8433586255014824</v>
      </c>
      <c r="N558" s="247">
        <v>1.8433586255014824</v>
      </c>
      <c r="O558" s="247">
        <v>1.8433586255014824</v>
      </c>
      <c r="P558" s="247">
        <v>1.8433586255014824</v>
      </c>
      <c r="Q558" s="247">
        <v>1.8433586255014824</v>
      </c>
      <c r="R558" s="247">
        <v>1.8433586255014824</v>
      </c>
      <c r="S558" s="247">
        <v>1.8433586255014824</v>
      </c>
      <c r="T558" s="247">
        <v>1.8433586255014824</v>
      </c>
      <c r="U558" s="247">
        <v>1.8433586255014824</v>
      </c>
      <c r="V558" s="247">
        <v>1.8433586255014824</v>
      </c>
      <c r="W558" s="247">
        <v>1.8433586255014824</v>
      </c>
      <c r="X558" s="247">
        <v>1.8433586255014824</v>
      </c>
      <c r="Y558" s="247">
        <v>1.8433586255014824</v>
      </c>
      <c r="Z558" s="247">
        <v>1.8433586255014824</v>
      </c>
      <c r="AA558" s="247">
        <v>1.8433586255014824</v>
      </c>
      <c r="AB558" s="247">
        <v>1.8433586255014824</v>
      </c>
      <c r="AC558" s="247">
        <v>1.8433586255014824</v>
      </c>
      <c r="AD558" s="247">
        <v>1.8433586255014824</v>
      </c>
    </row>
    <row r="559" spans="2:30">
      <c r="B559" s="201" t="s">
        <v>337</v>
      </c>
      <c r="C559" s="201" t="s">
        <v>593</v>
      </c>
      <c r="D559" s="247">
        <v>1.8529030871906271</v>
      </c>
      <c r="E559" s="247">
        <v>1.8529030871906271</v>
      </c>
      <c r="F559" s="247">
        <v>1.8529030871906271</v>
      </c>
      <c r="G559" s="247">
        <v>1.8529030871906271</v>
      </c>
      <c r="H559" s="247">
        <v>1.8529030871906271</v>
      </c>
      <c r="I559" s="247">
        <v>1.8529030871906271</v>
      </c>
      <c r="J559" s="247">
        <v>1.8529030871906271</v>
      </c>
      <c r="K559" s="247">
        <v>1.8529030871906271</v>
      </c>
      <c r="L559" s="247">
        <v>1.8529030871906271</v>
      </c>
      <c r="M559" s="247">
        <v>1.8529030871906271</v>
      </c>
      <c r="N559" s="247">
        <v>1.8529030871906271</v>
      </c>
      <c r="O559" s="247">
        <v>1.8529030871906271</v>
      </c>
      <c r="P559" s="247">
        <v>1.8529030871906271</v>
      </c>
      <c r="Q559" s="247">
        <v>1.8529030871906271</v>
      </c>
      <c r="R559" s="247">
        <v>1.8529030871906271</v>
      </c>
      <c r="S559" s="247">
        <v>1.8529030871906271</v>
      </c>
      <c r="T559" s="247">
        <v>1.8529030871906271</v>
      </c>
      <c r="U559" s="247">
        <v>1.8529030871906271</v>
      </c>
      <c r="V559" s="247">
        <v>1.8529030871906271</v>
      </c>
      <c r="W559" s="247">
        <v>1.8529030871906271</v>
      </c>
      <c r="X559" s="247">
        <v>1.8529030871906271</v>
      </c>
      <c r="Y559" s="247">
        <v>1.8529030871906271</v>
      </c>
      <c r="Z559" s="247">
        <v>1.8529030871906271</v>
      </c>
      <c r="AA559" s="247">
        <v>1.8529030871906271</v>
      </c>
      <c r="AB559" s="247">
        <v>1.8529030871906271</v>
      </c>
      <c r="AC559" s="247">
        <v>1.8529030871906271</v>
      </c>
      <c r="AD559" s="247">
        <v>1.8529030871906271</v>
      </c>
    </row>
    <row r="560" spans="2:30">
      <c r="B560" s="200" t="s">
        <v>338</v>
      </c>
      <c r="C560" s="200" t="s">
        <v>593</v>
      </c>
      <c r="D560" s="248">
        <v>2.076438345513917</v>
      </c>
      <c r="E560" s="248">
        <v>2.076438345513917</v>
      </c>
      <c r="F560" s="248">
        <v>2.076438345513917</v>
      </c>
      <c r="G560" s="248">
        <v>2.076438345513917</v>
      </c>
      <c r="H560" s="248">
        <v>2.076438345513917</v>
      </c>
      <c r="I560" s="248">
        <v>2.076438345513917</v>
      </c>
      <c r="J560" s="248">
        <v>2.076438345513917</v>
      </c>
      <c r="K560" s="248">
        <v>2.076438345513917</v>
      </c>
      <c r="L560" s="248">
        <v>2.076438345513917</v>
      </c>
      <c r="M560" s="248">
        <v>2.076438345513917</v>
      </c>
      <c r="N560" s="248">
        <v>2.076438345513917</v>
      </c>
      <c r="O560" s="248">
        <v>2.076438345513917</v>
      </c>
      <c r="P560" s="248">
        <v>2.076438345513917</v>
      </c>
      <c r="Q560" s="248">
        <v>2.076438345513917</v>
      </c>
      <c r="R560" s="248">
        <v>2.076438345513917</v>
      </c>
      <c r="S560" s="248">
        <v>2.076438345513917</v>
      </c>
      <c r="T560" s="248">
        <v>2.076438345513917</v>
      </c>
      <c r="U560" s="248">
        <v>2.076438345513917</v>
      </c>
      <c r="V560" s="248">
        <v>2.076438345513917</v>
      </c>
      <c r="W560" s="248">
        <v>2.076438345513917</v>
      </c>
      <c r="X560" s="248">
        <v>2.076438345513917</v>
      </c>
      <c r="Y560" s="248">
        <v>2.076438345513917</v>
      </c>
      <c r="Z560" s="248">
        <v>2.076438345513917</v>
      </c>
      <c r="AA560" s="248">
        <v>2.076438345513917</v>
      </c>
      <c r="AB560" s="248">
        <v>2.076438345513917</v>
      </c>
      <c r="AC560" s="248">
        <v>2.076438345513917</v>
      </c>
      <c r="AD560" s="248">
        <v>2.076438345513917</v>
      </c>
    </row>
    <row r="561" spans="2:30">
      <c r="B561" s="252" t="s">
        <v>597</v>
      </c>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row>
    <row r="562" spans="2:30">
      <c r="B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row>
    <row r="563" spans="2:30">
      <c r="B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ht="15.6">
      <c r="B565" s="167" t="s">
        <v>640</v>
      </c>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114" t="s">
        <v>588</v>
      </c>
      <c r="C566" s="114" t="s">
        <v>63</v>
      </c>
      <c r="D566" s="114" t="str">
        <f t="shared" ref="D566:AD566" si="435">D553</f>
        <v>IE</v>
      </c>
      <c r="E566" s="114" t="str">
        <f t="shared" si="435"/>
        <v>IE-CW</v>
      </c>
      <c r="F566" s="114" t="str">
        <f t="shared" si="435"/>
        <v>IE-D</v>
      </c>
      <c r="G566" s="114" t="str">
        <f t="shared" si="435"/>
        <v>IE-KE</v>
      </c>
      <c r="H566" s="114" t="str">
        <f t="shared" si="435"/>
        <v>IE-KK</v>
      </c>
      <c r="I566" s="114" t="str">
        <f t="shared" si="435"/>
        <v>IE-LS</v>
      </c>
      <c r="J566" s="114" t="str">
        <f t="shared" si="435"/>
        <v>IE-LD</v>
      </c>
      <c r="K566" s="114" t="str">
        <f t="shared" si="435"/>
        <v>IE-LH</v>
      </c>
      <c r="L566" s="114" t="str">
        <f t="shared" si="435"/>
        <v>IE-MH</v>
      </c>
      <c r="M566" s="114" t="str">
        <f t="shared" si="435"/>
        <v>IE-OY</v>
      </c>
      <c r="N566" s="114" t="str">
        <f t="shared" si="435"/>
        <v>IE-WH</v>
      </c>
      <c r="O566" s="114" t="str">
        <f t="shared" si="435"/>
        <v>IE-WX</v>
      </c>
      <c r="P566" s="114" t="str">
        <f t="shared" si="435"/>
        <v>IE-WW</v>
      </c>
      <c r="Q566" s="114" t="str">
        <f t="shared" si="435"/>
        <v>IE-CE</v>
      </c>
      <c r="R566" s="114" t="str">
        <f t="shared" si="435"/>
        <v>IE-CO</v>
      </c>
      <c r="S566" s="114" t="str">
        <f t="shared" si="435"/>
        <v>IE-KY</v>
      </c>
      <c r="T566" s="114" t="str">
        <f t="shared" si="435"/>
        <v>IE-LK</v>
      </c>
      <c r="U566" s="114" t="str">
        <f t="shared" si="435"/>
        <v>IE-TA</v>
      </c>
      <c r="V566" s="114" t="str">
        <f t="shared" si="435"/>
        <v>IE-WD</v>
      </c>
      <c r="W566" s="114" t="str">
        <f t="shared" si="435"/>
        <v>IE-G</v>
      </c>
      <c r="X566" s="114" t="str">
        <f t="shared" si="435"/>
        <v>IE-LM</v>
      </c>
      <c r="Y566" s="114" t="str">
        <f t="shared" si="435"/>
        <v>IE-MO</v>
      </c>
      <c r="Z566" s="114" t="str">
        <f t="shared" si="435"/>
        <v>IE-RN</v>
      </c>
      <c r="AA566" s="114" t="str">
        <f t="shared" si="435"/>
        <v>IE-SO</v>
      </c>
      <c r="AB566" s="114" t="str">
        <f t="shared" si="435"/>
        <v>IE-CN</v>
      </c>
      <c r="AC566" s="114" t="str">
        <f t="shared" si="435"/>
        <v>IE-DL</v>
      </c>
      <c r="AD566" s="114" t="str">
        <f t="shared" si="435"/>
        <v>IE-MN</v>
      </c>
    </row>
    <row r="567" spans="2:30">
      <c r="B567" s="201" t="s">
        <v>609</v>
      </c>
      <c r="C567" s="201" t="s">
        <v>593</v>
      </c>
      <c r="D567" s="247">
        <f t="shared" ref="D567:W567" si="436">SUMPRODUCT(D541:D547,D554:D560)</f>
        <v>1.8140726552198705</v>
      </c>
      <c r="E567" s="247">
        <f t="shared" si="436"/>
        <v>1.9460274065863941</v>
      </c>
      <c r="F567" s="247">
        <f t="shared" si="436"/>
        <v>1.8037417147916066</v>
      </c>
      <c r="G567" s="247">
        <f t="shared" si="436"/>
        <v>1.8085529230310002</v>
      </c>
      <c r="H567" s="247">
        <f t="shared" si="436"/>
        <v>1.8295890277679689</v>
      </c>
      <c r="I567" s="247">
        <f t="shared" si="436"/>
        <v>1.8497947034430671</v>
      </c>
      <c r="J567" s="247">
        <f t="shared" si="436"/>
        <v>2.0181684155108082</v>
      </c>
      <c r="K567" s="247">
        <f t="shared" si="436"/>
        <v>1.8446894448370716</v>
      </c>
      <c r="L567" s="247">
        <f t="shared" si="436"/>
        <v>1.8430338961417763</v>
      </c>
      <c r="M567" s="247">
        <f t="shared" si="436"/>
        <v>1.9180471372254353</v>
      </c>
      <c r="N567" s="247">
        <f t="shared" si="436"/>
        <v>1.815593465590349</v>
      </c>
      <c r="O567" s="247">
        <f t="shared" si="436"/>
        <v>1.8484757821460791</v>
      </c>
      <c r="P567" s="247">
        <f t="shared" si="436"/>
        <v>1.8567345796866417</v>
      </c>
      <c r="Q567" s="247">
        <f t="shared" si="436"/>
        <v>1.8159909665712068</v>
      </c>
      <c r="R567" s="247">
        <f t="shared" si="436"/>
        <v>1.8124446852996714</v>
      </c>
      <c r="S567" s="247">
        <f t="shared" si="436"/>
        <v>1.8600424080426254</v>
      </c>
      <c r="T567" s="247">
        <f t="shared" si="436"/>
        <v>1.8049058950640684</v>
      </c>
      <c r="U567" s="247">
        <f t="shared" si="436"/>
        <v>1.8521026425320195</v>
      </c>
      <c r="V567" s="247">
        <f t="shared" si="436"/>
        <v>1.8258666478087255</v>
      </c>
      <c r="W567" s="247">
        <f t="shared" si="436"/>
        <v>1.8477073870717844</v>
      </c>
      <c r="X567" s="247">
        <f>D567</f>
        <v>1.8140726552198705</v>
      </c>
      <c r="Y567" s="247">
        <f t="shared" ref="Y567:AD567" si="437">SUMPRODUCT(Y541:Y547,Y554:Y560)</f>
        <v>1.8351573955783527</v>
      </c>
      <c r="Z567" s="247">
        <f t="shared" si="437"/>
        <v>1.970854409796357</v>
      </c>
      <c r="AA567" s="247">
        <f t="shared" si="437"/>
        <v>1.8241940913211054</v>
      </c>
      <c r="AB567" s="247">
        <f t="shared" si="437"/>
        <v>1.8015975171049097</v>
      </c>
      <c r="AC567" s="247">
        <f t="shared" si="437"/>
        <v>1.8092825196843492</v>
      </c>
      <c r="AD567" s="247">
        <f t="shared" si="437"/>
        <v>1.9972503937257469</v>
      </c>
    </row>
    <row r="568" spans="2:30">
      <c r="B568" s="200"/>
      <c r="C568" s="200" t="s">
        <v>581</v>
      </c>
      <c r="D568" s="250">
        <f>1000/D567</f>
        <v>551.24583743797041</v>
      </c>
      <c r="E568" s="250">
        <f>1000/E567</f>
        <v>513.86737751763769</v>
      </c>
      <c r="F568" s="250">
        <f>1000/F567</f>
        <v>554.40310095369387</v>
      </c>
      <c r="G568" s="250">
        <f>1000/G567</f>
        <v>552.92824847175291</v>
      </c>
      <c r="H568" s="250">
        <f t="shared" ref="H568" si="438">1000/H567</f>
        <v>546.57083357127647</v>
      </c>
      <c r="I568" s="250">
        <f t="shared" ref="I568" si="439">1000/I567</f>
        <v>540.60053158259996</v>
      </c>
      <c r="J568" s="250">
        <f t="shared" ref="J568" si="440">1000/J567</f>
        <v>495.49878608465644</v>
      </c>
      <c r="K568" s="250">
        <f t="shared" ref="K568" si="441">1000/K567</f>
        <v>542.09666716465813</v>
      </c>
      <c r="L568" s="250">
        <f t="shared" ref="L568" si="442">1000/L567</f>
        <v>542.58361829015132</v>
      </c>
      <c r="M568" s="250">
        <f t="shared" ref="M568" si="443">1000/M567</f>
        <v>521.36362062850924</v>
      </c>
      <c r="N568" s="250">
        <f t="shared" ref="N568" si="444">1000/N567</f>
        <v>550.78409288879277</v>
      </c>
      <c r="O568" s="250">
        <f t="shared" ref="O568" si="445">1000/O567</f>
        <v>540.98625995467501</v>
      </c>
      <c r="P568" s="250">
        <f t="shared" ref="P568" si="446">1000/P567</f>
        <v>538.57994079518278</v>
      </c>
      <c r="Q568" s="250">
        <f t="shared" ref="Q568" si="447">1000/Q567</f>
        <v>550.66353214747062</v>
      </c>
      <c r="R568" s="250">
        <f t="shared" ref="R568" si="448">1000/R567</f>
        <v>551.74097621338387</v>
      </c>
      <c r="S568" s="250">
        <f t="shared" ref="S568" si="449">1000/S567</f>
        <v>537.62215080479154</v>
      </c>
      <c r="T568" s="250">
        <f t="shared" ref="T568" si="450">1000/T567</f>
        <v>554.04550604811629</v>
      </c>
      <c r="U568" s="250">
        <f t="shared" ref="U568" si="451">1000/U567</f>
        <v>539.92687934017226</v>
      </c>
      <c r="V568" s="250">
        <f t="shared" ref="V568" si="452">1000/V567</f>
        <v>547.68512322634751</v>
      </c>
      <c r="W568" s="250">
        <f t="shared" ref="W568" si="453">1000/W567</f>
        <v>541.21123669088274</v>
      </c>
      <c r="X568" s="250">
        <f t="shared" ref="X568" si="454">1000/X567</f>
        <v>551.24583743797041</v>
      </c>
      <c r="Y568" s="250">
        <f t="shared" ref="Y568" si="455">1000/Y567</f>
        <v>544.91238866454205</v>
      </c>
      <c r="Z568" s="250">
        <f t="shared" ref="Z568" si="456">1000/Z567</f>
        <v>507.39415099836179</v>
      </c>
      <c r="AA568" s="250">
        <f t="shared" ref="AA568" si="457">1000/AA567</f>
        <v>548.18728158240378</v>
      </c>
      <c r="AB568" s="250">
        <f t="shared" ref="AB568" si="458">1000/AB567</f>
        <v>555.06293192885687</v>
      </c>
      <c r="AC568" s="250">
        <f t="shared" ref="AC568" si="459">1000/AC567</f>
        <v>552.70527909287591</v>
      </c>
      <c r="AD568" s="250">
        <f t="shared" ref="AD568" si="460">1000/AD567</f>
        <v>500.68834791143138</v>
      </c>
    </row>
    <row r="572" spans="2:30">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row>
    <row r="573" spans="2:30" ht="15.6">
      <c r="B573" s="167" t="s">
        <v>641</v>
      </c>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row>
    <row r="574" spans="2:30">
      <c r="B574" s="114" t="s">
        <v>588</v>
      </c>
      <c r="C574" s="114" t="s">
        <v>63</v>
      </c>
      <c r="D574" s="114" t="str">
        <f>D566</f>
        <v>IE</v>
      </c>
      <c r="E574" s="114" t="str">
        <f t="shared" ref="E574:AD574" si="461">E566</f>
        <v>IE-CW</v>
      </c>
      <c r="F574" s="114" t="str">
        <f t="shared" si="461"/>
        <v>IE-D</v>
      </c>
      <c r="G574" s="114" t="str">
        <f t="shared" si="461"/>
        <v>IE-KE</v>
      </c>
      <c r="H574" s="114" t="str">
        <f t="shared" si="461"/>
        <v>IE-KK</v>
      </c>
      <c r="I574" s="114" t="str">
        <f t="shared" si="461"/>
        <v>IE-LS</v>
      </c>
      <c r="J574" s="114" t="str">
        <f t="shared" si="461"/>
        <v>IE-LD</v>
      </c>
      <c r="K574" s="114" t="str">
        <f t="shared" si="461"/>
        <v>IE-LH</v>
      </c>
      <c r="L574" s="114" t="str">
        <f t="shared" si="461"/>
        <v>IE-MH</v>
      </c>
      <c r="M574" s="114" t="str">
        <f t="shared" si="461"/>
        <v>IE-OY</v>
      </c>
      <c r="N574" s="114" t="str">
        <f t="shared" si="461"/>
        <v>IE-WH</v>
      </c>
      <c r="O574" s="114" t="str">
        <f t="shared" si="461"/>
        <v>IE-WX</v>
      </c>
      <c r="P574" s="114" t="str">
        <f t="shared" si="461"/>
        <v>IE-WW</v>
      </c>
      <c r="Q574" s="114" t="str">
        <f t="shared" si="461"/>
        <v>IE-CE</v>
      </c>
      <c r="R574" s="114" t="str">
        <f t="shared" si="461"/>
        <v>IE-CO</v>
      </c>
      <c r="S574" s="114" t="str">
        <f t="shared" si="461"/>
        <v>IE-KY</v>
      </c>
      <c r="T574" s="114" t="str">
        <f t="shared" si="461"/>
        <v>IE-LK</v>
      </c>
      <c r="U574" s="114" t="str">
        <f t="shared" si="461"/>
        <v>IE-TA</v>
      </c>
      <c r="V574" s="114" t="str">
        <f t="shared" si="461"/>
        <v>IE-WD</v>
      </c>
      <c r="W574" s="114" t="str">
        <f t="shared" si="461"/>
        <v>IE-G</v>
      </c>
      <c r="X574" s="114" t="str">
        <f t="shared" si="461"/>
        <v>IE-LM</v>
      </c>
      <c r="Y574" s="114" t="str">
        <f t="shared" si="461"/>
        <v>IE-MO</v>
      </c>
      <c r="Z574" s="114" t="str">
        <f t="shared" si="461"/>
        <v>IE-RN</v>
      </c>
      <c r="AA574" s="114" t="str">
        <f t="shared" si="461"/>
        <v>IE-SO</v>
      </c>
      <c r="AB574" s="114" t="str">
        <f t="shared" si="461"/>
        <v>IE-CN</v>
      </c>
      <c r="AC574" s="114" t="str">
        <f t="shared" si="461"/>
        <v>IE-DL</v>
      </c>
      <c r="AD574" s="114" t="str">
        <f t="shared" si="461"/>
        <v>IE-MN</v>
      </c>
    </row>
    <row r="575" spans="2:30">
      <c r="B575" s="201" t="s">
        <v>332</v>
      </c>
      <c r="C575" s="201" t="s">
        <v>516</v>
      </c>
      <c r="D575" s="36">
        <f>SUM(E575:AD575)</f>
        <v>3</v>
      </c>
      <c r="E575" s="201">
        <v>0</v>
      </c>
      <c r="F575" s="201">
        <v>3</v>
      </c>
      <c r="G575" s="201">
        <v>0</v>
      </c>
      <c r="H575" s="201">
        <v>0</v>
      </c>
      <c r="I575" s="201">
        <v>0</v>
      </c>
      <c r="J575" s="201">
        <v>0</v>
      </c>
      <c r="K575" s="201">
        <v>0</v>
      </c>
      <c r="L575" s="201">
        <v>0</v>
      </c>
      <c r="M575" s="201">
        <v>0</v>
      </c>
      <c r="N575" s="201">
        <v>0</v>
      </c>
      <c r="O575" s="201">
        <v>0</v>
      </c>
      <c r="P575" s="201">
        <v>0</v>
      </c>
      <c r="Q575" s="201">
        <v>0</v>
      </c>
      <c r="R575" s="201">
        <v>0</v>
      </c>
      <c r="S575" s="201">
        <v>0</v>
      </c>
      <c r="T575" s="201">
        <v>0</v>
      </c>
      <c r="U575" s="201">
        <v>0</v>
      </c>
      <c r="V575" s="201">
        <v>0</v>
      </c>
      <c r="W575" s="201">
        <v>0</v>
      </c>
      <c r="X575" s="201">
        <v>0</v>
      </c>
      <c r="Y575" s="201">
        <v>0</v>
      </c>
      <c r="Z575" s="201">
        <v>0</v>
      </c>
      <c r="AA575" s="201">
        <v>0</v>
      </c>
      <c r="AB575" s="201">
        <v>0</v>
      </c>
      <c r="AC575" s="201">
        <v>0</v>
      </c>
      <c r="AD575" s="201">
        <v>0</v>
      </c>
    </row>
    <row r="576" spans="2:30">
      <c r="B576" s="201" t="s">
        <v>333</v>
      </c>
      <c r="C576" s="201" t="s">
        <v>516</v>
      </c>
      <c r="D576" s="36">
        <f t="shared" ref="D576:D581" si="462">SUM(E576:AD576)</f>
        <v>0</v>
      </c>
      <c r="E576" s="201">
        <v>0</v>
      </c>
      <c r="F576" s="201">
        <v>0</v>
      </c>
      <c r="G576" s="201">
        <v>0</v>
      </c>
      <c r="H576" s="201">
        <v>0</v>
      </c>
      <c r="I576" s="201">
        <v>0</v>
      </c>
      <c r="J576" s="201">
        <v>0</v>
      </c>
      <c r="K576" s="201">
        <v>0</v>
      </c>
      <c r="L576" s="201">
        <v>0</v>
      </c>
      <c r="M576" s="201">
        <v>0</v>
      </c>
      <c r="N576" s="201">
        <v>0</v>
      </c>
      <c r="O576" s="201">
        <v>0</v>
      </c>
      <c r="P576" s="201">
        <v>0</v>
      </c>
      <c r="Q576" s="201">
        <v>0</v>
      </c>
      <c r="R576" s="201">
        <v>0</v>
      </c>
      <c r="S576" s="201">
        <v>0</v>
      </c>
      <c r="T576" s="201">
        <v>0</v>
      </c>
      <c r="U576" s="201">
        <v>0</v>
      </c>
      <c r="V576" s="201">
        <v>0</v>
      </c>
      <c r="W576" s="201">
        <v>0</v>
      </c>
      <c r="X576" s="201">
        <v>0</v>
      </c>
      <c r="Y576" s="201">
        <v>0</v>
      </c>
      <c r="Z576" s="201">
        <v>0</v>
      </c>
      <c r="AA576" s="201">
        <v>0</v>
      </c>
      <c r="AB576" s="201">
        <v>0</v>
      </c>
      <c r="AC576" s="201">
        <v>0</v>
      </c>
      <c r="AD576" s="201">
        <v>0</v>
      </c>
    </row>
    <row r="577" spans="2:30">
      <c r="B577" s="201" t="s">
        <v>334</v>
      </c>
      <c r="C577" s="201" t="s">
        <v>516</v>
      </c>
      <c r="D577" s="36">
        <f t="shared" si="462"/>
        <v>225</v>
      </c>
      <c r="E577" s="201">
        <v>1</v>
      </c>
      <c r="F577" s="201">
        <v>63</v>
      </c>
      <c r="G577" s="201">
        <v>7</v>
      </c>
      <c r="H577" s="201">
        <v>2</v>
      </c>
      <c r="I577" s="201">
        <v>2</v>
      </c>
      <c r="J577" s="201">
        <v>1</v>
      </c>
      <c r="K577" s="201">
        <v>6</v>
      </c>
      <c r="L577" s="201">
        <v>3</v>
      </c>
      <c r="M577" s="201">
        <v>0</v>
      </c>
      <c r="N577" s="201">
        <v>0</v>
      </c>
      <c r="O577" s="201">
        <v>0</v>
      </c>
      <c r="P577" s="201">
        <v>2</v>
      </c>
      <c r="Q577" s="201">
        <v>5</v>
      </c>
      <c r="R577" s="201">
        <v>103</v>
      </c>
      <c r="S577" s="201">
        <v>5</v>
      </c>
      <c r="T577" s="201">
        <v>8</v>
      </c>
      <c r="U577" s="201">
        <v>2</v>
      </c>
      <c r="V577" s="201">
        <v>4</v>
      </c>
      <c r="W577" s="201">
        <v>2</v>
      </c>
      <c r="X577" s="201">
        <v>1</v>
      </c>
      <c r="Y577" s="201">
        <v>1</v>
      </c>
      <c r="Z577" s="201">
        <v>1</v>
      </c>
      <c r="AA577" s="201">
        <v>2</v>
      </c>
      <c r="AB577" s="201">
        <v>4</v>
      </c>
      <c r="AC577" s="201">
        <v>0</v>
      </c>
      <c r="AD577" s="201">
        <v>0</v>
      </c>
    </row>
    <row r="578" spans="2:30">
      <c r="B578" s="201" t="s">
        <v>335</v>
      </c>
      <c r="C578" s="201" t="s">
        <v>516</v>
      </c>
      <c r="D578" s="36">
        <f t="shared" si="462"/>
        <v>5215</v>
      </c>
      <c r="E578" s="201">
        <v>40</v>
      </c>
      <c r="F578" s="201">
        <v>3035</v>
      </c>
      <c r="G578" s="201">
        <v>217</v>
      </c>
      <c r="H578" s="201">
        <v>74</v>
      </c>
      <c r="I578" s="201">
        <v>71</v>
      </c>
      <c r="J578" s="201">
        <v>16</v>
      </c>
      <c r="K578" s="201">
        <v>120</v>
      </c>
      <c r="L578" s="201">
        <v>251</v>
      </c>
      <c r="M578" s="201">
        <v>27</v>
      </c>
      <c r="N578" s="201">
        <v>73</v>
      </c>
      <c r="O578" s="201">
        <v>70</v>
      </c>
      <c r="P578" s="201">
        <v>69</v>
      </c>
      <c r="Q578" s="201">
        <v>49</v>
      </c>
      <c r="R578" s="201">
        <v>375</v>
      </c>
      <c r="S578" s="201">
        <v>64</v>
      </c>
      <c r="T578" s="201">
        <v>93</v>
      </c>
      <c r="U578" s="201">
        <v>37</v>
      </c>
      <c r="V578" s="201">
        <v>83</v>
      </c>
      <c r="W578" s="201">
        <v>189</v>
      </c>
      <c r="X578" s="201">
        <v>10</v>
      </c>
      <c r="Y578" s="201">
        <v>54</v>
      </c>
      <c r="Z578" s="201">
        <v>31</v>
      </c>
      <c r="AA578" s="201">
        <v>46</v>
      </c>
      <c r="AB578" s="201">
        <v>39</v>
      </c>
      <c r="AC578" s="201">
        <v>67</v>
      </c>
      <c r="AD578" s="201">
        <v>15</v>
      </c>
    </row>
    <row r="579" spans="2:30">
      <c r="B579" s="201" t="s">
        <v>336</v>
      </c>
      <c r="C579" s="201" t="s">
        <v>516</v>
      </c>
      <c r="D579" s="36">
        <f t="shared" si="462"/>
        <v>673</v>
      </c>
      <c r="E579" s="201">
        <v>9</v>
      </c>
      <c r="F579" s="201">
        <v>344</v>
      </c>
      <c r="G579" s="201">
        <v>34</v>
      </c>
      <c r="H579" s="201">
        <v>8</v>
      </c>
      <c r="I579" s="201">
        <v>8</v>
      </c>
      <c r="J579" s="201">
        <v>3</v>
      </c>
      <c r="K579" s="201">
        <v>17</v>
      </c>
      <c r="L579" s="201">
        <v>35</v>
      </c>
      <c r="M579" s="201">
        <v>4</v>
      </c>
      <c r="N579" s="201">
        <v>8</v>
      </c>
      <c r="O579" s="201">
        <v>11</v>
      </c>
      <c r="P579" s="201">
        <v>11</v>
      </c>
      <c r="Q579" s="201">
        <v>7</v>
      </c>
      <c r="R579" s="201">
        <v>51</v>
      </c>
      <c r="S579" s="201">
        <v>16</v>
      </c>
      <c r="T579" s="201">
        <v>25</v>
      </c>
      <c r="U579" s="201">
        <v>8</v>
      </c>
      <c r="V579" s="201">
        <v>7</v>
      </c>
      <c r="W579" s="201">
        <v>28</v>
      </c>
      <c r="X579" s="201">
        <v>5</v>
      </c>
      <c r="Y579" s="201">
        <v>10</v>
      </c>
      <c r="Z579" s="201">
        <v>5</v>
      </c>
      <c r="AA579" s="201">
        <v>5</v>
      </c>
      <c r="AB579" s="201">
        <v>6</v>
      </c>
      <c r="AC579" s="201">
        <v>7</v>
      </c>
      <c r="AD579" s="201">
        <v>1</v>
      </c>
    </row>
    <row r="580" spans="2:30">
      <c r="B580" s="201" t="s">
        <v>337</v>
      </c>
      <c r="C580" s="201" t="s">
        <v>516</v>
      </c>
      <c r="D580" s="36">
        <f t="shared" si="462"/>
        <v>8244</v>
      </c>
      <c r="E580" s="201">
        <v>74</v>
      </c>
      <c r="F580" s="201">
        <v>3896</v>
      </c>
      <c r="G580" s="201">
        <v>316</v>
      </c>
      <c r="H580" s="201">
        <v>76</v>
      </c>
      <c r="I580" s="201">
        <v>95</v>
      </c>
      <c r="J580" s="201">
        <v>49</v>
      </c>
      <c r="K580" s="201">
        <v>268</v>
      </c>
      <c r="L580" s="201">
        <v>395</v>
      </c>
      <c r="M580" s="201">
        <v>81</v>
      </c>
      <c r="N580" s="201">
        <v>142</v>
      </c>
      <c r="O580" s="201">
        <v>106</v>
      </c>
      <c r="P580" s="201">
        <v>135</v>
      </c>
      <c r="Q580" s="201">
        <v>130</v>
      </c>
      <c r="R580" s="201">
        <v>776</v>
      </c>
      <c r="S580" s="201">
        <v>193</v>
      </c>
      <c r="T580" s="201">
        <v>219</v>
      </c>
      <c r="U580" s="201">
        <v>120</v>
      </c>
      <c r="V580" s="201">
        <v>111</v>
      </c>
      <c r="W580" s="201">
        <v>404</v>
      </c>
      <c r="X580" s="201">
        <v>38</v>
      </c>
      <c r="Y580" s="201">
        <v>133</v>
      </c>
      <c r="Z580" s="201">
        <v>71</v>
      </c>
      <c r="AA580" s="201">
        <v>69</v>
      </c>
      <c r="AB580" s="201">
        <v>85</v>
      </c>
      <c r="AC580" s="201">
        <v>220</v>
      </c>
      <c r="AD580" s="201">
        <v>42</v>
      </c>
    </row>
    <row r="581" spans="2:30">
      <c r="B581" s="201" t="s">
        <v>338</v>
      </c>
      <c r="C581" s="201" t="s">
        <v>516</v>
      </c>
      <c r="D581" s="36">
        <f t="shared" si="462"/>
        <v>3103</v>
      </c>
      <c r="E581" s="201">
        <v>23</v>
      </c>
      <c r="F581" s="201">
        <v>1173</v>
      </c>
      <c r="G581" s="201">
        <v>141</v>
      </c>
      <c r="H581" s="201">
        <v>44</v>
      </c>
      <c r="I581" s="201">
        <v>24</v>
      </c>
      <c r="J581" s="201">
        <v>14</v>
      </c>
      <c r="K581" s="201">
        <v>97</v>
      </c>
      <c r="L581" s="201">
        <v>148</v>
      </c>
      <c r="M581" s="201">
        <v>38</v>
      </c>
      <c r="N581" s="201">
        <v>36</v>
      </c>
      <c r="O581" s="201">
        <v>63</v>
      </c>
      <c r="P581" s="201">
        <v>98</v>
      </c>
      <c r="Q581" s="201">
        <v>110</v>
      </c>
      <c r="R581" s="201">
        <v>233</v>
      </c>
      <c r="S581" s="201">
        <v>158</v>
      </c>
      <c r="T581" s="201">
        <v>142</v>
      </c>
      <c r="U581" s="201">
        <v>74</v>
      </c>
      <c r="V581" s="201">
        <v>57</v>
      </c>
      <c r="W581" s="201">
        <v>199</v>
      </c>
      <c r="X581" s="201">
        <v>11</v>
      </c>
      <c r="Y581" s="201">
        <v>72</v>
      </c>
      <c r="Z581" s="201">
        <v>21</v>
      </c>
      <c r="AA581" s="201">
        <v>33</v>
      </c>
      <c r="AB581" s="201">
        <v>23</v>
      </c>
      <c r="AC581" s="201">
        <v>54</v>
      </c>
      <c r="AD581" s="201">
        <v>17</v>
      </c>
    </row>
    <row r="582" spans="2:30">
      <c r="B582" s="200" t="s">
        <v>16</v>
      </c>
      <c r="C582" s="200" t="s">
        <v>516</v>
      </c>
      <c r="D582" s="246">
        <f>SUM(E582:AD582)</f>
        <v>17463</v>
      </c>
      <c r="E582" s="246">
        <f t="shared" ref="E582:AD582" si="463">SUM(E575:E581)</f>
        <v>147</v>
      </c>
      <c r="F582" s="246">
        <f t="shared" si="463"/>
        <v>8514</v>
      </c>
      <c r="G582" s="246">
        <f t="shared" si="463"/>
        <v>715</v>
      </c>
      <c r="H582" s="246">
        <f t="shared" si="463"/>
        <v>204</v>
      </c>
      <c r="I582" s="246">
        <f t="shared" si="463"/>
        <v>200</v>
      </c>
      <c r="J582" s="246">
        <f t="shared" si="463"/>
        <v>83</v>
      </c>
      <c r="K582" s="246">
        <f t="shared" si="463"/>
        <v>508</v>
      </c>
      <c r="L582" s="246">
        <f t="shared" si="463"/>
        <v>832</v>
      </c>
      <c r="M582" s="246">
        <f t="shared" si="463"/>
        <v>150</v>
      </c>
      <c r="N582" s="246">
        <f t="shared" si="463"/>
        <v>259</v>
      </c>
      <c r="O582" s="246">
        <f t="shared" si="463"/>
        <v>250</v>
      </c>
      <c r="P582" s="246">
        <f t="shared" si="463"/>
        <v>315</v>
      </c>
      <c r="Q582" s="246">
        <f t="shared" si="463"/>
        <v>301</v>
      </c>
      <c r="R582" s="246">
        <f t="shared" si="463"/>
        <v>1538</v>
      </c>
      <c r="S582" s="246">
        <f t="shared" si="463"/>
        <v>436</v>
      </c>
      <c r="T582" s="246">
        <f t="shared" si="463"/>
        <v>487</v>
      </c>
      <c r="U582" s="246">
        <f t="shared" si="463"/>
        <v>241</v>
      </c>
      <c r="V582" s="246">
        <f t="shared" si="463"/>
        <v>262</v>
      </c>
      <c r="W582" s="246">
        <f t="shared" si="463"/>
        <v>822</v>
      </c>
      <c r="X582" s="246">
        <f t="shared" si="463"/>
        <v>65</v>
      </c>
      <c r="Y582" s="246">
        <f t="shared" si="463"/>
        <v>270</v>
      </c>
      <c r="Z582" s="246">
        <f t="shared" si="463"/>
        <v>129</v>
      </c>
      <c r="AA582" s="246">
        <f t="shared" si="463"/>
        <v>155</v>
      </c>
      <c r="AB582" s="246">
        <f t="shared" si="463"/>
        <v>157</v>
      </c>
      <c r="AC582" s="246">
        <f t="shared" si="463"/>
        <v>348</v>
      </c>
      <c r="AD582" s="246">
        <f t="shared" si="463"/>
        <v>75</v>
      </c>
    </row>
    <row r="583" spans="2:30">
      <c r="B583" s="201" t="s">
        <v>599</v>
      </c>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c r="AC583" s="201"/>
      <c r="AD583" s="201"/>
    </row>
    <row r="584" spans="2:30">
      <c r="B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c r="AC584" s="201"/>
      <c r="AD584" s="201"/>
    </row>
    <row r="585" spans="2:30">
      <c r="B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c r="AC585" s="201"/>
      <c r="AD585" s="201"/>
    </row>
    <row r="586" spans="2:30">
      <c r="B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c r="AC586" s="201"/>
      <c r="AD586" s="201"/>
    </row>
    <row r="587" spans="2:30" ht="15.6">
      <c r="B587" s="167" t="s">
        <v>642</v>
      </c>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c r="AC587" s="201"/>
      <c r="AD587" s="201"/>
    </row>
    <row r="588" spans="2:30">
      <c r="B588" s="114" t="s">
        <v>588</v>
      </c>
      <c r="C588" s="114" t="s">
        <v>63</v>
      </c>
      <c r="D588" s="114" t="str">
        <f>D574</f>
        <v>IE</v>
      </c>
      <c r="E588" s="114" t="str">
        <f t="shared" ref="E588:AD588" si="464">E574</f>
        <v>IE-CW</v>
      </c>
      <c r="F588" s="114" t="str">
        <f t="shared" si="464"/>
        <v>IE-D</v>
      </c>
      <c r="G588" s="114" t="str">
        <f t="shared" si="464"/>
        <v>IE-KE</v>
      </c>
      <c r="H588" s="114" t="str">
        <f t="shared" si="464"/>
        <v>IE-KK</v>
      </c>
      <c r="I588" s="114" t="str">
        <f t="shared" si="464"/>
        <v>IE-LS</v>
      </c>
      <c r="J588" s="114" t="str">
        <f t="shared" si="464"/>
        <v>IE-LD</v>
      </c>
      <c r="K588" s="114" t="str">
        <f t="shared" si="464"/>
        <v>IE-LH</v>
      </c>
      <c r="L588" s="114" t="str">
        <f t="shared" si="464"/>
        <v>IE-MH</v>
      </c>
      <c r="M588" s="114" t="str">
        <f t="shared" si="464"/>
        <v>IE-OY</v>
      </c>
      <c r="N588" s="114" t="str">
        <f t="shared" si="464"/>
        <v>IE-WH</v>
      </c>
      <c r="O588" s="114" t="str">
        <f t="shared" si="464"/>
        <v>IE-WX</v>
      </c>
      <c r="P588" s="114" t="str">
        <f t="shared" si="464"/>
        <v>IE-WW</v>
      </c>
      <c r="Q588" s="114" t="str">
        <f t="shared" si="464"/>
        <v>IE-CE</v>
      </c>
      <c r="R588" s="114" t="str">
        <f t="shared" si="464"/>
        <v>IE-CO</v>
      </c>
      <c r="S588" s="114" t="str">
        <f t="shared" si="464"/>
        <v>IE-KY</v>
      </c>
      <c r="T588" s="114" t="str">
        <f t="shared" si="464"/>
        <v>IE-LK</v>
      </c>
      <c r="U588" s="114" t="str">
        <f t="shared" si="464"/>
        <v>IE-TA</v>
      </c>
      <c r="V588" s="114" t="str">
        <f t="shared" si="464"/>
        <v>IE-WD</v>
      </c>
      <c r="W588" s="114" t="str">
        <f t="shared" si="464"/>
        <v>IE-G</v>
      </c>
      <c r="X588" s="114" t="str">
        <f t="shared" si="464"/>
        <v>IE-LM</v>
      </c>
      <c r="Y588" s="114" t="str">
        <f t="shared" si="464"/>
        <v>IE-MO</v>
      </c>
      <c r="Z588" s="114" t="str">
        <f t="shared" si="464"/>
        <v>IE-RN</v>
      </c>
      <c r="AA588" s="114" t="str">
        <f t="shared" si="464"/>
        <v>IE-SO</v>
      </c>
      <c r="AB588" s="114" t="str">
        <f t="shared" si="464"/>
        <v>IE-CN</v>
      </c>
      <c r="AC588" s="114" t="str">
        <f t="shared" si="464"/>
        <v>IE-DL</v>
      </c>
      <c r="AD588" s="114" t="str">
        <f t="shared" si="464"/>
        <v>IE-MN</v>
      </c>
    </row>
    <row r="589" spans="2:30">
      <c r="B589" s="201" t="s">
        <v>332</v>
      </c>
      <c r="C589" s="249" t="s">
        <v>592</v>
      </c>
      <c r="D589" s="35">
        <f>D575/D$582</f>
        <v>1.7179178835251675E-4</v>
      </c>
      <c r="E589" s="35">
        <f t="shared" ref="E589:AD595" si="465">E575/E$582</f>
        <v>0</v>
      </c>
      <c r="F589" s="35">
        <f t="shared" si="465"/>
        <v>3.5236081747709656E-4</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c r="AD589" s="35">
        <f t="shared" si="465"/>
        <v>0</v>
      </c>
    </row>
    <row r="590" spans="2:30">
      <c r="B590" s="201" t="s">
        <v>333</v>
      </c>
      <c r="C590" s="2" t="s">
        <v>592</v>
      </c>
      <c r="D590" s="35">
        <f>D576/D$582</f>
        <v>0</v>
      </c>
      <c r="E590" s="35">
        <f t="shared" ref="D590:S595" si="466">E576/E$582</f>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6"/>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c r="AD590" s="35">
        <f t="shared" si="465"/>
        <v>0</v>
      </c>
    </row>
    <row r="591" spans="2:30">
      <c r="B591" s="201" t="s">
        <v>334</v>
      </c>
      <c r="C591" s="2" t="s">
        <v>592</v>
      </c>
      <c r="D591" s="35">
        <f t="shared" si="466"/>
        <v>1.2884384126438756E-2</v>
      </c>
      <c r="E591" s="35">
        <f t="shared" si="465"/>
        <v>6.8027210884353739E-3</v>
      </c>
      <c r="F591" s="35">
        <f t="shared" si="465"/>
        <v>7.3995771670190271E-3</v>
      </c>
      <c r="G591" s="35">
        <f t="shared" si="465"/>
        <v>9.7902097902097911E-3</v>
      </c>
      <c r="H591" s="35">
        <f t="shared" si="465"/>
        <v>9.8039215686274508E-3</v>
      </c>
      <c r="I591" s="35">
        <f t="shared" si="465"/>
        <v>0.01</v>
      </c>
      <c r="J591" s="35">
        <f t="shared" si="465"/>
        <v>1.2048192771084338E-2</v>
      </c>
      <c r="K591" s="35">
        <f t="shared" si="465"/>
        <v>1.1811023622047244E-2</v>
      </c>
      <c r="L591" s="35">
        <f t="shared" si="465"/>
        <v>3.605769230769231E-3</v>
      </c>
      <c r="M591" s="35">
        <f t="shared" si="465"/>
        <v>0</v>
      </c>
      <c r="N591" s="35">
        <f t="shared" si="465"/>
        <v>0</v>
      </c>
      <c r="O591" s="35">
        <f t="shared" si="465"/>
        <v>0</v>
      </c>
      <c r="P591" s="35">
        <f t="shared" si="465"/>
        <v>6.3492063492063492E-3</v>
      </c>
      <c r="Q591" s="35">
        <f t="shared" si="465"/>
        <v>1.6611295681063124E-2</v>
      </c>
      <c r="R591" s="35">
        <f t="shared" si="465"/>
        <v>6.6970091027308193E-2</v>
      </c>
      <c r="S591" s="35">
        <f t="shared" si="465"/>
        <v>1.1467889908256881E-2</v>
      </c>
      <c r="T591" s="35">
        <f t="shared" si="465"/>
        <v>1.6427104722792608E-2</v>
      </c>
      <c r="U591" s="35">
        <f t="shared" si="465"/>
        <v>8.2987551867219917E-3</v>
      </c>
      <c r="V591" s="35">
        <f t="shared" si="465"/>
        <v>1.5267175572519083E-2</v>
      </c>
      <c r="W591" s="35">
        <f t="shared" si="465"/>
        <v>2.4330900243309003E-3</v>
      </c>
      <c r="X591" s="35">
        <f t="shared" si="465"/>
        <v>1.5384615384615385E-2</v>
      </c>
      <c r="Y591" s="35">
        <f t="shared" si="465"/>
        <v>3.7037037037037038E-3</v>
      </c>
      <c r="Z591" s="35">
        <f t="shared" si="465"/>
        <v>7.7519379844961239E-3</v>
      </c>
      <c r="AA591" s="35">
        <f t="shared" si="465"/>
        <v>1.2903225806451613E-2</v>
      </c>
      <c r="AB591" s="35">
        <f t="shared" si="465"/>
        <v>2.5477707006369428E-2</v>
      </c>
      <c r="AC591" s="35">
        <f t="shared" si="465"/>
        <v>0</v>
      </c>
      <c r="AD591" s="35">
        <f t="shared" si="465"/>
        <v>0</v>
      </c>
    </row>
    <row r="592" spans="2:30">
      <c r="B592" s="201" t="s">
        <v>335</v>
      </c>
      <c r="C592" s="2" t="s">
        <v>592</v>
      </c>
      <c r="D592" s="35">
        <f t="shared" si="466"/>
        <v>0.29863139208612494</v>
      </c>
      <c r="E592" s="35">
        <f t="shared" si="465"/>
        <v>0.27210884353741499</v>
      </c>
      <c r="F592" s="35">
        <f t="shared" si="465"/>
        <v>0.35647169368099602</v>
      </c>
      <c r="G592" s="35">
        <f t="shared" si="465"/>
        <v>0.30349650349650348</v>
      </c>
      <c r="H592" s="35">
        <f t="shared" si="465"/>
        <v>0.36274509803921567</v>
      </c>
      <c r="I592" s="35">
        <f t="shared" si="465"/>
        <v>0.35499999999999998</v>
      </c>
      <c r="J592" s="35">
        <f t="shared" si="465"/>
        <v>0.19277108433734941</v>
      </c>
      <c r="K592" s="35">
        <f t="shared" si="465"/>
        <v>0.23622047244094488</v>
      </c>
      <c r="L592" s="35">
        <f t="shared" si="465"/>
        <v>0.30168269230769229</v>
      </c>
      <c r="M592" s="35">
        <f t="shared" si="465"/>
        <v>0.18</v>
      </c>
      <c r="N592" s="35">
        <f t="shared" si="465"/>
        <v>0.28185328185328185</v>
      </c>
      <c r="O592" s="35">
        <f t="shared" si="465"/>
        <v>0.28000000000000003</v>
      </c>
      <c r="P592" s="35">
        <f t="shared" si="465"/>
        <v>0.21904761904761905</v>
      </c>
      <c r="Q592" s="35">
        <f t="shared" si="465"/>
        <v>0.16279069767441862</v>
      </c>
      <c r="R592" s="35">
        <f t="shared" si="465"/>
        <v>0.24382314694408322</v>
      </c>
      <c r="S592" s="35">
        <f t="shared" si="465"/>
        <v>0.14678899082568808</v>
      </c>
      <c r="T592" s="35">
        <f t="shared" si="465"/>
        <v>0.19096509240246407</v>
      </c>
      <c r="U592" s="35">
        <f t="shared" si="465"/>
        <v>0.15352697095435686</v>
      </c>
      <c r="V592" s="35">
        <f t="shared" si="465"/>
        <v>0.31679389312977096</v>
      </c>
      <c r="W592" s="35">
        <f t="shared" si="465"/>
        <v>0.22992700729927007</v>
      </c>
      <c r="X592" s="35">
        <f t="shared" si="465"/>
        <v>0.15384615384615385</v>
      </c>
      <c r="Y592" s="35">
        <f t="shared" si="465"/>
        <v>0.2</v>
      </c>
      <c r="Z592" s="35">
        <f t="shared" si="465"/>
        <v>0.24031007751937986</v>
      </c>
      <c r="AA592" s="35">
        <f t="shared" si="465"/>
        <v>0.29677419354838708</v>
      </c>
      <c r="AB592" s="35">
        <f t="shared" si="465"/>
        <v>0.24840764331210191</v>
      </c>
      <c r="AC592" s="35">
        <f t="shared" si="465"/>
        <v>0.19252873563218389</v>
      </c>
      <c r="AD592" s="35">
        <f t="shared" si="465"/>
        <v>0.2</v>
      </c>
    </row>
    <row r="593" spans="2:30">
      <c r="B593" s="201" t="s">
        <v>336</v>
      </c>
      <c r="C593" s="2" t="s">
        <v>592</v>
      </c>
      <c r="D593" s="35">
        <f t="shared" si="466"/>
        <v>3.8538624520414594E-2</v>
      </c>
      <c r="E593" s="35">
        <f t="shared" si="465"/>
        <v>6.1224489795918366E-2</v>
      </c>
      <c r="F593" s="35">
        <f t="shared" si="465"/>
        <v>4.0404040404040407E-2</v>
      </c>
      <c r="G593" s="35">
        <f t="shared" si="465"/>
        <v>4.7552447552447551E-2</v>
      </c>
      <c r="H593" s="35">
        <f t="shared" si="465"/>
        <v>3.9215686274509803E-2</v>
      </c>
      <c r="I593" s="35">
        <f t="shared" si="465"/>
        <v>0.04</v>
      </c>
      <c r="J593" s="35">
        <f t="shared" si="465"/>
        <v>3.614457831325301E-2</v>
      </c>
      <c r="K593" s="35">
        <f t="shared" si="465"/>
        <v>3.3464566929133861E-2</v>
      </c>
      <c r="L593" s="35">
        <f t="shared" si="465"/>
        <v>4.2067307692307696E-2</v>
      </c>
      <c r="M593" s="35">
        <f t="shared" si="465"/>
        <v>2.6666666666666668E-2</v>
      </c>
      <c r="N593" s="35">
        <f t="shared" si="465"/>
        <v>3.0888030888030889E-2</v>
      </c>
      <c r="O593" s="35">
        <f t="shared" si="465"/>
        <v>4.3999999999999997E-2</v>
      </c>
      <c r="P593" s="35">
        <f t="shared" si="465"/>
        <v>3.4920634920634921E-2</v>
      </c>
      <c r="Q593" s="35">
        <f t="shared" si="465"/>
        <v>2.3255813953488372E-2</v>
      </c>
      <c r="R593" s="35">
        <f t="shared" si="465"/>
        <v>3.3159947984395317E-2</v>
      </c>
      <c r="S593" s="35">
        <f t="shared" si="465"/>
        <v>3.669724770642202E-2</v>
      </c>
      <c r="T593" s="35">
        <f t="shared" si="465"/>
        <v>5.1334702258726897E-2</v>
      </c>
      <c r="U593" s="35">
        <f t="shared" si="465"/>
        <v>3.3195020746887967E-2</v>
      </c>
      <c r="V593" s="35">
        <f t="shared" si="465"/>
        <v>2.6717557251908396E-2</v>
      </c>
      <c r="W593" s="35">
        <f t="shared" si="465"/>
        <v>3.4063260340632603E-2</v>
      </c>
      <c r="X593" s="35">
        <f t="shared" si="465"/>
        <v>7.6923076923076927E-2</v>
      </c>
      <c r="Y593" s="35">
        <f t="shared" si="465"/>
        <v>3.7037037037037035E-2</v>
      </c>
      <c r="Z593" s="35">
        <f t="shared" si="465"/>
        <v>3.875968992248062E-2</v>
      </c>
      <c r="AA593" s="35">
        <f t="shared" si="465"/>
        <v>3.2258064516129031E-2</v>
      </c>
      <c r="AB593" s="35">
        <f t="shared" si="465"/>
        <v>3.8216560509554139E-2</v>
      </c>
      <c r="AC593" s="35">
        <f t="shared" si="465"/>
        <v>2.0114942528735632E-2</v>
      </c>
      <c r="AD593" s="35">
        <f t="shared" si="465"/>
        <v>1.3333333333333334E-2</v>
      </c>
    </row>
    <row r="594" spans="2:30">
      <c r="B594" s="201" t="s">
        <v>337</v>
      </c>
      <c r="C594" s="2" t="s">
        <v>592</v>
      </c>
      <c r="D594" s="35">
        <f t="shared" si="466"/>
        <v>0.47208383439271601</v>
      </c>
      <c r="E594" s="35">
        <f t="shared" si="465"/>
        <v>0.50340136054421769</v>
      </c>
      <c r="F594" s="35">
        <f t="shared" si="465"/>
        <v>0.45759924829692272</v>
      </c>
      <c r="G594" s="35">
        <f t="shared" si="465"/>
        <v>0.44195804195804195</v>
      </c>
      <c r="H594" s="35">
        <f t="shared" si="465"/>
        <v>0.37254901960784315</v>
      </c>
      <c r="I594" s="35">
        <f t="shared" si="465"/>
        <v>0.47499999999999998</v>
      </c>
      <c r="J594" s="35">
        <f t="shared" si="465"/>
        <v>0.59036144578313254</v>
      </c>
      <c r="K594" s="35">
        <f t="shared" si="465"/>
        <v>0.52755905511811019</v>
      </c>
      <c r="L594" s="35">
        <f t="shared" si="465"/>
        <v>0.47475961538461536</v>
      </c>
      <c r="M594" s="35">
        <f t="shared" si="465"/>
        <v>0.54</v>
      </c>
      <c r="N594" s="35">
        <f t="shared" si="465"/>
        <v>0.54826254826254828</v>
      </c>
      <c r="O594" s="35">
        <f t="shared" si="465"/>
        <v>0.42399999999999999</v>
      </c>
      <c r="P594" s="35">
        <f t="shared" si="465"/>
        <v>0.42857142857142855</v>
      </c>
      <c r="Q594" s="35">
        <f t="shared" si="465"/>
        <v>0.43189368770764119</v>
      </c>
      <c r="R594" s="35">
        <f t="shared" si="465"/>
        <v>0.50455136540962287</v>
      </c>
      <c r="S594" s="35">
        <f t="shared" si="465"/>
        <v>0.44266055045871561</v>
      </c>
      <c r="T594" s="35">
        <f t="shared" si="465"/>
        <v>0.44969199178644764</v>
      </c>
      <c r="U594" s="35">
        <f t="shared" si="465"/>
        <v>0.49792531120331951</v>
      </c>
      <c r="V594" s="35">
        <f t="shared" si="465"/>
        <v>0.42366412213740456</v>
      </c>
      <c r="W594" s="35">
        <f t="shared" si="465"/>
        <v>0.49148418491484186</v>
      </c>
      <c r="X594" s="35">
        <f t="shared" si="465"/>
        <v>0.58461538461538465</v>
      </c>
      <c r="Y594" s="35">
        <f t="shared" si="465"/>
        <v>0.49259259259259258</v>
      </c>
      <c r="Z594" s="35">
        <f t="shared" si="465"/>
        <v>0.55038759689922478</v>
      </c>
      <c r="AA594" s="35">
        <f t="shared" si="465"/>
        <v>0.44516129032258067</v>
      </c>
      <c r="AB594" s="35">
        <f t="shared" si="465"/>
        <v>0.54140127388535031</v>
      </c>
      <c r="AC594" s="35">
        <f t="shared" si="465"/>
        <v>0.63218390804597702</v>
      </c>
      <c r="AD594" s="35">
        <f t="shared" si="465"/>
        <v>0.56000000000000005</v>
      </c>
    </row>
    <row r="595" spans="2:30">
      <c r="B595" s="201" t="s">
        <v>338</v>
      </c>
      <c r="C595" s="2" t="s">
        <v>592</v>
      </c>
      <c r="D595" s="35">
        <f t="shared" si="466"/>
        <v>0.17768997308595316</v>
      </c>
      <c r="E595" s="35">
        <f t="shared" si="465"/>
        <v>0.15646258503401361</v>
      </c>
      <c r="F595" s="35">
        <f t="shared" si="465"/>
        <v>0.13777307963354474</v>
      </c>
      <c r="G595" s="35">
        <f t="shared" si="465"/>
        <v>0.19720279720279721</v>
      </c>
      <c r="H595" s="35">
        <f t="shared" si="465"/>
        <v>0.21568627450980393</v>
      </c>
      <c r="I595" s="35">
        <f t="shared" si="465"/>
        <v>0.12</v>
      </c>
      <c r="J595" s="35">
        <f t="shared" si="465"/>
        <v>0.16867469879518071</v>
      </c>
      <c r="K595" s="35">
        <f t="shared" si="465"/>
        <v>0.19094488188976377</v>
      </c>
      <c r="L595" s="35">
        <f t="shared" si="465"/>
        <v>0.17788461538461539</v>
      </c>
      <c r="M595" s="35">
        <f t="shared" si="465"/>
        <v>0.25333333333333335</v>
      </c>
      <c r="N595" s="35">
        <f t="shared" si="465"/>
        <v>0.138996138996139</v>
      </c>
      <c r="O595" s="35">
        <f t="shared" si="465"/>
        <v>0.252</v>
      </c>
      <c r="P595" s="35">
        <f t="shared" si="465"/>
        <v>0.31111111111111112</v>
      </c>
      <c r="Q595" s="35">
        <f t="shared" si="465"/>
        <v>0.36544850498338871</v>
      </c>
      <c r="R595" s="35">
        <f t="shared" si="465"/>
        <v>0.15149544863459039</v>
      </c>
      <c r="S595" s="35">
        <f t="shared" si="465"/>
        <v>0.36238532110091742</v>
      </c>
      <c r="T595" s="35">
        <f t="shared" si="465"/>
        <v>0.29158110882956878</v>
      </c>
      <c r="U595" s="35">
        <f t="shared" si="465"/>
        <v>0.30705394190871371</v>
      </c>
      <c r="V595" s="35">
        <f t="shared" si="465"/>
        <v>0.21755725190839695</v>
      </c>
      <c r="W595" s="35">
        <f t="shared" si="465"/>
        <v>0.24209245742092458</v>
      </c>
      <c r="X595" s="35">
        <f t="shared" si="465"/>
        <v>0.16923076923076924</v>
      </c>
      <c r="Y595" s="35">
        <f t="shared" si="465"/>
        <v>0.26666666666666666</v>
      </c>
      <c r="Z595" s="35">
        <f t="shared" si="465"/>
        <v>0.16279069767441862</v>
      </c>
      <c r="AA595" s="35">
        <f t="shared" si="465"/>
        <v>0.2129032258064516</v>
      </c>
      <c r="AB595" s="35">
        <f t="shared" si="465"/>
        <v>0.1464968152866242</v>
      </c>
      <c r="AC595" s="35">
        <f t="shared" si="465"/>
        <v>0.15517241379310345</v>
      </c>
      <c r="AD595" s="35">
        <f t="shared" si="465"/>
        <v>0.22666666666666666</v>
      </c>
    </row>
    <row r="596" spans="2:30">
      <c r="B596" s="200" t="s">
        <v>16</v>
      </c>
      <c r="C596" s="200" t="s">
        <v>592</v>
      </c>
      <c r="D596" s="145">
        <f t="shared" ref="D596:AD596" si="467">SUM(D589:D595)</f>
        <v>1</v>
      </c>
      <c r="E596" s="145">
        <f t="shared" si="467"/>
        <v>1</v>
      </c>
      <c r="F596" s="145">
        <f t="shared" si="467"/>
        <v>1</v>
      </c>
      <c r="G596" s="145">
        <f t="shared" si="467"/>
        <v>1</v>
      </c>
      <c r="H596" s="145">
        <f t="shared" si="467"/>
        <v>1</v>
      </c>
      <c r="I596" s="145">
        <f t="shared" si="467"/>
        <v>0.99999999999999989</v>
      </c>
      <c r="J596" s="145">
        <f t="shared" si="467"/>
        <v>1</v>
      </c>
      <c r="K596" s="145">
        <f t="shared" si="467"/>
        <v>0.99999999999999989</v>
      </c>
      <c r="L596" s="145">
        <f t="shared" si="467"/>
        <v>1</v>
      </c>
      <c r="M596" s="145">
        <f t="shared" si="467"/>
        <v>1</v>
      </c>
      <c r="N596" s="145">
        <f t="shared" si="467"/>
        <v>1</v>
      </c>
      <c r="O596" s="145">
        <f t="shared" si="467"/>
        <v>1</v>
      </c>
      <c r="P596" s="145">
        <f t="shared" si="467"/>
        <v>1</v>
      </c>
      <c r="Q596" s="145">
        <f t="shared" si="467"/>
        <v>1</v>
      </c>
      <c r="R596" s="145">
        <f t="shared" si="467"/>
        <v>1</v>
      </c>
      <c r="S596" s="145">
        <f t="shared" si="467"/>
        <v>1</v>
      </c>
      <c r="T596" s="145">
        <f t="shared" si="467"/>
        <v>1</v>
      </c>
      <c r="U596" s="145">
        <f t="shared" si="467"/>
        <v>1</v>
      </c>
      <c r="V596" s="145">
        <f t="shared" si="467"/>
        <v>0.99999999999999989</v>
      </c>
      <c r="W596" s="145">
        <f t="shared" si="467"/>
        <v>1</v>
      </c>
      <c r="X596" s="145">
        <f t="shared" si="467"/>
        <v>1</v>
      </c>
      <c r="Y596" s="145">
        <f t="shared" si="467"/>
        <v>1</v>
      </c>
      <c r="Z596" s="145">
        <f t="shared" si="467"/>
        <v>1</v>
      </c>
      <c r="AA596" s="145">
        <f t="shared" si="467"/>
        <v>1</v>
      </c>
      <c r="AB596" s="145">
        <f t="shared" si="467"/>
        <v>1</v>
      </c>
      <c r="AC596" s="145">
        <f t="shared" si="467"/>
        <v>1</v>
      </c>
      <c r="AD596" s="145">
        <f t="shared" si="467"/>
        <v>1</v>
      </c>
    </row>
    <row r="597" spans="2:30">
      <c r="B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c r="AC597" s="201"/>
      <c r="AD597" s="201"/>
    </row>
    <row r="598" spans="2:30">
      <c r="B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c r="AC598" s="201"/>
      <c r="AD598" s="201"/>
    </row>
    <row r="599" spans="2:30">
      <c r="B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c r="AC599" s="201"/>
      <c r="AD599" s="201"/>
    </row>
    <row r="600" spans="2:30" ht="15.6">
      <c r="B600" s="167" t="s">
        <v>643</v>
      </c>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c r="AC600" s="201"/>
      <c r="AD600" s="201"/>
    </row>
    <row r="601" spans="2:30">
      <c r="B601" s="114" t="s">
        <v>588</v>
      </c>
      <c r="C601" s="114" t="s">
        <v>63</v>
      </c>
      <c r="D601" s="114" t="str">
        <f>D588</f>
        <v>IE</v>
      </c>
      <c r="E601" s="114" t="str">
        <f t="shared" ref="E601:AD601" si="468">E588</f>
        <v>IE-CW</v>
      </c>
      <c r="F601" s="114" t="str">
        <f t="shared" si="468"/>
        <v>IE-D</v>
      </c>
      <c r="G601" s="114" t="str">
        <f t="shared" si="468"/>
        <v>IE-KE</v>
      </c>
      <c r="H601" s="114" t="str">
        <f t="shared" si="468"/>
        <v>IE-KK</v>
      </c>
      <c r="I601" s="114" t="str">
        <f t="shared" si="468"/>
        <v>IE-LS</v>
      </c>
      <c r="J601" s="114" t="str">
        <f t="shared" si="468"/>
        <v>IE-LD</v>
      </c>
      <c r="K601" s="114" t="str">
        <f t="shared" si="468"/>
        <v>IE-LH</v>
      </c>
      <c r="L601" s="114" t="str">
        <f t="shared" si="468"/>
        <v>IE-MH</v>
      </c>
      <c r="M601" s="114" t="str">
        <f t="shared" si="468"/>
        <v>IE-OY</v>
      </c>
      <c r="N601" s="114" t="str">
        <f t="shared" si="468"/>
        <v>IE-WH</v>
      </c>
      <c r="O601" s="114" t="str">
        <f t="shared" si="468"/>
        <v>IE-WX</v>
      </c>
      <c r="P601" s="114" t="str">
        <f t="shared" si="468"/>
        <v>IE-WW</v>
      </c>
      <c r="Q601" s="114" t="str">
        <f t="shared" si="468"/>
        <v>IE-CE</v>
      </c>
      <c r="R601" s="114" t="str">
        <f t="shared" si="468"/>
        <v>IE-CO</v>
      </c>
      <c r="S601" s="114" t="str">
        <f t="shared" si="468"/>
        <v>IE-KY</v>
      </c>
      <c r="T601" s="114" t="str">
        <f t="shared" si="468"/>
        <v>IE-LK</v>
      </c>
      <c r="U601" s="114" t="str">
        <f t="shared" si="468"/>
        <v>IE-TA</v>
      </c>
      <c r="V601" s="114" t="str">
        <f t="shared" si="468"/>
        <v>IE-WD</v>
      </c>
      <c r="W601" s="114" t="str">
        <f t="shared" si="468"/>
        <v>IE-G</v>
      </c>
      <c r="X601" s="114" t="str">
        <f t="shared" si="468"/>
        <v>IE-LM</v>
      </c>
      <c r="Y601" s="114" t="str">
        <f t="shared" si="468"/>
        <v>IE-MO</v>
      </c>
      <c r="Z601" s="114" t="str">
        <f t="shared" si="468"/>
        <v>IE-RN</v>
      </c>
      <c r="AA601" s="114" t="str">
        <f t="shared" si="468"/>
        <v>IE-SO</v>
      </c>
      <c r="AB601" s="114" t="str">
        <f t="shared" si="468"/>
        <v>IE-CN</v>
      </c>
      <c r="AC601" s="114" t="str">
        <f t="shared" si="468"/>
        <v>IE-DL</v>
      </c>
      <c r="AD601" s="114" t="str">
        <f t="shared" si="468"/>
        <v>IE-MN</v>
      </c>
    </row>
    <row r="602" spans="2:30">
      <c r="B602" s="201" t="s">
        <v>332</v>
      </c>
      <c r="C602" s="201" t="s">
        <v>593</v>
      </c>
      <c r="D602" s="247">
        <v>1.376629219195896</v>
      </c>
      <c r="E602" s="247">
        <v>1.376629219195896</v>
      </c>
      <c r="F602" s="247">
        <v>1.376629219195896</v>
      </c>
      <c r="G602" s="247">
        <v>1.376629219195896</v>
      </c>
      <c r="H602" s="247">
        <v>1.376629219195896</v>
      </c>
      <c r="I602" s="247">
        <v>1.376629219195896</v>
      </c>
      <c r="J602" s="247">
        <v>1.376629219195896</v>
      </c>
      <c r="K602" s="247">
        <v>1.376629219195896</v>
      </c>
      <c r="L602" s="247">
        <v>1.376629219195896</v>
      </c>
      <c r="M602" s="247">
        <v>1.376629219195896</v>
      </c>
      <c r="N602" s="247">
        <v>1.376629219195896</v>
      </c>
      <c r="O602" s="247">
        <v>1.376629219195896</v>
      </c>
      <c r="P602" s="247">
        <v>1.376629219195896</v>
      </c>
      <c r="Q602" s="247">
        <v>1.376629219195896</v>
      </c>
      <c r="R602" s="247">
        <v>1.376629219195896</v>
      </c>
      <c r="S602" s="247">
        <v>1.376629219195896</v>
      </c>
      <c r="T602" s="247">
        <v>1.376629219195896</v>
      </c>
      <c r="U602" s="247">
        <v>1.376629219195896</v>
      </c>
      <c r="V602" s="247">
        <v>1.376629219195896</v>
      </c>
      <c r="W602" s="247">
        <v>1.376629219195896</v>
      </c>
      <c r="X602" s="247">
        <v>1.376629219195896</v>
      </c>
      <c r="Y602" s="247">
        <v>1.376629219195896</v>
      </c>
      <c r="Z602" s="247">
        <v>1.376629219195896</v>
      </c>
      <c r="AA602" s="247">
        <v>1.376629219195896</v>
      </c>
      <c r="AB602" s="247">
        <v>1.376629219195896</v>
      </c>
      <c r="AC602" s="247">
        <v>1.376629219195896</v>
      </c>
      <c r="AD602" s="247">
        <v>1.376629219195896</v>
      </c>
    </row>
    <row r="603" spans="2:30">
      <c r="B603" s="201" t="s">
        <v>333</v>
      </c>
      <c r="C603" s="201" t="s">
        <v>593</v>
      </c>
      <c r="D603" s="247">
        <v>1.3798479828493471</v>
      </c>
      <c r="E603" s="247">
        <v>1.3798479828493471</v>
      </c>
      <c r="F603" s="247">
        <v>1.3798479828493471</v>
      </c>
      <c r="G603" s="247">
        <v>1.3798479828493471</v>
      </c>
      <c r="H603" s="247">
        <v>1.3798479828493471</v>
      </c>
      <c r="I603" s="247">
        <v>1.3798479828493471</v>
      </c>
      <c r="J603" s="247">
        <v>1.3798479828493471</v>
      </c>
      <c r="K603" s="247">
        <v>1.3798479828493471</v>
      </c>
      <c r="L603" s="247">
        <v>1.3798479828493471</v>
      </c>
      <c r="M603" s="247">
        <v>1.3798479828493471</v>
      </c>
      <c r="N603" s="247">
        <v>1.3798479828493471</v>
      </c>
      <c r="O603" s="247">
        <v>1.3798479828493471</v>
      </c>
      <c r="P603" s="247">
        <v>1.3798479828493471</v>
      </c>
      <c r="Q603" s="247">
        <v>1.3798479828493471</v>
      </c>
      <c r="R603" s="247">
        <v>1.3798479828493471</v>
      </c>
      <c r="S603" s="247">
        <v>1.3798479828493471</v>
      </c>
      <c r="T603" s="247">
        <v>1.3798479828493471</v>
      </c>
      <c r="U603" s="247">
        <v>1.3798479828493471</v>
      </c>
      <c r="V603" s="247">
        <v>1.3798479828493471</v>
      </c>
      <c r="W603" s="247">
        <v>1.3798479828493471</v>
      </c>
      <c r="X603" s="247">
        <v>1.3798479828493471</v>
      </c>
      <c r="Y603" s="247">
        <v>1.3798479828493471</v>
      </c>
      <c r="Z603" s="247">
        <v>1.3798479828493471</v>
      </c>
      <c r="AA603" s="247">
        <v>1.3798479828493471</v>
      </c>
      <c r="AB603" s="247">
        <v>1.3798479828493471</v>
      </c>
      <c r="AC603" s="247">
        <v>1.3798479828493471</v>
      </c>
      <c r="AD603" s="247">
        <v>1.3798479828493471</v>
      </c>
    </row>
    <row r="604" spans="2:30">
      <c r="B604" s="201" t="s">
        <v>334</v>
      </c>
      <c r="C604" s="201" t="s">
        <v>593</v>
      </c>
      <c r="D604" s="247">
        <v>1.4199749047648353</v>
      </c>
      <c r="E604" s="247">
        <v>1.4199749047648353</v>
      </c>
      <c r="F604" s="247">
        <v>1.4199749047648353</v>
      </c>
      <c r="G604" s="247">
        <v>1.4199749047648353</v>
      </c>
      <c r="H604" s="247">
        <v>1.4199749047648353</v>
      </c>
      <c r="I604" s="247">
        <v>1.4199749047648353</v>
      </c>
      <c r="J604" s="247">
        <v>1.4199749047648353</v>
      </c>
      <c r="K604" s="247">
        <v>1.4199749047648353</v>
      </c>
      <c r="L604" s="247">
        <v>1.4199749047648353</v>
      </c>
      <c r="M604" s="247">
        <v>1.4199749047648353</v>
      </c>
      <c r="N604" s="247">
        <v>1.4199749047648353</v>
      </c>
      <c r="O604" s="247">
        <v>1.4199749047648353</v>
      </c>
      <c r="P604" s="247">
        <v>1.4199749047648353</v>
      </c>
      <c r="Q604" s="247">
        <v>1.4199749047648353</v>
      </c>
      <c r="R604" s="247">
        <v>1.4199749047648353</v>
      </c>
      <c r="S604" s="247">
        <v>1.4199749047648353</v>
      </c>
      <c r="T604" s="247">
        <v>1.4199749047648353</v>
      </c>
      <c r="U604" s="247">
        <v>1.4199749047648353</v>
      </c>
      <c r="V604" s="247">
        <v>1.4199749047648353</v>
      </c>
      <c r="W604" s="247">
        <v>1.4199749047648353</v>
      </c>
      <c r="X604" s="247">
        <v>1.4199749047648353</v>
      </c>
      <c r="Y604" s="247">
        <v>1.4199749047648353</v>
      </c>
      <c r="Z604" s="247">
        <v>1.4199749047648353</v>
      </c>
      <c r="AA604" s="247">
        <v>1.4199749047648353</v>
      </c>
      <c r="AB604" s="247">
        <v>1.4199749047648353</v>
      </c>
      <c r="AC604" s="247">
        <v>1.4199749047648353</v>
      </c>
      <c r="AD604" s="247">
        <v>1.4199749047648353</v>
      </c>
    </row>
    <row r="605" spans="2:30">
      <c r="B605" s="201" t="s">
        <v>335</v>
      </c>
      <c r="C605" s="201" t="s">
        <v>593</v>
      </c>
      <c r="D605" s="247">
        <v>1.4290054727038648</v>
      </c>
      <c r="E605" s="247">
        <v>1.4290054727038648</v>
      </c>
      <c r="F605" s="247">
        <v>1.4290054727038648</v>
      </c>
      <c r="G605" s="247">
        <v>1.4290054727038648</v>
      </c>
      <c r="H605" s="247">
        <v>1.4290054727038648</v>
      </c>
      <c r="I605" s="247">
        <v>1.4290054727038648</v>
      </c>
      <c r="J605" s="247">
        <v>1.4290054727038648</v>
      </c>
      <c r="K605" s="247">
        <v>1.4290054727038648</v>
      </c>
      <c r="L605" s="247">
        <v>1.4290054727038648</v>
      </c>
      <c r="M605" s="247">
        <v>1.4290054727038648</v>
      </c>
      <c r="N605" s="247">
        <v>1.4290054727038648</v>
      </c>
      <c r="O605" s="247">
        <v>1.4290054727038648</v>
      </c>
      <c r="P605" s="247">
        <v>1.4290054727038648</v>
      </c>
      <c r="Q605" s="247">
        <v>1.4290054727038648</v>
      </c>
      <c r="R605" s="247">
        <v>1.4290054727038648</v>
      </c>
      <c r="S605" s="247">
        <v>1.4290054727038648</v>
      </c>
      <c r="T605" s="247">
        <v>1.4290054727038648</v>
      </c>
      <c r="U605" s="247">
        <v>1.4290054727038648</v>
      </c>
      <c r="V605" s="247">
        <v>1.4290054727038648</v>
      </c>
      <c r="W605" s="247">
        <v>1.4290054727038648</v>
      </c>
      <c r="X605" s="247">
        <v>1.4290054727038648</v>
      </c>
      <c r="Y605" s="247">
        <v>1.4290054727038648</v>
      </c>
      <c r="Z605" s="247">
        <v>1.4290054727038648</v>
      </c>
      <c r="AA605" s="247">
        <v>1.4290054727038648</v>
      </c>
      <c r="AB605" s="247">
        <v>1.4290054727038648</v>
      </c>
      <c r="AC605" s="247">
        <v>1.4290054727038648</v>
      </c>
      <c r="AD605" s="247">
        <v>1.4290054727038648</v>
      </c>
    </row>
    <row r="606" spans="2:30">
      <c r="B606" s="201" t="s">
        <v>336</v>
      </c>
      <c r="C606" s="201" t="s">
        <v>593</v>
      </c>
      <c r="D606" s="247">
        <v>1.6214274500716734</v>
      </c>
      <c r="E606" s="247">
        <v>1.6214274500716734</v>
      </c>
      <c r="F606" s="247">
        <v>1.6214274500716734</v>
      </c>
      <c r="G606" s="247">
        <v>1.6214274500716734</v>
      </c>
      <c r="H606" s="247">
        <v>1.6214274500716734</v>
      </c>
      <c r="I606" s="247">
        <v>1.6214274500716734</v>
      </c>
      <c r="J606" s="247">
        <v>1.6214274500716734</v>
      </c>
      <c r="K606" s="247">
        <v>1.6214274500716734</v>
      </c>
      <c r="L606" s="247">
        <v>1.6214274500716734</v>
      </c>
      <c r="M606" s="247">
        <v>1.6214274500716734</v>
      </c>
      <c r="N606" s="247">
        <v>1.6214274500716734</v>
      </c>
      <c r="O606" s="247">
        <v>1.6214274500716734</v>
      </c>
      <c r="P606" s="247">
        <v>1.6214274500716734</v>
      </c>
      <c r="Q606" s="247">
        <v>1.6214274500716734</v>
      </c>
      <c r="R606" s="247">
        <v>1.6214274500716734</v>
      </c>
      <c r="S606" s="247">
        <v>1.6214274500716734</v>
      </c>
      <c r="T606" s="247">
        <v>1.6214274500716734</v>
      </c>
      <c r="U606" s="247">
        <v>1.6214274500716734</v>
      </c>
      <c r="V606" s="247">
        <v>1.6214274500716734</v>
      </c>
      <c r="W606" s="247">
        <v>1.6214274500716734</v>
      </c>
      <c r="X606" s="247">
        <v>1.6214274500716734</v>
      </c>
      <c r="Y606" s="247">
        <v>1.6214274500716734</v>
      </c>
      <c r="Z606" s="247">
        <v>1.6214274500716734</v>
      </c>
      <c r="AA606" s="247">
        <v>1.6214274500716734</v>
      </c>
      <c r="AB606" s="247">
        <v>1.6214274500716734</v>
      </c>
      <c r="AC606" s="247">
        <v>1.6214274500716734</v>
      </c>
      <c r="AD606" s="247">
        <v>1.6214274500716734</v>
      </c>
    </row>
    <row r="607" spans="2:30">
      <c r="B607" s="201" t="s">
        <v>337</v>
      </c>
      <c r="C607" s="201" t="s">
        <v>593</v>
      </c>
      <c r="D607" s="247">
        <v>1.7083807871715502</v>
      </c>
      <c r="E607" s="247">
        <v>1.7083807871715502</v>
      </c>
      <c r="F607" s="247">
        <v>1.7083807871715502</v>
      </c>
      <c r="G607" s="247">
        <v>1.7083807871715502</v>
      </c>
      <c r="H607" s="247">
        <v>1.7083807871715502</v>
      </c>
      <c r="I607" s="247">
        <v>1.7083807871715502</v>
      </c>
      <c r="J607" s="247">
        <v>1.7083807871715502</v>
      </c>
      <c r="K607" s="247">
        <v>1.7083807871715502</v>
      </c>
      <c r="L607" s="247">
        <v>1.7083807871715502</v>
      </c>
      <c r="M607" s="247">
        <v>1.7083807871715502</v>
      </c>
      <c r="N607" s="247">
        <v>1.7083807871715502</v>
      </c>
      <c r="O607" s="247">
        <v>1.7083807871715502</v>
      </c>
      <c r="P607" s="247">
        <v>1.7083807871715502</v>
      </c>
      <c r="Q607" s="247">
        <v>1.7083807871715502</v>
      </c>
      <c r="R607" s="247">
        <v>1.7083807871715502</v>
      </c>
      <c r="S607" s="247">
        <v>1.7083807871715502</v>
      </c>
      <c r="T607" s="247">
        <v>1.7083807871715502</v>
      </c>
      <c r="U607" s="247">
        <v>1.7083807871715502</v>
      </c>
      <c r="V607" s="247">
        <v>1.7083807871715502</v>
      </c>
      <c r="W607" s="247">
        <v>1.7083807871715502</v>
      </c>
      <c r="X607" s="247">
        <v>1.7083807871715502</v>
      </c>
      <c r="Y607" s="247">
        <v>1.7083807871715502</v>
      </c>
      <c r="Z607" s="247">
        <v>1.7083807871715502</v>
      </c>
      <c r="AA607" s="247">
        <v>1.7083807871715502</v>
      </c>
      <c r="AB607" s="247">
        <v>1.7083807871715502</v>
      </c>
      <c r="AC607" s="247">
        <v>1.7083807871715502</v>
      </c>
      <c r="AD607" s="247">
        <v>1.7083807871715502</v>
      </c>
    </row>
    <row r="608" spans="2:30">
      <c r="B608" s="200" t="s">
        <v>338</v>
      </c>
      <c r="C608" s="200" t="s">
        <v>593</v>
      </c>
      <c r="D608" s="248">
        <v>1.8833978763305677</v>
      </c>
      <c r="E608" s="248">
        <v>1.8833978763305677</v>
      </c>
      <c r="F608" s="248">
        <v>1.8833978763305677</v>
      </c>
      <c r="G608" s="248">
        <v>1.8833978763305677</v>
      </c>
      <c r="H608" s="248">
        <v>1.8833978763305677</v>
      </c>
      <c r="I608" s="248">
        <v>1.8833978763305677</v>
      </c>
      <c r="J608" s="248">
        <v>1.8833978763305677</v>
      </c>
      <c r="K608" s="248">
        <v>1.8833978763305677</v>
      </c>
      <c r="L608" s="248">
        <v>1.8833978763305677</v>
      </c>
      <c r="M608" s="248">
        <v>1.8833978763305677</v>
      </c>
      <c r="N608" s="248">
        <v>1.8833978763305677</v>
      </c>
      <c r="O608" s="248">
        <v>1.8833978763305677</v>
      </c>
      <c r="P608" s="248">
        <v>1.8833978763305677</v>
      </c>
      <c r="Q608" s="248">
        <v>1.8833978763305677</v>
      </c>
      <c r="R608" s="248">
        <v>1.8833978763305677</v>
      </c>
      <c r="S608" s="248">
        <v>1.8833978763305677</v>
      </c>
      <c r="T608" s="248">
        <v>1.8833978763305677</v>
      </c>
      <c r="U608" s="248">
        <v>1.8833978763305677</v>
      </c>
      <c r="V608" s="248">
        <v>1.8833978763305677</v>
      </c>
      <c r="W608" s="248">
        <v>1.8833978763305677</v>
      </c>
      <c r="X608" s="248">
        <v>1.8833978763305677</v>
      </c>
      <c r="Y608" s="248">
        <v>1.8833978763305677</v>
      </c>
      <c r="Z608" s="248">
        <v>1.8833978763305677</v>
      </c>
      <c r="AA608" s="248">
        <v>1.8833978763305677</v>
      </c>
      <c r="AB608" s="248">
        <v>1.8833978763305677</v>
      </c>
      <c r="AC608" s="248">
        <v>1.8833978763305677</v>
      </c>
      <c r="AD608" s="248">
        <v>1.8833978763305677</v>
      </c>
    </row>
    <row r="609" spans="2:30">
      <c r="B609" s="252" t="s">
        <v>597</v>
      </c>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c r="AC609" s="201"/>
      <c r="AD609" s="201"/>
    </row>
    <row r="610" spans="2:30">
      <c r="B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c r="AC610" s="201"/>
      <c r="AD610" s="201"/>
    </row>
    <row r="611" spans="2:30">
      <c r="B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ht="15.6">
      <c r="B613" s="167" t="s">
        <v>643</v>
      </c>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114" t="s">
        <v>588</v>
      </c>
      <c r="C614" s="114" t="s">
        <v>63</v>
      </c>
      <c r="D614" s="114" t="str">
        <f t="shared" ref="D614:AD614" si="469">D601</f>
        <v>IE</v>
      </c>
      <c r="E614" s="114" t="str">
        <f t="shared" si="469"/>
        <v>IE-CW</v>
      </c>
      <c r="F614" s="114" t="str">
        <f t="shared" si="469"/>
        <v>IE-D</v>
      </c>
      <c r="G614" s="114" t="str">
        <f t="shared" si="469"/>
        <v>IE-KE</v>
      </c>
      <c r="H614" s="114" t="str">
        <f t="shared" si="469"/>
        <v>IE-KK</v>
      </c>
      <c r="I614" s="114" t="str">
        <f t="shared" si="469"/>
        <v>IE-LS</v>
      </c>
      <c r="J614" s="114" t="str">
        <f t="shared" si="469"/>
        <v>IE-LD</v>
      </c>
      <c r="K614" s="114" t="str">
        <f t="shared" si="469"/>
        <v>IE-LH</v>
      </c>
      <c r="L614" s="114" t="str">
        <f t="shared" si="469"/>
        <v>IE-MH</v>
      </c>
      <c r="M614" s="114" t="str">
        <f t="shared" si="469"/>
        <v>IE-OY</v>
      </c>
      <c r="N614" s="114" t="str">
        <f t="shared" si="469"/>
        <v>IE-WH</v>
      </c>
      <c r="O614" s="114" t="str">
        <f t="shared" si="469"/>
        <v>IE-WX</v>
      </c>
      <c r="P614" s="114" t="str">
        <f t="shared" si="469"/>
        <v>IE-WW</v>
      </c>
      <c r="Q614" s="114" t="str">
        <f t="shared" si="469"/>
        <v>IE-CE</v>
      </c>
      <c r="R614" s="114" t="str">
        <f t="shared" si="469"/>
        <v>IE-CO</v>
      </c>
      <c r="S614" s="114" t="str">
        <f t="shared" si="469"/>
        <v>IE-KY</v>
      </c>
      <c r="T614" s="114" t="str">
        <f t="shared" si="469"/>
        <v>IE-LK</v>
      </c>
      <c r="U614" s="114" t="str">
        <f t="shared" si="469"/>
        <v>IE-TA</v>
      </c>
      <c r="V614" s="114" t="str">
        <f t="shared" si="469"/>
        <v>IE-WD</v>
      </c>
      <c r="W614" s="114" t="str">
        <f t="shared" si="469"/>
        <v>IE-G</v>
      </c>
      <c r="X614" s="114" t="str">
        <f t="shared" si="469"/>
        <v>IE-LM</v>
      </c>
      <c r="Y614" s="114" t="str">
        <f t="shared" si="469"/>
        <v>IE-MO</v>
      </c>
      <c r="Z614" s="114" t="str">
        <f t="shared" si="469"/>
        <v>IE-RN</v>
      </c>
      <c r="AA614" s="114" t="str">
        <f t="shared" si="469"/>
        <v>IE-SO</v>
      </c>
      <c r="AB614" s="114" t="str">
        <f t="shared" si="469"/>
        <v>IE-CN</v>
      </c>
      <c r="AC614" s="114" t="str">
        <f t="shared" si="469"/>
        <v>IE-DL</v>
      </c>
      <c r="AD614" s="114" t="str">
        <f t="shared" si="469"/>
        <v>IE-MN</v>
      </c>
    </row>
    <row r="615" spans="2:30">
      <c r="B615" s="201" t="s">
        <v>609</v>
      </c>
      <c r="C615" s="201" t="s">
        <v>593</v>
      </c>
      <c r="D615" s="247">
        <f t="shared" ref="D615:W615" si="470">SUMPRODUCT(D589:D595,D602:D608)</f>
        <v>1.648925343582121</v>
      </c>
      <c r="E615" s="247">
        <f t="shared" si="470"/>
        <v>1.6524583011555254</v>
      </c>
      <c r="F615" s="247">
        <f t="shared" si="470"/>
        <v>1.6271397950310984</v>
      </c>
      <c r="G615" s="247">
        <f t="shared" si="470"/>
        <v>1.6511468175123767</v>
      </c>
      <c r="H615" s="247">
        <f t="shared" si="470"/>
        <v>1.6385501018322151</v>
      </c>
      <c r="I615" s="247">
        <f t="shared" si="470"/>
        <v>1.6238424089265415</v>
      </c>
      <c r="J615" s="247">
        <f t="shared" si="470"/>
        <v>1.677428598292477</v>
      </c>
      <c r="K615" s="247">
        <f t="shared" si="470"/>
        <v>1.6694890113588812</v>
      </c>
      <c r="L615" s="247">
        <f t="shared" si="470"/>
        <v>1.6505331198860089</v>
      </c>
      <c r="M615" s="247">
        <f t="shared" si="470"/>
        <v>1.7001121374983212</v>
      </c>
      <c r="N615" s="247">
        <f t="shared" si="470"/>
        <v>1.6512788202093285</v>
      </c>
      <c r="O615" s="247">
        <f t="shared" si="470"/>
        <v>1.670434058756276</v>
      </c>
      <c r="P615" s="247">
        <f t="shared" si="470"/>
        <v>1.6967664365886974</v>
      </c>
      <c r="Q615" s="247">
        <f t="shared" si="470"/>
        <v>1.7200478523770075</v>
      </c>
      <c r="R615" s="247">
        <f t="shared" si="470"/>
        <v>1.6445789749275215</v>
      </c>
      <c r="S615" s="247">
        <f t="shared" si="470"/>
        <v>1.7242968356934796</v>
      </c>
      <c r="T615" s="247">
        <f t="shared" si="470"/>
        <v>1.6968601340469815</v>
      </c>
      <c r="U615" s="247">
        <f t="shared" si="470"/>
        <v>1.7139490008680254</v>
      </c>
      <c r="V615" s="247">
        <f t="shared" si="470"/>
        <v>1.6512263066063597</v>
      </c>
      <c r="W615" s="247">
        <f t="shared" si="470"/>
        <v>1.6828515427733044</v>
      </c>
      <c r="X615" s="247">
        <f>D615</f>
        <v>1.648925343582121</v>
      </c>
      <c r="Y615" s="247">
        <f t="shared" ref="Y615:AD615" si="471">SUMPRODUCT(Y589:Y595,Y602:Y608)</f>
        <v>1.6948882841522495</v>
      </c>
      <c r="Z615" s="247">
        <f t="shared" si="471"/>
        <v>1.6641292488454651</v>
      </c>
      <c r="AA615" s="247">
        <f t="shared" si="471"/>
        <v>1.6562047937936228</v>
      </c>
      <c r="AB615" s="247">
        <f t="shared" si="471"/>
        <v>1.6539502918479294</v>
      </c>
      <c r="AC615" s="247">
        <f t="shared" si="471"/>
        <v>1.6800017739116448</v>
      </c>
      <c r="AD615" s="247">
        <f t="shared" si="471"/>
        <v>1.691016886659392</v>
      </c>
    </row>
    <row r="616" spans="2:30">
      <c r="B616" s="200"/>
      <c r="C616" s="200" t="s">
        <v>581</v>
      </c>
      <c r="D616" s="250">
        <f>1000/D615</f>
        <v>606.45559478611847</v>
      </c>
      <c r="E616" s="250">
        <f>1000/E615</f>
        <v>605.15899209119129</v>
      </c>
      <c r="F616" s="250">
        <f>1000/F615</f>
        <v>614.57534445028284</v>
      </c>
      <c r="G616" s="250">
        <f>1000/G615</f>
        <v>605.63966171500329</v>
      </c>
      <c r="H616" s="250">
        <f t="shared" ref="H616" si="472">1000/H615</f>
        <v>610.29565033245376</v>
      </c>
      <c r="I616" s="250">
        <f t="shared" ref="I616" si="473">1000/I615</f>
        <v>615.82330557622322</v>
      </c>
      <c r="J616" s="250">
        <f t="shared" ref="J616" si="474">1000/J615</f>
        <v>596.15056105394933</v>
      </c>
      <c r="K616" s="250">
        <f t="shared" ref="K616" si="475">1000/K615</f>
        <v>598.9856735780786</v>
      </c>
      <c r="L616" s="250">
        <f t="shared" ref="L616" si="476">1000/L615</f>
        <v>605.86484933368877</v>
      </c>
      <c r="M616" s="250">
        <f t="shared" ref="M616" si="477">1000/M615</f>
        <v>588.19649477444398</v>
      </c>
      <c r="N616" s="250">
        <f t="shared" ref="N616" si="478">1000/N615</f>
        <v>605.59124707554383</v>
      </c>
      <c r="O616" s="250">
        <f t="shared" ref="O616" si="479">1000/O615</f>
        <v>598.64679767398388</v>
      </c>
      <c r="P616" s="250">
        <f t="shared" ref="P616" si="480">1000/P615</f>
        <v>589.35630646400148</v>
      </c>
      <c r="Q616" s="250">
        <f t="shared" ref="Q616" si="481">1000/Q615</f>
        <v>581.3791742003325</v>
      </c>
      <c r="R616" s="250">
        <f t="shared" ref="R616" si="482">1000/R615</f>
        <v>608.05836341430256</v>
      </c>
      <c r="S616" s="250">
        <f t="shared" ref="S616" si="483">1000/S615</f>
        <v>579.94654939897225</v>
      </c>
      <c r="T616" s="250">
        <f t="shared" ref="T616" si="484">1000/T615</f>
        <v>589.32376330571071</v>
      </c>
      <c r="U616" s="250">
        <f t="shared" ref="U616" si="485">1000/U615</f>
        <v>583.44793193586997</v>
      </c>
      <c r="V616" s="250">
        <f t="shared" ref="V616" si="486">1000/V615</f>
        <v>605.6105065666161</v>
      </c>
      <c r="W616" s="250">
        <f t="shared" ref="W616" si="487">1000/W615</f>
        <v>594.2294816760965</v>
      </c>
      <c r="X616" s="250">
        <f t="shared" ref="X616" si="488">1000/X615</f>
        <v>606.45559478611847</v>
      </c>
      <c r="Y616" s="250">
        <f t="shared" ref="Y616" si="489">1000/Y615</f>
        <v>590.00938843599408</v>
      </c>
      <c r="Z616" s="250">
        <f t="shared" ref="Z616" si="490">1000/Z615</f>
        <v>600.914863249821</v>
      </c>
      <c r="AA616" s="250">
        <f t="shared" ref="AA616" si="491">1000/AA615</f>
        <v>603.79006494085081</v>
      </c>
      <c r="AB616" s="250">
        <f t="shared" ref="AB616" si="492">1000/AB615</f>
        <v>604.61309201905806</v>
      </c>
      <c r="AC616" s="250">
        <f t="shared" ref="AC616" si="493">1000/AC615</f>
        <v>595.23746672697996</v>
      </c>
      <c r="AD616" s="250">
        <f t="shared" ref="AD616" si="494">1000/AD615</f>
        <v>591.36015014935924</v>
      </c>
    </row>
    <row r="620" spans="2:30">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row>
    <row r="621" spans="2:30" ht="15.6">
      <c r="B621" s="143" t="s">
        <v>644</v>
      </c>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c r="AC621" s="201"/>
      <c r="AD621" s="201"/>
    </row>
    <row r="622" spans="2:30">
      <c r="B622" s="114" t="s">
        <v>588</v>
      </c>
      <c r="C622" s="114" t="s">
        <v>63</v>
      </c>
      <c r="D622" s="114" t="str">
        <f t="shared" ref="D622:AD622" si="495">D614</f>
        <v>IE</v>
      </c>
      <c r="E622" s="114" t="str">
        <f t="shared" si="495"/>
        <v>IE-CW</v>
      </c>
      <c r="F622" s="114" t="str">
        <f t="shared" si="495"/>
        <v>IE-D</v>
      </c>
      <c r="G622" s="114" t="str">
        <f t="shared" si="495"/>
        <v>IE-KE</v>
      </c>
      <c r="H622" s="114" t="str">
        <f t="shared" si="495"/>
        <v>IE-KK</v>
      </c>
      <c r="I622" s="114" t="str">
        <f t="shared" si="495"/>
        <v>IE-LS</v>
      </c>
      <c r="J622" s="114" t="str">
        <f t="shared" si="495"/>
        <v>IE-LD</v>
      </c>
      <c r="K622" s="114" t="str">
        <f t="shared" si="495"/>
        <v>IE-LH</v>
      </c>
      <c r="L622" s="114" t="str">
        <f t="shared" si="495"/>
        <v>IE-MH</v>
      </c>
      <c r="M622" s="114" t="str">
        <f t="shared" si="495"/>
        <v>IE-OY</v>
      </c>
      <c r="N622" s="114" t="str">
        <f t="shared" si="495"/>
        <v>IE-WH</v>
      </c>
      <c r="O622" s="114" t="str">
        <f t="shared" si="495"/>
        <v>IE-WX</v>
      </c>
      <c r="P622" s="114" t="str">
        <f t="shared" si="495"/>
        <v>IE-WW</v>
      </c>
      <c r="Q622" s="114" t="str">
        <f t="shared" si="495"/>
        <v>IE-CE</v>
      </c>
      <c r="R622" s="114" t="str">
        <f t="shared" si="495"/>
        <v>IE-CO</v>
      </c>
      <c r="S622" s="114" t="str">
        <f t="shared" si="495"/>
        <v>IE-KY</v>
      </c>
      <c r="T622" s="114" t="str">
        <f t="shared" si="495"/>
        <v>IE-LK</v>
      </c>
      <c r="U622" s="114" t="str">
        <f t="shared" si="495"/>
        <v>IE-TA</v>
      </c>
      <c r="V622" s="114" t="str">
        <f t="shared" si="495"/>
        <v>IE-WD</v>
      </c>
      <c r="W622" s="114" t="str">
        <f t="shared" si="495"/>
        <v>IE-G</v>
      </c>
      <c r="X622" s="114" t="str">
        <f t="shared" si="495"/>
        <v>IE-LM</v>
      </c>
      <c r="Y622" s="114" t="str">
        <f t="shared" si="495"/>
        <v>IE-MO</v>
      </c>
      <c r="Z622" s="114" t="str">
        <f t="shared" si="495"/>
        <v>IE-RN</v>
      </c>
      <c r="AA622" s="114" t="str">
        <f t="shared" si="495"/>
        <v>IE-SO</v>
      </c>
      <c r="AB622" s="114" t="str">
        <f t="shared" si="495"/>
        <v>IE-CN</v>
      </c>
      <c r="AC622" s="114" t="str">
        <f t="shared" si="495"/>
        <v>IE-DL</v>
      </c>
      <c r="AD622" s="114" t="str">
        <f t="shared" si="495"/>
        <v>IE-MN</v>
      </c>
    </row>
    <row r="623" spans="2:30">
      <c r="B623" s="201" t="s">
        <v>332</v>
      </c>
      <c r="C623" s="201" t="s">
        <v>516</v>
      </c>
      <c r="D623" s="10">
        <f>SUM(E623:AD623)</f>
        <v>18</v>
      </c>
      <c r="E623" s="201">
        <v>0</v>
      </c>
      <c r="F623" s="201">
        <v>10</v>
      </c>
      <c r="G623" s="201">
        <v>0</v>
      </c>
      <c r="H623" s="201">
        <v>0</v>
      </c>
      <c r="I623" s="201">
        <v>2</v>
      </c>
      <c r="J623" s="201">
        <v>0</v>
      </c>
      <c r="K623" s="201">
        <v>0</v>
      </c>
      <c r="L623" s="201">
        <v>1</v>
      </c>
      <c r="M623" s="201">
        <v>0</v>
      </c>
      <c r="N623" s="201">
        <v>0</v>
      </c>
      <c r="O623" s="201">
        <v>0</v>
      </c>
      <c r="P623" s="201">
        <v>0</v>
      </c>
      <c r="Q623" s="201">
        <v>0</v>
      </c>
      <c r="R623" s="201">
        <v>3</v>
      </c>
      <c r="S623" s="201">
        <v>1</v>
      </c>
      <c r="T623" s="201">
        <v>0</v>
      </c>
      <c r="U623" s="201">
        <v>0</v>
      </c>
      <c r="V623" s="201">
        <v>0</v>
      </c>
      <c r="W623" s="201">
        <v>0</v>
      </c>
      <c r="X623" s="201">
        <v>0</v>
      </c>
      <c r="Y623" s="201">
        <v>0</v>
      </c>
      <c r="Z623" s="201">
        <v>0</v>
      </c>
      <c r="AA623" s="201">
        <v>0</v>
      </c>
      <c r="AB623" s="201">
        <v>1</v>
      </c>
      <c r="AC623" s="201">
        <v>0</v>
      </c>
      <c r="AD623" s="201">
        <v>0</v>
      </c>
    </row>
    <row r="624" spans="2:30">
      <c r="B624" s="201" t="s">
        <v>333</v>
      </c>
      <c r="C624" s="201" t="s">
        <v>516</v>
      </c>
      <c r="D624" s="10">
        <f t="shared" ref="D624:D629" si="496">SUM(E624:AD624)</f>
        <v>0</v>
      </c>
      <c r="E624" s="201">
        <v>0</v>
      </c>
      <c r="F624" s="201">
        <v>0</v>
      </c>
      <c r="G624" s="201">
        <v>0</v>
      </c>
      <c r="H624" s="201">
        <v>0</v>
      </c>
      <c r="I624" s="201">
        <v>0</v>
      </c>
      <c r="J624" s="201">
        <v>0</v>
      </c>
      <c r="K624" s="201">
        <v>0</v>
      </c>
      <c r="L624" s="201">
        <v>0</v>
      </c>
      <c r="M624" s="201">
        <v>0</v>
      </c>
      <c r="N624" s="201">
        <v>0</v>
      </c>
      <c r="O624" s="201">
        <v>0</v>
      </c>
      <c r="P624" s="201">
        <v>0</v>
      </c>
      <c r="Q624" s="201">
        <v>0</v>
      </c>
      <c r="R624" s="201">
        <v>0</v>
      </c>
      <c r="S624" s="201">
        <v>0</v>
      </c>
      <c r="T624" s="201">
        <v>0</v>
      </c>
      <c r="U624" s="201">
        <v>0</v>
      </c>
      <c r="V624" s="201">
        <v>0</v>
      </c>
      <c r="W624" s="201">
        <v>0</v>
      </c>
      <c r="X624" s="201">
        <v>0</v>
      </c>
      <c r="Y624" s="201">
        <v>0</v>
      </c>
      <c r="Z624" s="201">
        <v>0</v>
      </c>
      <c r="AA624" s="201">
        <v>0</v>
      </c>
      <c r="AB624" s="201">
        <v>0</v>
      </c>
      <c r="AC624" s="201">
        <v>0</v>
      </c>
      <c r="AD624" s="201">
        <v>0</v>
      </c>
    </row>
    <row r="625" spans="2:30">
      <c r="B625" s="201" t="s">
        <v>334</v>
      </c>
      <c r="C625" s="201" t="s">
        <v>516</v>
      </c>
      <c r="D625" s="10">
        <f t="shared" si="496"/>
        <v>49</v>
      </c>
      <c r="E625" s="201">
        <v>0</v>
      </c>
      <c r="F625" s="201">
        <v>39</v>
      </c>
      <c r="G625" s="201">
        <v>2</v>
      </c>
      <c r="H625" s="201">
        <v>0</v>
      </c>
      <c r="I625" s="201">
        <v>2</v>
      </c>
      <c r="J625" s="201">
        <v>0</v>
      </c>
      <c r="K625" s="201">
        <v>2</v>
      </c>
      <c r="L625" s="201">
        <v>3</v>
      </c>
      <c r="M625" s="201">
        <v>0</v>
      </c>
      <c r="N625" s="201">
        <v>0</v>
      </c>
      <c r="O625" s="201">
        <v>0</v>
      </c>
      <c r="P625" s="201">
        <v>0</v>
      </c>
      <c r="Q625" s="201">
        <v>0</v>
      </c>
      <c r="R625" s="201">
        <v>0</v>
      </c>
      <c r="S625" s="201">
        <v>0</v>
      </c>
      <c r="T625" s="201">
        <v>1</v>
      </c>
      <c r="U625" s="201">
        <v>0</v>
      </c>
      <c r="V625" s="201">
        <v>0</v>
      </c>
      <c r="W625" s="201">
        <v>0</v>
      </c>
      <c r="X625" s="201">
        <v>0</v>
      </c>
      <c r="Y625" s="201">
        <v>0</v>
      </c>
      <c r="Z625" s="201">
        <v>0</v>
      </c>
      <c r="AA625" s="201">
        <v>0</v>
      </c>
      <c r="AB625" s="201">
        <v>0</v>
      </c>
      <c r="AC625" s="201">
        <v>0</v>
      </c>
      <c r="AD625" s="201">
        <v>0</v>
      </c>
    </row>
    <row r="626" spans="2:30">
      <c r="B626" s="201" t="s">
        <v>335</v>
      </c>
      <c r="C626" s="201" t="s">
        <v>516</v>
      </c>
      <c r="D626" s="10">
        <f t="shared" si="496"/>
        <v>165</v>
      </c>
      <c r="E626" s="201">
        <v>1</v>
      </c>
      <c r="F626" s="201">
        <v>131</v>
      </c>
      <c r="G626" s="201">
        <v>5</v>
      </c>
      <c r="H626" s="201">
        <v>0</v>
      </c>
      <c r="I626" s="201">
        <v>0</v>
      </c>
      <c r="J626" s="201">
        <v>0</v>
      </c>
      <c r="K626" s="201">
        <v>1</v>
      </c>
      <c r="L626" s="201">
        <v>6</v>
      </c>
      <c r="M626" s="201">
        <v>0</v>
      </c>
      <c r="N626" s="201">
        <v>2</v>
      </c>
      <c r="O626" s="201">
        <v>0</v>
      </c>
      <c r="P626" s="201">
        <v>2</v>
      </c>
      <c r="Q626" s="201">
        <v>2</v>
      </c>
      <c r="R626" s="201">
        <v>2</v>
      </c>
      <c r="S626" s="201">
        <v>0</v>
      </c>
      <c r="T626" s="201">
        <v>9</v>
      </c>
      <c r="U626" s="201">
        <v>0</v>
      </c>
      <c r="V626" s="201">
        <v>0</v>
      </c>
      <c r="W626" s="201">
        <v>3</v>
      </c>
      <c r="X626" s="201">
        <v>0</v>
      </c>
      <c r="Y626" s="201">
        <v>1</v>
      </c>
      <c r="Z626" s="201">
        <v>0</v>
      </c>
      <c r="AA626" s="201">
        <v>0</v>
      </c>
      <c r="AB626" s="201">
        <v>0</v>
      </c>
      <c r="AC626" s="201">
        <v>0</v>
      </c>
      <c r="AD626" s="201">
        <v>0</v>
      </c>
    </row>
    <row r="627" spans="2:30">
      <c r="B627" s="201" t="s">
        <v>336</v>
      </c>
      <c r="C627" s="201" t="s">
        <v>516</v>
      </c>
      <c r="D627" s="10">
        <f t="shared" si="496"/>
        <v>1018</v>
      </c>
      <c r="E627" s="201">
        <v>2</v>
      </c>
      <c r="F627" s="201">
        <v>810</v>
      </c>
      <c r="G627" s="201">
        <v>28</v>
      </c>
      <c r="H627" s="201">
        <v>0</v>
      </c>
      <c r="I627" s="201">
        <v>11</v>
      </c>
      <c r="J627" s="201">
        <v>0</v>
      </c>
      <c r="K627" s="201">
        <v>15</v>
      </c>
      <c r="L627" s="201">
        <v>38</v>
      </c>
      <c r="M627" s="201">
        <v>3</v>
      </c>
      <c r="N627" s="201">
        <v>3</v>
      </c>
      <c r="O627" s="201">
        <v>3</v>
      </c>
      <c r="P627" s="201">
        <v>9</v>
      </c>
      <c r="Q627" s="201">
        <v>5</v>
      </c>
      <c r="R627" s="201">
        <v>41</v>
      </c>
      <c r="S627" s="201">
        <v>3</v>
      </c>
      <c r="T627" s="201">
        <v>31</v>
      </c>
      <c r="U627" s="201">
        <v>1</v>
      </c>
      <c r="V627" s="201">
        <v>0</v>
      </c>
      <c r="W627" s="201">
        <v>12</v>
      </c>
      <c r="X627" s="201">
        <v>0</v>
      </c>
      <c r="Y627" s="201">
        <v>1</v>
      </c>
      <c r="Z627" s="201">
        <v>0</v>
      </c>
      <c r="AA627" s="201">
        <v>1</v>
      </c>
      <c r="AB627" s="201">
        <v>0</v>
      </c>
      <c r="AC627" s="201">
        <v>1</v>
      </c>
      <c r="AD627" s="201">
        <v>0</v>
      </c>
    </row>
    <row r="628" spans="2:30">
      <c r="B628" s="201" t="s">
        <v>337</v>
      </c>
      <c r="C628" s="201" t="s">
        <v>516</v>
      </c>
      <c r="D628" s="10">
        <f t="shared" si="496"/>
        <v>17</v>
      </c>
      <c r="E628" s="201">
        <v>0</v>
      </c>
      <c r="F628" s="201">
        <v>10</v>
      </c>
      <c r="G628" s="201">
        <v>0</v>
      </c>
      <c r="H628" s="201">
        <v>0</v>
      </c>
      <c r="I628" s="201">
        <v>0</v>
      </c>
      <c r="J628" s="201">
        <v>0</v>
      </c>
      <c r="K628" s="201">
        <v>0</v>
      </c>
      <c r="L628" s="201">
        <v>1</v>
      </c>
      <c r="M628" s="201">
        <v>0</v>
      </c>
      <c r="N628" s="201">
        <v>0</v>
      </c>
      <c r="O628" s="201">
        <v>0</v>
      </c>
      <c r="P628" s="201">
        <v>0</v>
      </c>
      <c r="Q628" s="201">
        <v>0</v>
      </c>
      <c r="R628" s="201">
        <v>2</v>
      </c>
      <c r="S628" s="201">
        <v>0</v>
      </c>
      <c r="T628" s="201">
        <v>1</v>
      </c>
      <c r="U628" s="201">
        <v>1</v>
      </c>
      <c r="V628" s="201">
        <v>1</v>
      </c>
      <c r="W628" s="201">
        <v>0</v>
      </c>
      <c r="X628" s="201">
        <v>0</v>
      </c>
      <c r="Y628" s="201">
        <v>0</v>
      </c>
      <c r="Z628" s="201">
        <v>0</v>
      </c>
      <c r="AA628" s="201">
        <v>1</v>
      </c>
      <c r="AB628" s="201">
        <v>0</v>
      </c>
      <c r="AC628" s="201">
        <v>0</v>
      </c>
      <c r="AD628" s="201">
        <v>0</v>
      </c>
    </row>
    <row r="629" spans="2:30">
      <c r="B629" s="201" t="s">
        <v>338</v>
      </c>
      <c r="C629" s="201" t="s">
        <v>516</v>
      </c>
      <c r="D629" s="10">
        <f t="shared" si="496"/>
        <v>83</v>
      </c>
      <c r="E629" s="201">
        <v>1</v>
      </c>
      <c r="F629" s="201">
        <v>55</v>
      </c>
      <c r="G629" s="201">
        <v>2</v>
      </c>
      <c r="H629" s="201">
        <v>1</v>
      </c>
      <c r="I629" s="201">
        <v>1</v>
      </c>
      <c r="J629" s="201">
        <v>0</v>
      </c>
      <c r="K629" s="201">
        <v>7</v>
      </c>
      <c r="L629" s="201">
        <v>2</v>
      </c>
      <c r="M629" s="201">
        <v>0</v>
      </c>
      <c r="N629" s="201">
        <v>1</v>
      </c>
      <c r="O629" s="201">
        <v>0</v>
      </c>
      <c r="P629" s="201">
        <v>2</v>
      </c>
      <c r="Q629" s="201">
        <v>0</v>
      </c>
      <c r="R629" s="201">
        <v>1</v>
      </c>
      <c r="S629" s="201">
        <v>0</v>
      </c>
      <c r="T629" s="201">
        <v>0</v>
      </c>
      <c r="U629" s="201">
        <v>1</v>
      </c>
      <c r="V629" s="201">
        <v>0</v>
      </c>
      <c r="W629" s="201">
        <v>9</v>
      </c>
      <c r="X629" s="201">
        <v>0</v>
      </c>
      <c r="Y629" s="201">
        <v>0</v>
      </c>
      <c r="Z629" s="201">
        <v>0</v>
      </c>
      <c r="AA629" s="201">
        <v>0</v>
      </c>
      <c r="AB629" s="201">
        <v>0</v>
      </c>
      <c r="AC629" s="201">
        <v>0</v>
      </c>
      <c r="AD629" s="201">
        <v>0</v>
      </c>
    </row>
    <row r="630" spans="2:30">
      <c r="B630" s="200" t="s">
        <v>16</v>
      </c>
      <c r="C630" s="200" t="s">
        <v>516</v>
      </c>
      <c r="D630" s="246">
        <f>SUM(D623:D629)</f>
        <v>1350</v>
      </c>
      <c r="E630" s="246">
        <f>SUM(E623:E629)</f>
        <v>4</v>
      </c>
      <c r="F630" s="246">
        <f t="shared" ref="F630" si="497">SUM(F623:F629)</f>
        <v>1055</v>
      </c>
      <c r="G630" s="246">
        <f t="shared" ref="G630" si="498">SUM(G623:G629)</f>
        <v>37</v>
      </c>
      <c r="H630" s="246">
        <f t="shared" ref="H630" si="499">SUM(H623:H629)</f>
        <v>1</v>
      </c>
      <c r="I630" s="246">
        <f t="shared" ref="I630" si="500">SUM(I623:I629)</f>
        <v>16</v>
      </c>
      <c r="J630" s="246">
        <f t="shared" ref="J630" si="501">SUM(J623:J629)</f>
        <v>0</v>
      </c>
      <c r="K630" s="246">
        <f t="shared" ref="K630" si="502">SUM(K623:K629)</f>
        <v>25</v>
      </c>
      <c r="L630" s="246">
        <f t="shared" ref="L630" si="503">SUM(L623:L629)</f>
        <v>51</v>
      </c>
      <c r="M630" s="246">
        <f t="shared" ref="M630" si="504">SUM(M623:M629)</f>
        <v>3</v>
      </c>
      <c r="N630" s="246">
        <f t="shared" ref="N630" si="505">SUM(N623:N629)</f>
        <v>6</v>
      </c>
      <c r="O630" s="246">
        <f t="shared" ref="O630" si="506">SUM(O623:O629)</f>
        <v>3</v>
      </c>
      <c r="P630" s="246">
        <f t="shared" ref="P630" si="507">SUM(P623:P629)</f>
        <v>13</v>
      </c>
      <c r="Q630" s="246">
        <f t="shared" ref="Q630" si="508">SUM(Q623:Q629)</f>
        <v>7</v>
      </c>
      <c r="R630" s="246">
        <f t="shared" ref="R630" si="509">SUM(R623:R629)</f>
        <v>49</v>
      </c>
      <c r="S630" s="246">
        <f t="shared" ref="S630" si="510">SUM(S623:S629)</f>
        <v>4</v>
      </c>
      <c r="T630" s="246">
        <f t="shared" ref="T630" si="511">SUM(T623:T629)</f>
        <v>42</v>
      </c>
      <c r="U630" s="246">
        <f t="shared" ref="U630" si="512">SUM(U623:U629)</f>
        <v>3</v>
      </c>
      <c r="V630" s="246">
        <f t="shared" ref="V630" si="513">SUM(V623:V629)</f>
        <v>1</v>
      </c>
      <c r="W630" s="246">
        <f t="shared" ref="W630" si="514">SUM(W623:W629)</f>
        <v>24</v>
      </c>
      <c r="X630" s="246">
        <f t="shared" ref="X630" si="515">SUM(X623:X629)</f>
        <v>0</v>
      </c>
      <c r="Y630" s="246">
        <f t="shared" ref="Y630" si="516">SUM(Y623:Y629)</f>
        <v>2</v>
      </c>
      <c r="Z630" s="246">
        <f t="shared" ref="Z630" si="517">SUM(Z623:Z629)</f>
        <v>0</v>
      </c>
      <c r="AA630" s="246">
        <f t="shared" ref="AA630" si="518">SUM(AA623:AA629)</f>
        <v>2</v>
      </c>
      <c r="AB630" s="246">
        <f t="shared" ref="AB630" si="519">SUM(AB623:AB629)</f>
        <v>1</v>
      </c>
      <c r="AC630" s="246">
        <f t="shared" ref="AC630" si="520">SUM(AC623:AC629)</f>
        <v>1</v>
      </c>
      <c r="AD630" s="246">
        <f t="shared" ref="AD630" si="521">SUM(AD623:AD629)</f>
        <v>0</v>
      </c>
    </row>
    <row r="631" spans="2:30">
      <c r="B631" s="201" t="s">
        <v>599</v>
      </c>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c r="AC631" s="201"/>
      <c r="AD631" s="201"/>
    </row>
    <row r="632" spans="2:30">
      <c r="B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c r="AC632" s="201"/>
      <c r="AD632" s="201"/>
    </row>
    <row r="633" spans="2:30">
      <c r="B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c r="AC633" s="201"/>
      <c r="AD633" s="201"/>
    </row>
    <row r="634" spans="2:30">
      <c r="B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row>
    <row r="635" spans="2:30" ht="15.6">
      <c r="B635" s="143" t="s">
        <v>645</v>
      </c>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c r="AC635" s="201"/>
      <c r="AD635" s="201"/>
    </row>
    <row r="636" spans="2:30">
      <c r="B636" s="114" t="s">
        <v>588</v>
      </c>
      <c r="C636" s="114" t="s">
        <v>63</v>
      </c>
      <c r="D636" s="114" t="str">
        <f>D622</f>
        <v>IE</v>
      </c>
      <c r="E636" s="114" t="str">
        <f t="shared" ref="E636:AD636" si="522">E622</f>
        <v>IE-CW</v>
      </c>
      <c r="F636" s="114" t="str">
        <f t="shared" si="522"/>
        <v>IE-D</v>
      </c>
      <c r="G636" s="114" t="str">
        <f t="shared" si="522"/>
        <v>IE-KE</v>
      </c>
      <c r="H636" s="114" t="str">
        <f t="shared" si="522"/>
        <v>IE-KK</v>
      </c>
      <c r="I636" s="114" t="str">
        <f t="shared" si="522"/>
        <v>IE-LS</v>
      </c>
      <c r="J636" s="114" t="str">
        <f t="shared" si="522"/>
        <v>IE-LD</v>
      </c>
      <c r="K636" s="114" t="str">
        <f t="shared" si="522"/>
        <v>IE-LH</v>
      </c>
      <c r="L636" s="114" t="str">
        <f t="shared" si="522"/>
        <v>IE-MH</v>
      </c>
      <c r="M636" s="114" t="str">
        <f t="shared" si="522"/>
        <v>IE-OY</v>
      </c>
      <c r="N636" s="114" t="str">
        <f t="shared" si="522"/>
        <v>IE-WH</v>
      </c>
      <c r="O636" s="114" t="str">
        <f t="shared" si="522"/>
        <v>IE-WX</v>
      </c>
      <c r="P636" s="114" t="str">
        <f t="shared" si="522"/>
        <v>IE-WW</v>
      </c>
      <c r="Q636" s="114" t="str">
        <f t="shared" si="522"/>
        <v>IE-CE</v>
      </c>
      <c r="R636" s="114" t="str">
        <f t="shared" si="522"/>
        <v>IE-CO</v>
      </c>
      <c r="S636" s="114" t="str">
        <f t="shared" si="522"/>
        <v>IE-KY</v>
      </c>
      <c r="T636" s="114" t="str">
        <f t="shared" si="522"/>
        <v>IE-LK</v>
      </c>
      <c r="U636" s="114" t="str">
        <f t="shared" si="522"/>
        <v>IE-TA</v>
      </c>
      <c r="V636" s="114" t="str">
        <f t="shared" si="522"/>
        <v>IE-WD</v>
      </c>
      <c r="W636" s="114" t="str">
        <f t="shared" si="522"/>
        <v>IE-G</v>
      </c>
      <c r="X636" s="114" t="str">
        <f t="shared" si="522"/>
        <v>IE-LM</v>
      </c>
      <c r="Y636" s="114" t="str">
        <f t="shared" si="522"/>
        <v>IE-MO</v>
      </c>
      <c r="Z636" s="114" t="str">
        <f t="shared" si="522"/>
        <v>IE-RN</v>
      </c>
      <c r="AA636" s="114" t="str">
        <f t="shared" si="522"/>
        <v>IE-SO</v>
      </c>
      <c r="AB636" s="114" t="str">
        <f t="shared" si="522"/>
        <v>IE-CN</v>
      </c>
      <c r="AC636" s="114" t="str">
        <f t="shared" si="522"/>
        <v>IE-DL</v>
      </c>
      <c r="AD636" s="114" t="str">
        <f t="shared" si="522"/>
        <v>IE-MN</v>
      </c>
    </row>
    <row r="637" spans="2:30">
      <c r="B637" s="201" t="s">
        <v>332</v>
      </c>
      <c r="C637" s="249" t="s">
        <v>592</v>
      </c>
      <c r="D637" s="35">
        <f>D623/D$630</f>
        <v>1.3333333333333334E-2</v>
      </c>
      <c r="E637" s="35">
        <f t="shared" ref="E637:AD643" si="523">E623/E$630</f>
        <v>0</v>
      </c>
      <c r="F637" s="35">
        <f t="shared" si="523"/>
        <v>9.4786729857819912E-3</v>
      </c>
      <c r="G637" s="35">
        <f t="shared" si="523"/>
        <v>0</v>
      </c>
      <c r="H637" s="35">
        <f t="shared" si="523"/>
        <v>0</v>
      </c>
      <c r="I637" s="35">
        <f t="shared" si="523"/>
        <v>0.125</v>
      </c>
      <c r="J637" s="35" t="e">
        <f t="shared" si="523"/>
        <v>#DIV/0!</v>
      </c>
      <c r="K637" s="35">
        <f t="shared" si="523"/>
        <v>0</v>
      </c>
      <c r="L637" s="35">
        <f t="shared" si="523"/>
        <v>1.9607843137254902E-2</v>
      </c>
      <c r="M637" s="35">
        <f t="shared" si="523"/>
        <v>0</v>
      </c>
      <c r="N637" s="35">
        <f t="shared" si="523"/>
        <v>0</v>
      </c>
      <c r="O637" s="35">
        <f t="shared" si="523"/>
        <v>0</v>
      </c>
      <c r="P637" s="35">
        <f t="shared" si="523"/>
        <v>0</v>
      </c>
      <c r="Q637" s="35">
        <f t="shared" si="523"/>
        <v>0</v>
      </c>
      <c r="R637" s="35">
        <f t="shared" si="523"/>
        <v>6.1224489795918366E-2</v>
      </c>
      <c r="S637" s="35">
        <f t="shared" si="523"/>
        <v>0.25</v>
      </c>
      <c r="T637" s="35">
        <f t="shared" si="523"/>
        <v>0</v>
      </c>
      <c r="U637" s="35">
        <f t="shared" si="523"/>
        <v>0</v>
      </c>
      <c r="V637" s="35">
        <f t="shared" si="523"/>
        <v>0</v>
      </c>
      <c r="W637" s="35">
        <f t="shared" si="523"/>
        <v>0</v>
      </c>
      <c r="X637" s="35" t="e">
        <f t="shared" si="523"/>
        <v>#DIV/0!</v>
      </c>
      <c r="Y637" s="35">
        <f t="shared" si="523"/>
        <v>0</v>
      </c>
      <c r="Z637" s="35" t="e">
        <f t="shared" si="523"/>
        <v>#DIV/0!</v>
      </c>
      <c r="AA637" s="35">
        <f t="shared" si="523"/>
        <v>0</v>
      </c>
      <c r="AB637" s="35">
        <f t="shared" si="523"/>
        <v>1</v>
      </c>
      <c r="AC637" s="35">
        <f t="shared" si="523"/>
        <v>0</v>
      </c>
      <c r="AD637" s="35" t="e">
        <f t="shared" si="523"/>
        <v>#DIV/0!</v>
      </c>
    </row>
    <row r="638" spans="2:30">
      <c r="B638" s="201" t="s">
        <v>333</v>
      </c>
      <c r="C638" s="2" t="s">
        <v>592</v>
      </c>
      <c r="D638" s="35">
        <f t="shared" ref="D638:S643" si="524">D624/D$630</f>
        <v>0</v>
      </c>
      <c r="E638" s="35">
        <f t="shared" si="524"/>
        <v>0</v>
      </c>
      <c r="F638" s="35">
        <f t="shared" si="524"/>
        <v>0</v>
      </c>
      <c r="G638" s="35">
        <f t="shared" si="524"/>
        <v>0</v>
      </c>
      <c r="H638" s="35">
        <f t="shared" si="524"/>
        <v>0</v>
      </c>
      <c r="I638" s="35">
        <f t="shared" si="524"/>
        <v>0</v>
      </c>
      <c r="J638" s="35" t="e">
        <f t="shared" si="524"/>
        <v>#DIV/0!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4"/>
        <v>0</v>
      </c>
      <c r="T638" s="35">
        <f t="shared" si="523"/>
        <v>0</v>
      </c>
      <c r="U638" s="35">
        <f t="shared" si="523"/>
        <v>0</v>
      </c>
      <c r="V638" s="35">
        <f t="shared" si="523"/>
        <v>0</v>
      </c>
      <c r="W638" s="35">
        <f t="shared" si="523"/>
        <v>0</v>
      </c>
      <c r="X638" s="35" t="e">
        <f t="shared" si="523"/>
        <v>#DIV/0!</v>
      </c>
      <c r="Y638" s="35">
        <f t="shared" si="523"/>
        <v>0</v>
      </c>
      <c r="Z638" s="35" t="e">
        <f t="shared" si="523"/>
        <v>#DIV/0!</v>
      </c>
      <c r="AA638" s="35">
        <f t="shared" si="523"/>
        <v>0</v>
      </c>
      <c r="AB638" s="35">
        <f t="shared" si="523"/>
        <v>0</v>
      </c>
      <c r="AC638" s="35">
        <f t="shared" si="523"/>
        <v>0</v>
      </c>
      <c r="AD638" s="35" t="e">
        <f t="shared" si="523"/>
        <v>#DIV/0!</v>
      </c>
    </row>
    <row r="639" spans="2:30">
      <c r="B639" s="201" t="s">
        <v>334</v>
      </c>
      <c r="C639" s="2" t="s">
        <v>592</v>
      </c>
      <c r="D639" s="35">
        <f t="shared" si="524"/>
        <v>3.6296296296296299E-2</v>
      </c>
      <c r="E639" s="35">
        <f t="shared" si="523"/>
        <v>0</v>
      </c>
      <c r="F639" s="35">
        <f t="shared" si="523"/>
        <v>3.6966824644549763E-2</v>
      </c>
      <c r="G639" s="35">
        <f t="shared" si="523"/>
        <v>5.4054054054054057E-2</v>
      </c>
      <c r="H639" s="35">
        <f t="shared" si="523"/>
        <v>0</v>
      </c>
      <c r="I639" s="35">
        <f t="shared" si="523"/>
        <v>0.125</v>
      </c>
      <c r="J639" s="35" t="e">
        <f t="shared" si="523"/>
        <v>#DIV/0!</v>
      </c>
      <c r="K639" s="35">
        <f t="shared" si="523"/>
        <v>0.08</v>
      </c>
      <c r="L639" s="35">
        <f t="shared" si="523"/>
        <v>5.8823529411764705E-2</v>
      </c>
      <c r="M639" s="35">
        <f t="shared" si="523"/>
        <v>0</v>
      </c>
      <c r="N639" s="35">
        <f t="shared" si="523"/>
        <v>0</v>
      </c>
      <c r="O639" s="35">
        <f t="shared" si="523"/>
        <v>0</v>
      </c>
      <c r="P639" s="35">
        <f t="shared" si="523"/>
        <v>0</v>
      </c>
      <c r="Q639" s="35">
        <f t="shared" si="523"/>
        <v>0</v>
      </c>
      <c r="R639" s="35">
        <f t="shared" si="523"/>
        <v>0</v>
      </c>
      <c r="S639" s="35">
        <f t="shared" si="523"/>
        <v>0</v>
      </c>
      <c r="T639" s="35">
        <f t="shared" si="523"/>
        <v>2.3809523809523808E-2</v>
      </c>
      <c r="U639" s="35">
        <f t="shared" si="523"/>
        <v>0</v>
      </c>
      <c r="V639" s="35">
        <f t="shared" si="523"/>
        <v>0</v>
      </c>
      <c r="W639" s="35">
        <f t="shared" si="523"/>
        <v>0</v>
      </c>
      <c r="X639" s="35" t="e">
        <f t="shared" si="523"/>
        <v>#DIV/0!</v>
      </c>
      <c r="Y639" s="35">
        <f t="shared" si="523"/>
        <v>0</v>
      </c>
      <c r="Z639" s="35" t="e">
        <f t="shared" si="523"/>
        <v>#DIV/0!</v>
      </c>
      <c r="AA639" s="35">
        <f t="shared" si="523"/>
        <v>0</v>
      </c>
      <c r="AB639" s="35">
        <f t="shared" si="523"/>
        <v>0</v>
      </c>
      <c r="AC639" s="35">
        <f t="shared" si="523"/>
        <v>0</v>
      </c>
      <c r="AD639" s="35" t="e">
        <f t="shared" si="523"/>
        <v>#DIV/0!</v>
      </c>
    </row>
    <row r="640" spans="2:30">
      <c r="B640" s="201" t="s">
        <v>335</v>
      </c>
      <c r="C640" s="2" t="s">
        <v>592</v>
      </c>
      <c r="D640" s="35">
        <f t="shared" si="524"/>
        <v>0.12222222222222222</v>
      </c>
      <c r="E640" s="35">
        <f t="shared" si="523"/>
        <v>0.25</v>
      </c>
      <c r="F640" s="35">
        <f t="shared" si="523"/>
        <v>0.12417061611374408</v>
      </c>
      <c r="G640" s="35">
        <f t="shared" si="523"/>
        <v>0.13513513513513514</v>
      </c>
      <c r="H640" s="35">
        <f t="shared" si="523"/>
        <v>0</v>
      </c>
      <c r="I640" s="35">
        <f t="shared" si="523"/>
        <v>0</v>
      </c>
      <c r="J640" s="35" t="e">
        <f t="shared" si="523"/>
        <v>#DIV/0!</v>
      </c>
      <c r="K640" s="35">
        <f t="shared" si="523"/>
        <v>0.04</v>
      </c>
      <c r="L640" s="35">
        <f t="shared" si="523"/>
        <v>0.11764705882352941</v>
      </c>
      <c r="M640" s="35">
        <f t="shared" si="523"/>
        <v>0</v>
      </c>
      <c r="N640" s="35">
        <f t="shared" si="523"/>
        <v>0.33333333333333331</v>
      </c>
      <c r="O640" s="35">
        <f t="shared" si="523"/>
        <v>0</v>
      </c>
      <c r="P640" s="35">
        <f t="shared" si="523"/>
        <v>0.15384615384615385</v>
      </c>
      <c r="Q640" s="35">
        <f t="shared" si="523"/>
        <v>0.2857142857142857</v>
      </c>
      <c r="R640" s="35">
        <f t="shared" si="523"/>
        <v>4.0816326530612242E-2</v>
      </c>
      <c r="S640" s="35">
        <f t="shared" si="523"/>
        <v>0</v>
      </c>
      <c r="T640" s="35">
        <f t="shared" si="523"/>
        <v>0.21428571428571427</v>
      </c>
      <c r="U640" s="35">
        <f t="shared" si="523"/>
        <v>0</v>
      </c>
      <c r="V640" s="35">
        <f t="shared" si="523"/>
        <v>0</v>
      </c>
      <c r="W640" s="35">
        <f t="shared" si="523"/>
        <v>0.125</v>
      </c>
      <c r="X640" s="35" t="e">
        <f t="shared" si="523"/>
        <v>#DIV/0!</v>
      </c>
      <c r="Y640" s="35">
        <f t="shared" si="523"/>
        <v>0.5</v>
      </c>
      <c r="Z640" s="35" t="e">
        <f t="shared" si="523"/>
        <v>#DIV/0!</v>
      </c>
      <c r="AA640" s="35">
        <f t="shared" si="523"/>
        <v>0</v>
      </c>
      <c r="AB640" s="35">
        <f t="shared" si="523"/>
        <v>0</v>
      </c>
      <c r="AC640" s="35">
        <f t="shared" si="523"/>
        <v>0</v>
      </c>
      <c r="AD640" s="35" t="e">
        <f t="shared" si="523"/>
        <v>#DIV/0!</v>
      </c>
    </row>
    <row r="641" spans="2:30">
      <c r="B641" s="201" t="s">
        <v>336</v>
      </c>
      <c r="C641" s="2" t="s">
        <v>592</v>
      </c>
      <c r="D641" s="35">
        <f t="shared" si="524"/>
        <v>0.75407407407407412</v>
      </c>
      <c r="E641" s="35">
        <f t="shared" si="523"/>
        <v>0.5</v>
      </c>
      <c r="F641" s="35">
        <f t="shared" si="523"/>
        <v>0.76777251184834128</v>
      </c>
      <c r="G641" s="35">
        <f t="shared" si="523"/>
        <v>0.7567567567567568</v>
      </c>
      <c r="H641" s="35">
        <f t="shared" si="523"/>
        <v>0</v>
      </c>
      <c r="I641" s="35">
        <f t="shared" si="523"/>
        <v>0.6875</v>
      </c>
      <c r="J641" s="35" t="e">
        <f t="shared" si="523"/>
        <v>#DIV/0!</v>
      </c>
      <c r="K641" s="35">
        <f t="shared" si="523"/>
        <v>0.6</v>
      </c>
      <c r="L641" s="35">
        <f t="shared" si="523"/>
        <v>0.74509803921568629</v>
      </c>
      <c r="M641" s="35">
        <f t="shared" si="523"/>
        <v>1</v>
      </c>
      <c r="N641" s="35">
        <f t="shared" si="523"/>
        <v>0.5</v>
      </c>
      <c r="O641" s="35">
        <f t="shared" si="523"/>
        <v>1</v>
      </c>
      <c r="P641" s="35">
        <f t="shared" si="523"/>
        <v>0.69230769230769229</v>
      </c>
      <c r="Q641" s="35">
        <f t="shared" si="523"/>
        <v>0.7142857142857143</v>
      </c>
      <c r="R641" s="35">
        <f t="shared" si="523"/>
        <v>0.83673469387755106</v>
      </c>
      <c r="S641" s="35">
        <f t="shared" si="523"/>
        <v>0.75</v>
      </c>
      <c r="T641" s="35">
        <f t="shared" si="523"/>
        <v>0.73809523809523814</v>
      </c>
      <c r="U641" s="35">
        <f t="shared" si="523"/>
        <v>0.33333333333333331</v>
      </c>
      <c r="V641" s="35">
        <f t="shared" si="523"/>
        <v>0</v>
      </c>
      <c r="W641" s="35">
        <f t="shared" si="523"/>
        <v>0.5</v>
      </c>
      <c r="X641" s="35" t="e">
        <f t="shared" si="523"/>
        <v>#DIV/0!</v>
      </c>
      <c r="Y641" s="35">
        <f t="shared" si="523"/>
        <v>0.5</v>
      </c>
      <c r="Z641" s="35" t="e">
        <f t="shared" si="523"/>
        <v>#DIV/0!</v>
      </c>
      <c r="AA641" s="35">
        <f t="shared" si="523"/>
        <v>0.5</v>
      </c>
      <c r="AB641" s="35">
        <f t="shared" si="523"/>
        <v>0</v>
      </c>
      <c r="AC641" s="35">
        <f t="shared" si="523"/>
        <v>1</v>
      </c>
      <c r="AD641" s="35" t="e">
        <f t="shared" si="523"/>
        <v>#DIV/0!</v>
      </c>
    </row>
    <row r="642" spans="2:30">
      <c r="B642" s="201" t="s">
        <v>337</v>
      </c>
      <c r="C642" s="2" t="s">
        <v>592</v>
      </c>
      <c r="D642" s="35">
        <f t="shared" si="524"/>
        <v>1.2592592592592593E-2</v>
      </c>
      <c r="E642" s="35">
        <f t="shared" si="523"/>
        <v>0</v>
      </c>
      <c r="F642" s="35">
        <f t="shared" si="523"/>
        <v>9.4786729857819912E-3</v>
      </c>
      <c r="G642" s="35">
        <f t="shared" si="523"/>
        <v>0</v>
      </c>
      <c r="H642" s="35">
        <f t="shared" si="523"/>
        <v>0</v>
      </c>
      <c r="I642" s="35">
        <f t="shared" si="523"/>
        <v>0</v>
      </c>
      <c r="J642" s="35" t="e">
        <f t="shared" si="523"/>
        <v>#DIV/0!</v>
      </c>
      <c r="K642" s="35">
        <f t="shared" si="523"/>
        <v>0</v>
      </c>
      <c r="L642" s="35">
        <f t="shared" si="523"/>
        <v>1.9607843137254902E-2</v>
      </c>
      <c r="M642" s="35">
        <f t="shared" si="523"/>
        <v>0</v>
      </c>
      <c r="N642" s="35">
        <f t="shared" si="523"/>
        <v>0</v>
      </c>
      <c r="O642" s="35">
        <f t="shared" si="523"/>
        <v>0</v>
      </c>
      <c r="P642" s="35">
        <f t="shared" si="523"/>
        <v>0</v>
      </c>
      <c r="Q642" s="35">
        <f t="shared" si="523"/>
        <v>0</v>
      </c>
      <c r="R642" s="35">
        <f t="shared" si="523"/>
        <v>4.0816326530612242E-2</v>
      </c>
      <c r="S642" s="35">
        <f t="shared" si="523"/>
        <v>0</v>
      </c>
      <c r="T642" s="35">
        <f t="shared" si="523"/>
        <v>2.3809523809523808E-2</v>
      </c>
      <c r="U642" s="35">
        <f t="shared" si="523"/>
        <v>0.33333333333333331</v>
      </c>
      <c r="V642" s="35">
        <f t="shared" si="523"/>
        <v>1</v>
      </c>
      <c r="W642" s="35">
        <f t="shared" si="523"/>
        <v>0</v>
      </c>
      <c r="X642" s="35" t="e">
        <f t="shared" si="523"/>
        <v>#DIV/0!</v>
      </c>
      <c r="Y642" s="35">
        <f t="shared" si="523"/>
        <v>0</v>
      </c>
      <c r="Z642" s="35" t="e">
        <f t="shared" si="523"/>
        <v>#DIV/0!</v>
      </c>
      <c r="AA642" s="35">
        <f t="shared" si="523"/>
        <v>0.5</v>
      </c>
      <c r="AB642" s="35">
        <f t="shared" si="523"/>
        <v>0</v>
      </c>
      <c r="AC642" s="35">
        <f t="shared" si="523"/>
        <v>0</v>
      </c>
      <c r="AD642" s="35" t="e">
        <f t="shared" si="523"/>
        <v>#DIV/0!</v>
      </c>
    </row>
    <row r="643" spans="2:30">
      <c r="B643" s="201" t="s">
        <v>338</v>
      </c>
      <c r="C643" s="2" t="s">
        <v>592</v>
      </c>
      <c r="D643" s="35">
        <f t="shared" si="524"/>
        <v>6.1481481481481484E-2</v>
      </c>
      <c r="E643" s="35">
        <f t="shared" si="523"/>
        <v>0.25</v>
      </c>
      <c r="F643" s="35">
        <f t="shared" si="523"/>
        <v>5.2132701421800945E-2</v>
      </c>
      <c r="G643" s="35">
        <f t="shared" si="523"/>
        <v>5.4054054054054057E-2</v>
      </c>
      <c r="H643" s="35">
        <f t="shared" si="523"/>
        <v>1</v>
      </c>
      <c r="I643" s="35">
        <f t="shared" si="523"/>
        <v>6.25E-2</v>
      </c>
      <c r="J643" s="35" t="e">
        <f t="shared" si="523"/>
        <v>#DIV/0!</v>
      </c>
      <c r="K643" s="35">
        <f t="shared" si="523"/>
        <v>0.28000000000000003</v>
      </c>
      <c r="L643" s="35">
        <f t="shared" si="523"/>
        <v>3.9215686274509803E-2</v>
      </c>
      <c r="M643" s="35">
        <f t="shared" si="523"/>
        <v>0</v>
      </c>
      <c r="N643" s="35">
        <f t="shared" si="523"/>
        <v>0.16666666666666666</v>
      </c>
      <c r="O643" s="35">
        <f t="shared" si="523"/>
        <v>0</v>
      </c>
      <c r="P643" s="35">
        <f t="shared" si="523"/>
        <v>0.15384615384615385</v>
      </c>
      <c r="Q643" s="35">
        <f t="shared" si="523"/>
        <v>0</v>
      </c>
      <c r="R643" s="35">
        <f t="shared" si="523"/>
        <v>2.0408163265306121E-2</v>
      </c>
      <c r="S643" s="35">
        <f t="shared" si="523"/>
        <v>0</v>
      </c>
      <c r="T643" s="35">
        <f t="shared" si="523"/>
        <v>0</v>
      </c>
      <c r="U643" s="35">
        <f t="shared" si="523"/>
        <v>0.33333333333333331</v>
      </c>
      <c r="V643" s="35">
        <f t="shared" si="523"/>
        <v>0</v>
      </c>
      <c r="W643" s="35">
        <f t="shared" si="523"/>
        <v>0.375</v>
      </c>
      <c r="X643" s="35" t="e">
        <f t="shared" si="523"/>
        <v>#DIV/0!</v>
      </c>
      <c r="Y643" s="35">
        <f t="shared" si="523"/>
        <v>0</v>
      </c>
      <c r="Z643" s="35" t="e">
        <f t="shared" si="523"/>
        <v>#DIV/0!</v>
      </c>
      <c r="AA643" s="35">
        <f t="shared" si="523"/>
        <v>0</v>
      </c>
      <c r="AB643" s="35">
        <f t="shared" si="523"/>
        <v>0</v>
      </c>
      <c r="AC643" s="35">
        <f t="shared" si="523"/>
        <v>0</v>
      </c>
      <c r="AD643" s="35" t="e">
        <f t="shared" si="523"/>
        <v>#DIV/0!</v>
      </c>
    </row>
    <row r="644" spans="2:30">
      <c r="B644" s="200" t="s">
        <v>16</v>
      </c>
      <c r="C644" s="200" t="s">
        <v>592</v>
      </c>
      <c r="D644" s="145">
        <f t="shared" ref="D644:AD644" si="525">SUM(D637:D643)</f>
        <v>1.0000000000000002</v>
      </c>
      <c r="E644" s="145">
        <f t="shared" si="525"/>
        <v>1</v>
      </c>
      <c r="F644" s="145">
        <f t="shared" si="525"/>
        <v>1</v>
      </c>
      <c r="G644" s="145">
        <f t="shared" si="525"/>
        <v>1</v>
      </c>
      <c r="H644" s="145">
        <f t="shared" si="525"/>
        <v>1</v>
      </c>
      <c r="I644" s="145">
        <f t="shared" si="525"/>
        <v>1</v>
      </c>
      <c r="J644" s="145" t="e">
        <f t="shared" si="525"/>
        <v>#DIV/0!</v>
      </c>
      <c r="K644" s="145">
        <f t="shared" si="525"/>
        <v>1</v>
      </c>
      <c r="L644" s="145">
        <f t="shared" si="525"/>
        <v>1</v>
      </c>
      <c r="M644" s="145">
        <f t="shared" si="525"/>
        <v>1</v>
      </c>
      <c r="N644" s="145">
        <f t="shared" si="525"/>
        <v>0.99999999999999989</v>
      </c>
      <c r="O644" s="145">
        <f t="shared" si="525"/>
        <v>1</v>
      </c>
      <c r="P644" s="145">
        <f t="shared" si="525"/>
        <v>1</v>
      </c>
      <c r="Q644" s="145">
        <f t="shared" si="525"/>
        <v>1</v>
      </c>
      <c r="R644" s="145">
        <f t="shared" si="525"/>
        <v>1</v>
      </c>
      <c r="S644" s="145">
        <f t="shared" si="525"/>
        <v>1</v>
      </c>
      <c r="T644" s="145">
        <f t="shared" si="525"/>
        <v>1</v>
      </c>
      <c r="U644" s="145">
        <f t="shared" si="525"/>
        <v>1</v>
      </c>
      <c r="V644" s="145">
        <f t="shared" si="525"/>
        <v>1</v>
      </c>
      <c r="W644" s="145">
        <f t="shared" si="525"/>
        <v>1</v>
      </c>
      <c r="X644" s="145" t="e">
        <f t="shared" si="525"/>
        <v>#DIV/0!</v>
      </c>
      <c r="Y644" s="145">
        <f t="shared" si="525"/>
        <v>1</v>
      </c>
      <c r="Z644" s="145" t="e">
        <f t="shared" si="525"/>
        <v>#DIV/0!</v>
      </c>
      <c r="AA644" s="145">
        <f t="shared" si="525"/>
        <v>1</v>
      </c>
      <c r="AB644" s="145">
        <f t="shared" si="525"/>
        <v>1</v>
      </c>
      <c r="AC644" s="145">
        <f t="shared" si="525"/>
        <v>1</v>
      </c>
      <c r="AD644" s="145" t="e">
        <f t="shared" si="525"/>
        <v>#DIV/0!</v>
      </c>
    </row>
    <row r="645" spans="2:30">
      <c r="B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c r="AC645" s="201"/>
      <c r="AD645" s="201"/>
    </row>
    <row r="646" spans="2:30">
      <c r="B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c r="AC646" s="201"/>
      <c r="AD646" s="201"/>
    </row>
    <row r="647" spans="2:30">
      <c r="B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c r="AC647" s="201"/>
      <c r="AD647" s="201"/>
    </row>
    <row r="648" spans="2:30" ht="15.6">
      <c r="B648" s="167" t="s">
        <v>646</v>
      </c>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c r="AC648" s="201"/>
      <c r="AD648" s="201"/>
    </row>
    <row r="649" spans="2:30">
      <c r="B649" s="114" t="s">
        <v>588</v>
      </c>
      <c r="C649" s="114" t="s">
        <v>63</v>
      </c>
      <c r="D649" s="114" t="str">
        <f>D636</f>
        <v>IE</v>
      </c>
      <c r="E649" s="114" t="str">
        <f t="shared" ref="E649:AD649" si="526">E636</f>
        <v>IE-CW</v>
      </c>
      <c r="F649" s="114" t="str">
        <f t="shared" si="526"/>
        <v>IE-D</v>
      </c>
      <c r="G649" s="114" t="str">
        <f t="shared" si="526"/>
        <v>IE-KE</v>
      </c>
      <c r="H649" s="114" t="str">
        <f t="shared" si="526"/>
        <v>IE-KK</v>
      </c>
      <c r="I649" s="114" t="str">
        <f t="shared" si="526"/>
        <v>IE-LS</v>
      </c>
      <c r="J649" s="114" t="str">
        <f t="shared" si="526"/>
        <v>IE-LD</v>
      </c>
      <c r="K649" s="114" t="str">
        <f t="shared" si="526"/>
        <v>IE-LH</v>
      </c>
      <c r="L649" s="114" t="str">
        <f t="shared" si="526"/>
        <v>IE-MH</v>
      </c>
      <c r="M649" s="114" t="str">
        <f t="shared" si="526"/>
        <v>IE-OY</v>
      </c>
      <c r="N649" s="114" t="str">
        <f t="shared" si="526"/>
        <v>IE-WH</v>
      </c>
      <c r="O649" s="114" t="str">
        <f t="shared" si="526"/>
        <v>IE-WX</v>
      </c>
      <c r="P649" s="114" t="str">
        <f t="shared" si="526"/>
        <v>IE-WW</v>
      </c>
      <c r="Q649" s="114" t="str">
        <f t="shared" si="526"/>
        <v>IE-CE</v>
      </c>
      <c r="R649" s="114" t="str">
        <f t="shared" si="526"/>
        <v>IE-CO</v>
      </c>
      <c r="S649" s="114" t="str">
        <f t="shared" si="526"/>
        <v>IE-KY</v>
      </c>
      <c r="T649" s="114" t="str">
        <f t="shared" si="526"/>
        <v>IE-LK</v>
      </c>
      <c r="U649" s="114" t="str">
        <f t="shared" si="526"/>
        <v>IE-TA</v>
      </c>
      <c r="V649" s="114" t="str">
        <f t="shared" si="526"/>
        <v>IE-WD</v>
      </c>
      <c r="W649" s="114" t="str">
        <f t="shared" si="526"/>
        <v>IE-G</v>
      </c>
      <c r="X649" s="114" t="str">
        <f t="shared" si="526"/>
        <v>IE-LM</v>
      </c>
      <c r="Y649" s="114" t="str">
        <f t="shared" si="526"/>
        <v>IE-MO</v>
      </c>
      <c r="Z649" s="114" t="str">
        <f t="shared" si="526"/>
        <v>IE-RN</v>
      </c>
      <c r="AA649" s="114" t="str">
        <f t="shared" si="526"/>
        <v>IE-SO</v>
      </c>
      <c r="AB649" s="114" t="str">
        <f t="shared" si="526"/>
        <v>IE-CN</v>
      </c>
      <c r="AC649" s="114" t="str">
        <f t="shared" si="526"/>
        <v>IE-DL</v>
      </c>
      <c r="AD649" s="114" t="str">
        <f t="shared" si="526"/>
        <v>IE-MN</v>
      </c>
    </row>
    <row r="650" spans="2:30">
      <c r="B650" s="201" t="s">
        <v>332</v>
      </c>
      <c r="C650" s="201" t="s">
        <v>593</v>
      </c>
      <c r="D650" s="247">
        <v>1.171188111860114</v>
      </c>
      <c r="E650" s="247">
        <v>1.171188111860114</v>
      </c>
      <c r="F650" s="247">
        <v>1.171188111860114</v>
      </c>
      <c r="G650" s="247">
        <v>1.171188111860114</v>
      </c>
      <c r="H650" s="247">
        <v>1.171188111860114</v>
      </c>
      <c r="I650" s="247">
        <v>1.171188111860114</v>
      </c>
      <c r="J650" s="247">
        <v>1.171188111860114</v>
      </c>
      <c r="K650" s="247">
        <v>1.171188111860114</v>
      </c>
      <c r="L650" s="247">
        <v>1.171188111860114</v>
      </c>
      <c r="M650" s="247">
        <v>1.171188111860114</v>
      </c>
      <c r="N650" s="247">
        <v>1.171188111860114</v>
      </c>
      <c r="O650" s="247">
        <v>1.171188111860114</v>
      </c>
      <c r="P650" s="247">
        <v>1.171188111860114</v>
      </c>
      <c r="Q650" s="247">
        <v>1.171188111860114</v>
      </c>
      <c r="R650" s="247">
        <v>1.171188111860114</v>
      </c>
      <c r="S650" s="247">
        <v>1.171188111860114</v>
      </c>
      <c r="T650" s="247">
        <v>1.171188111860114</v>
      </c>
      <c r="U650" s="247">
        <v>1.171188111860114</v>
      </c>
      <c r="V650" s="247">
        <v>1.171188111860114</v>
      </c>
      <c r="W650" s="247">
        <v>1.171188111860114</v>
      </c>
      <c r="X650" s="247">
        <v>1.171188111860114</v>
      </c>
      <c r="Y650" s="247">
        <v>1.171188111860114</v>
      </c>
      <c r="Z650" s="247">
        <v>1.171188111860114</v>
      </c>
      <c r="AA650" s="247">
        <v>1.171188111860114</v>
      </c>
      <c r="AB650" s="247">
        <v>1.171188111860114</v>
      </c>
      <c r="AC650" s="247">
        <v>1.171188111860114</v>
      </c>
      <c r="AD650" s="247">
        <v>1.171188111860114</v>
      </c>
    </row>
    <row r="651" spans="2:30">
      <c r="B651" s="201" t="s">
        <v>333</v>
      </c>
      <c r="C651" s="201" t="s">
        <v>593</v>
      </c>
      <c r="D651" s="247">
        <v>1.192415230181668</v>
      </c>
      <c r="E651" s="247">
        <v>1.192415230181668</v>
      </c>
      <c r="F651" s="247">
        <v>1.192415230181668</v>
      </c>
      <c r="G651" s="247">
        <v>1.192415230181668</v>
      </c>
      <c r="H651" s="247">
        <v>1.192415230181668</v>
      </c>
      <c r="I651" s="247">
        <v>1.192415230181668</v>
      </c>
      <c r="J651" s="247">
        <v>1.192415230181668</v>
      </c>
      <c r="K651" s="247">
        <v>1.192415230181668</v>
      </c>
      <c r="L651" s="247">
        <v>1.192415230181668</v>
      </c>
      <c r="M651" s="247">
        <v>1.192415230181668</v>
      </c>
      <c r="N651" s="247">
        <v>1.192415230181668</v>
      </c>
      <c r="O651" s="247">
        <v>1.192415230181668</v>
      </c>
      <c r="P651" s="247">
        <v>1.192415230181668</v>
      </c>
      <c r="Q651" s="247">
        <v>1.192415230181668</v>
      </c>
      <c r="R651" s="247">
        <v>1.192415230181668</v>
      </c>
      <c r="S651" s="247">
        <v>1.192415230181668</v>
      </c>
      <c r="T651" s="247">
        <v>1.192415230181668</v>
      </c>
      <c r="U651" s="247">
        <v>1.192415230181668</v>
      </c>
      <c r="V651" s="247">
        <v>1.192415230181668</v>
      </c>
      <c r="W651" s="247">
        <v>1.192415230181668</v>
      </c>
      <c r="X651" s="247">
        <v>1.192415230181668</v>
      </c>
      <c r="Y651" s="247">
        <v>1.192415230181668</v>
      </c>
      <c r="Z651" s="247">
        <v>1.192415230181668</v>
      </c>
      <c r="AA651" s="247">
        <v>1.192415230181668</v>
      </c>
      <c r="AB651" s="247">
        <v>1.192415230181668</v>
      </c>
      <c r="AC651" s="247">
        <v>1.192415230181668</v>
      </c>
      <c r="AD651" s="247">
        <v>1.192415230181668</v>
      </c>
    </row>
    <row r="652" spans="2:30">
      <c r="B652" s="201" t="s">
        <v>334</v>
      </c>
      <c r="C652" s="201" t="s">
        <v>593</v>
      </c>
      <c r="D652" s="247">
        <v>1.3235671555470419</v>
      </c>
      <c r="E652" s="247">
        <v>1.3235671555470419</v>
      </c>
      <c r="F652" s="247">
        <v>1.3235671555470419</v>
      </c>
      <c r="G652" s="247">
        <v>1.3235671555470419</v>
      </c>
      <c r="H652" s="247">
        <v>1.3235671555470419</v>
      </c>
      <c r="I652" s="247">
        <v>1.3235671555470419</v>
      </c>
      <c r="J652" s="247">
        <v>1.3235671555470419</v>
      </c>
      <c r="K652" s="247">
        <v>1.3235671555470419</v>
      </c>
      <c r="L652" s="247">
        <v>1.3235671555470419</v>
      </c>
      <c r="M652" s="247">
        <v>1.3235671555470419</v>
      </c>
      <c r="N652" s="247">
        <v>1.3235671555470419</v>
      </c>
      <c r="O652" s="247">
        <v>1.3235671555470419</v>
      </c>
      <c r="P652" s="247">
        <v>1.3235671555470419</v>
      </c>
      <c r="Q652" s="247">
        <v>1.3235671555470419</v>
      </c>
      <c r="R652" s="247">
        <v>1.3235671555470419</v>
      </c>
      <c r="S652" s="247">
        <v>1.3235671555470419</v>
      </c>
      <c r="T652" s="247">
        <v>1.3235671555470419</v>
      </c>
      <c r="U652" s="247">
        <v>1.3235671555470419</v>
      </c>
      <c r="V652" s="247">
        <v>1.3235671555470419</v>
      </c>
      <c r="W652" s="247">
        <v>1.3235671555470419</v>
      </c>
      <c r="X652" s="247">
        <v>1.3235671555470419</v>
      </c>
      <c r="Y652" s="247">
        <v>1.3235671555470419</v>
      </c>
      <c r="Z652" s="247">
        <v>1.3235671555470419</v>
      </c>
      <c r="AA652" s="247">
        <v>1.3235671555470419</v>
      </c>
      <c r="AB652" s="247">
        <v>1.3235671555470419</v>
      </c>
      <c r="AC652" s="247">
        <v>1.3235671555470419</v>
      </c>
      <c r="AD652" s="247">
        <v>1.3235671555470419</v>
      </c>
    </row>
    <row r="653" spans="2:30">
      <c r="B653" s="201" t="s">
        <v>335</v>
      </c>
      <c r="C653" s="201" t="s">
        <v>593</v>
      </c>
      <c r="D653" s="247">
        <v>1.3373617691545401</v>
      </c>
      <c r="E653" s="247">
        <v>1.3373617691545401</v>
      </c>
      <c r="F653" s="247">
        <v>1.3373617691545401</v>
      </c>
      <c r="G653" s="247">
        <v>1.3373617691545401</v>
      </c>
      <c r="H653" s="247">
        <v>1.3373617691545401</v>
      </c>
      <c r="I653" s="247">
        <v>1.3373617691545401</v>
      </c>
      <c r="J653" s="247">
        <v>1.3373617691545401</v>
      </c>
      <c r="K653" s="247">
        <v>1.3373617691545401</v>
      </c>
      <c r="L653" s="247">
        <v>1.3373617691545401</v>
      </c>
      <c r="M653" s="247">
        <v>1.3373617691545401</v>
      </c>
      <c r="N653" s="247">
        <v>1.3373617691545401</v>
      </c>
      <c r="O653" s="247">
        <v>1.3373617691545401</v>
      </c>
      <c r="P653" s="247">
        <v>1.3373617691545401</v>
      </c>
      <c r="Q653" s="247">
        <v>1.3373617691545401</v>
      </c>
      <c r="R653" s="247">
        <v>1.3373617691545401</v>
      </c>
      <c r="S653" s="247">
        <v>1.3373617691545401</v>
      </c>
      <c r="T653" s="247">
        <v>1.3373617691545401</v>
      </c>
      <c r="U653" s="247">
        <v>1.3373617691545401</v>
      </c>
      <c r="V653" s="247">
        <v>1.3373617691545401</v>
      </c>
      <c r="W653" s="247">
        <v>1.3373617691545401</v>
      </c>
      <c r="X653" s="247">
        <v>1.3373617691545401</v>
      </c>
      <c r="Y653" s="247">
        <v>1.3373617691545401</v>
      </c>
      <c r="Z653" s="247">
        <v>1.3373617691545401</v>
      </c>
      <c r="AA653" s="247">
        <v>1.3373617691545401</v>
      </c>
      <c r="AB653" s="247">
        <v>1.3373617691545401</v>
      </c>
      <c r="AC653" s="247">
        <v>1.3373617691545401</v>
      </c>
      <c r="AD653" s="247">
        <v>1.3373617691545401</v>
      </c>
    </row>
    <row r="654" spans="2:30">
      <c r="B654" s="201" t="s">
        <v>336</v>
      </c>
      <c r="C654" s="201" t="s">
        <v>593</v>
      </c>
      <c r="D654" s="247">
        <v>1.4009525553811268</v>
      </c>
      <c r="E654" s="247">
        <v>1.4009525553811268</v>
      </c>
      <c r="F654" s="247">
        <v>1.4009525553811268</v>
      </c>
      <c r="G654" s="247">
        <v>1.4009525553811268</v>
      </c>
      <c r="H654" s="247">
        <v>1.4009525553811268</v>
      </c>
      <c r="I654" s="247">
        <v>1.4009525553811268</v>
      </c>
      <c r="J654" s="247">
        <v>1.4009525553811268</v>
      </c>
      <c r="K654" s="247">
        <v>1.4009525553811268</v>
      </c>
      <c r="L654" s="247">
        <v>1.4009525553811268</v>
      </c>
      <c r="M654" s="247">
        <v>1.4009525553811268</v>
      </c>
      <c r="N654" s="247">
        <v>1.4009525553811268</v>
      </c>
      <c r="O654" s="247">
        <v>1.4009525553811268</v>
      </c>
      <c r="P654" s="247">
        <v>1.4009525553811268</v>
      </c>
      <c r="Q654" s="247">
        <v>1.4009525553811268</v>
      </c>
      <c r="R654" s="247">
        <v>1.4009525553811268</v>
      </c>
      <c r="S654" s="247">
        <v>1.4009525553811268</v>
      </c>
      <c r="T654" s="247">
        <v>1.4009525553811268</v>
      </c>
      <c r="U654" s="247">
        <v>1.4009525553811268</v>
      </c>
      <c r="V654" s="247">
        <v>1.4009525553811268</v>
      </c>
      <c r="W654" s="247">
        <v>1.4009525553811268</v>
      </c>
      <c r="X654" s="247">
        <v>1.4009525553811268</v>
      </c>
      <c r="Y654" s="247">
        <v>1.4009525553811268</v>
      </c>
      <c r="Z654" s="247">
        <v>1.4009525553811268</v>
      </c>
      <c r="AA654" s="247">
        <v>1.4009525553811268</v>
      </c>
      <c r="AB654" s="247">
        <v>1.4009525553811268</v>
      </c>
      <c r="AC654" s="247">
        <v>1.4009525553811268</v>
      </c>
      <c r="AD654" s="247">
        <v>1.4009525553811268</v>
      </c>
    </row>
    <row r="655" spans="2:30">
      <c r="B655" s="201" t="s">
        <v>337</v>
      </c>
      <c r="C655" s="201" t="s">
        <v>593</v>
      </c>
      <c r="D655" s="247">
        <v>1.4082063462648766</v>
      </c>
      <c r="E655" s="247">
        <v>1.4082063462648766</v>
      </c>
      <c r="F655" s="247">
        <v>1.4082063462648766</v>
      </c>
      <c r="G655" s="247">
        <v>1.4082063462648766</v>
      </c>
      <c r="H655" s="247">
        <v>1.4082063462648766</v>
      </c>
      <c r="I655" s="247">
        <v>1.4082063462648766</v>
      </c>
      <c r="J655" s="247">
        <v>1.4082063462648766</v>
      </c>
      <c r="K655" s="247">
        <v>1.4082063462648766</v>
      </c>
      <c r="L655" s="247">
        <v>1.4082063462648766</v>
      </c>
      <c r="M655" s="247">
        <v>1.4082063462648766</v>
      </c>
      <c r="N655" s="247">
        <v>1.4082063462648766</v>
      </c>
      <c r="O655" s="247">
        <v>1.4082063462648766</v>
      </c>
      <c r="P655" s="247">
        <v>1.4082063462648766</v>
      </c>
      <c r="Q655" s="247">
        <v>1.4082063462648766</v>
      </c>
      <c r="R655" s="247">
        <v>1.4082063462648766</v>
      </c>
      <c r="S655" s="247">
        <v>1.4082063462648766</v>
      </c>
      <c r="T655" s="247">
        <v>1.4082063462648766</v>
      </c>
      <c r="U655" s="247">
        <v>1.4082063462648766</v>
      </c>
      <c r="V655" s="247">
        <v>1.4082063462648766</v>
      </c>
      <c r="W655" s="247">
        <v>1.4082063462648766</v>
      </c>
      <c r="X655" s="247">
        <v>1.4082063462648766</v>
      </c>
      <c r="Y655" s="247">
        <v>1.4082063462648766</v>
      </c>
      <c r="Z655" s="247">
        <v>1.4082063462648766</v>
      </c>
      <c r="AA655" s="247">
        <v>1.4082063462648766</v>
      </c>
      <c r="AB655" s="247">
        <v>1.4082063462648766</v>
      </c>
      <c r="AC655" s="247">
        <v>1.4082063462648766</v>
      </c>
      <c r="AD655" s="247">
        <v>1.4082063462648766</v>
      </c>
    </row>
    <row r="656" spans="2:30">
      <c r="B656" s="200" t="s">
        <v>338</v>
      </c>
      <c r="C656" s="200" t="s">
        <v>593</v>
      </c>
      <c r="D656" s="248">
        <v>1.5780931425905766</v>
      </c>
      <c r="E656" s="248">
        <v>1.5780931425905766</v>
      </c>
      <c r="F656" s="248">
        <v>1.5780931425905766</v>
      </c>
      <c r="G656" s="248">
        <v>1.5780931425905766</v>
      </c>
      <c r="H656" s="248">
        <v>1.5780931425905766</v>
      </c>
      <c r="I656" s="248">
        <v>1.5780931425905766</v>
      </c>
      <c r="J656" s="248">
        <v>1.5780931425905766</v>
      </c>
      <c r="K656" s="248">
        <v>1.5780931425905766</v>
      </c>
      <c r="L656" s="248">
        <v>1.5780931425905766</v>
      </c>
      <c r="M656" s="248">
        <v>1.5780931425905766</v>
      </c>
      <c r="N656" s="248">
        <v>1.5780931425905766</v>
      </c>
      <c r="O656" s="248">
        <v>1.5780931425905766</v>
      </c>
      <c r="P656" s="248">
        <v>1.5780931425905766</v>
      </c>
      <c r="Q656" s="248">
        <v>1.5780931425905766</v>
      </c>
      <c r="R656" s="248">
        <v>1.5780931425905766</v>
      </c>
      <c r="S656" s="248">
        <v>1.5780931425905766</v>
      </c>
      <c r="T656" s="248">
        <v>1.5780931425905766</v>
      </c>
      <c r="U656" s="248">
        <v>1.5780931425905766</v>
      </c>
      <c r="V656" s="248">
        <v>1.5780931425905766</v>
      </c>
      <c r="W656" s="248">
        <v>1.5780931425905766</v>
      </c>
      <c r="X656" s="248">
        <v>1.5780931425905766</v>
      </c>
      <c r="Y656" s="248">
        <v>1.5780931425905766</v>
      </c>
      <c r="Z656" s="248">
        <v>1.5780931425905766</v>
      </c>
      <c r="AA656" s="248">
        <v>1.5780931425905766</v>
      </c>
      <c r="AB656" s="248">
        <v>1.5780931425905766</v>
      </c>
      <c r="AC656" s="248">
        <v>1.5780931425905766</v>
      </c>
      <c r="AD656" s="248">
        <v>1.5780931425905766</v>
      </c>
    </row>
    <row r="657" spans="2:30">
      <c r="B657" s="252" t="s">
        <v>597</v>
      </c>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c r="AC657" s="201"/>
      <c r="AD657" s="201"/>
    </row>
    <row r="658" spans="2:30">
      <c r="B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c r="AC658" s="201"/>
      <c r="AD658" s="201"/>
    </row>
    <row r="659" spans="2:30">
      <c r="B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c r="AC659" s="201"/>
      <c r="AD659" s="201"/>
    </row>
    <row r="660" spans="2:30">
      <c r="B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c r="AC660" s="201"/>
      <c r="AD660" s="201"/>
    </row>
    <row r="661" spans="2:30" ht="15.6">
      <c r="B661" s="167" t="s">
        <v>646</v>
      </c>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c r="AC661" s="201"/>
      <c r="AD661" s="201"/>
    </row>
    <row r="662" spans="2:30">
      <c r="B662" s="114" t="s">
        <v>588</v>
      </c>
      <c r="C662" s="114" t="s">
        <v>63</v>
      </c>
      <c r="D662" s="114" t="str">
        <f>D649</f>
        <v>IE</v>
      </c>
      <c r="E662" s="114" t="str">
        <f t="shared" ref="E662:AD662" si="527">E649</f>
        <v>IE-CW</v>
      </c>
      <c r="F662" s="114" t="str">
        <f t="shared" si="527"/>
        <v>IE-D</v>
      </c>
      <c r="G662" s="114" t="str">
        <f t="shared" si="527"/>
        <v>IE-KE</v>
      </c>
      <c r="H662" s="114" t="str">
        <f t="shared" si="527"/>
        <v>IE-KK</v>
      </c>
      <c r="I662" s="114" t="str">
        <f t="shared" si="527"/>
        <v>IE-LS</v>
      </c>
      <c r="J662" s="114" t="str">
        <f t="shared" si="527"/>
        <v>IE-LD</v>
      </c>
      <c r="K662" s="114" t="str">
        <f t="shared" si="527"/>
        <v>IE-LH</v>
      </c>
      <c r="L662" s="114" t="str">
        <f t="shared" si="527"/>
        <v>IE-MH</v>
      </c>
      <c r="M662" s="114" t="str">
        <f t="shared" si="527"/>
        <v>IE-OY</v>
      </c>
      <c r="N662" s="114" t="str">
        <f t="shared" si="527"/>
        <v>IE-WH</v>
      </c>
      <c r="O662" s="114" t="str">
        <f t="shared" si="527"/>
        <v>IE-WX</v>
      </c>
      <c r="P662" s="114" t="str">
        <f t="shared" si="527"/>
        <v>IE-WW</v>
      </c>
      <c r="Q662" s="114" t="str">
        <f t="shared" si="527"/>
        <v>IE-CE</v>
      </c>
      <c r="R662" s="114" t="str">
        <f t="shared" si="527"/>
        <v>IE-CO</v>
      </c>
      <c r="S662" s="114" t="str">
        <f t="shared" si="527"/>
        <v>IE-KY</v>
      </c>
      <c r="T662" s="114" t="str">
        <f t="shared" si="527"/>
        <v>IE-LK</v>
      </c>
      <c r="U662" s="114" t="str">
        <f t="shared" si="527"/>
        <v>IE-TA</v>
      </c>
      <c r="V662" s="114" t="str">
        <f t="shared" si="527"/>
        <v>IE-WD</v>
      </c>
      <c r="W662" s="114" t="str">
        <f t="shared" si="527"/>
        <v>IE-G</v>
      </c>
      <c r="X662" s="114" t="str">
        <f t="shared" si="527"/>
        <v>IE-LM</v>
      </c>
      <c r="Y662" s="114" t="str">
        <f t="shared" si="527"/>
        <v>IE-MO</v>
      </c>
      <c r="Z662" s="114" t="str">
        <f t="shared" si="527"/>
        <v>IE-RN</v>
      </c>
      <c r="AA662" s="114" t="str">
        <f t="shared" si="527"/>
        <v>IE-SO</v>
      </c>
      <c r="AB662" s="114" t="str">
        <f t="shared" si="527"/>
        <v>IE-CN</v>
      </c>
      <c r="AC662" s="114" t="str">
        <f t="shared" si="527"/>
        <v>IE-DL</v>
      </c>
      <c r="AD662" s="114" t="str">
        <f t="shared" si="527"/>
        <v>IE-MN</v>
      </c>
    </row>
    <row r="663" spans="2:30">
      <c r="B663" s="201" t="s">
        <v>609</v>
      </c>
      <c r="C663" s="201" t="s">
        <v>593</v>
      </c>
      <c r="D663" s="247">
        <f t="shared" ref="D663:I663" si="528">SUMPRODUCT(D637:D643,D650:D656)</f>
        <v>1.3982902286261438</v>
      </c>
      <c r="E663" s="247">
        <f t="shared" si="528"/>
        <v>1.4293400056268426</v>
      </c>
      <c r="F663" s="247">
        <f t="shared" si="528"/>
        <v>1.3973214674009706</v>
      </c>
      <c r="G663" s="247">
        <f t="shared" si="528"/>
        <v>1.3977513781816078</v>
      </c>
      <c r="H663" s="247">
        <f t="shared" si="528"/>
        <v>1.5780931425905766</v>
      </c>
      <c r="I663" s="247">
        <f t="shared" si="528"/>
        <v>1.37363011166233</v>
      </c>
      <c r="J663" s="247">
        <f>D663</f>
        <v>1.3982902286261438</v>
      </c>
      <c r="K663" s="247">
        <f t="shared" ref="K663:W663" si="529">SUMPRODUCT(K637:K643,K650:K656)</f>
        <v>1.4418174563639825</v>
      </c>
      <c r="L663" s="247">
        <f t="shared" si="529"/>
        <v>1.3915029397913203</v>
      </c>
      <c r="M663" s="247">
        <f t="shared" si="529"/>
        <v>1.4009525553811268</v>
      </c>
      <c r="N663" s="247">
        <f t="shared" si="529"/>
        <v>1.4092790578405063</v>
      </c>
      <c r="O663" s="247">
        <f t="shared" si="529"/>
        <v>1.4009525553811268</v>
      </c>
      <c r="P663" s="247">
        <f t="shared" si="529"/>
        <v>1.4184217555323364</v>
      </c>
      <c r="Q663" s="247">
        <f t="shared" si="529"/>
        <v>1.3827837593163879</v>
      </c>
      <c r="R663" s="247">
        <f t="shared" si="529"/>
        <v>1.3882009893803255</v>
      </c>
      <c r="S663" s="247">
        <f t="shared" si="529"/>
        <v>1.3435114445008736</v>
      </c>
      <c r="T663" s="247">
        <f t="shared" si="529"/>
        <v>1.3856561581194693</v>
      </c>
      <c r="U663" s="247">
        <f t="shared" si="529"/>
        <v>1.4624173480788598</v>
      </c>
      <c r="V663" s="247">
        <f t="shared" si="529"/>
        <v>1.4082063462648766</v>
      </c>
      <c r="W663" s="247">
        <f t="shared" si="529"/>
        <v>1.4594314273063471</v>
      </c>
      <c r="X663" s="247">
        <f>D663</f>
        <v>1.3982902286261438</v>
      </c>
      <c r="Y663" s="247">
        <f>SUMPRODUCT(Y637:Y643,Y650:Y656)</f>
        <v>1.3691571622678333</v>
      </c>
      <c r="Z663" s="247">
        <f>D663</f>
        <v>1.3982902286261438</v>
      </c>
      <c r="AA663" s="247">
        <f>SUMPRODUCT(AA637:AA643,AA650:AA656)</f>
        <v>1.4045794508230016</v>
      </c>
      <c r="AB663" s="247">
        <f>SUMPRODUCT(AB637:AB643,AB650:AB656)</f>
        <v>1.171188111860114</v>
      </c>
      <c r="AC663" s="247">
        <f>SUMPRODUCT(AC637:AC643,AC650:AC656)</f>
        <v>1.4009525553811268</v>
      </c>
      <c r="AD663" s="247">
        <f>D663</f>
        <v>1.3982902286261438</v>
      </c>
    </row>
    <row r="664" spans="2:30">
      <c r="B664" s="200"/>
      <c r="C664" s="200" t="s">
        <v>581</v>
      </c>
      <c r="D664" s="250">
        <f>1000/D663</f>
        <v>715.15911327115953</v>
      </c>
      <c r="E664" s="250">
        <f>1000/E663</f>
        <v>699.62359974766548</v>
      </c>
      <c r="F664" s="250">
        <f>1000/F663</f>
        <v>715.65493218966151</v>
      </c>
      <c r="G664" s="250">
        <f>1000/G663</f>
        <v>715.43481595485252</v>
      </c>
      <c r="H664" s="250">
        <f t="shared" ref="H664" si="530">1000/H663</f>
        <v>633.67615827695272</v>
      </c>
      <c r="I664" s="250">
        <f t="shared" ref="I664" si="531">1000/I663</f>
        <v>727.99801890614287</v>
      </c>
      <c r="J664" s="250">
        <f t="shared" ref="J664" si="532">1000/J663</f>
        <v>715.15911327115953</v>
      </c>
      <c r="K664" s="250">
        <f t="shared" ref="K664" si="533">1000/K663</f>
        <v>693.56907532651826</v>
      </c>
      <c r="L664" s="250">
        <f t="shared" ref="L664" si="534">1000/L663</f>
        <v>718.64742172227614</v>
      </c>
      <c r="M664" s="250">
        <f t="shared" ref="M664" si="535">1000/M663</f>
        <v>713.80004708864078</v>
      </c>
      <c r="N664" s="250">
        <f t="shared" ref="N664" si="536">1000/N663</f>
        <v>709.58267238593555</v>
      </c>
      <c r="O664" s="250">
        <f t="shared" ref="O664" si="537">1000/O663</f>
        <v>713.80004708864078</v>
      </c>
      <c r="P664" s="250">
        <f t="shared" ref="P664" si="538">1000/P663</f>
        <v>705.00892706957814</v>
      </c>
      <c r="Q664" s="250">
        <f t="shared" ref="Q664" si="539">1000/Q663</f>
        <v>723.17887251899299</v>
      </c>
      <c r="R664" s="250">
        <f t="shared" ref="R664" si="540">1000/R663</f>
        <v>720.35678381585558</v>
      </c>
      <c r="S664" s="250">
        <f t="shared" ref="S664" si="541">1000/S663</f>
        <v>744.31818507620449</v>
      </c>
      <c r="T664" s="250">
        <f t="shared" ref="T664" si="542">1000/T663</f>
        <v>721.67975737728534</v>
      </c>
      <c r="U664" s="250">
        <f t="shared" ref="U664" si="543">1000/U663</f>
        <v>683.7993280876176</v>
      </c>
      <c r="V664" s="250">
        <f t="shared" ref="V664" si="544">1000/V663</f>
        <v>710.12320222274082</v>
      </c>
      <c r="W664" s="250">
        <f t="shared" ref="W664" si="545">1000/W663</f>
        <v>685.1983459378331</v>
      </c>
      <c r="X664" s="250">
        <f t="shared" ref="X664" si="546">1000/X663</f>
        <v>715.15911327115953</v>
      </c>
      <c r="Y664" s="250">
        <f t="shared" ref="Y664" si="547">1000/Y663</f>
        <v>730.37634214587035</v>
      </c>
      <c r="Z664" s="250">
        <f t="shared" ref="Z664" si="548">1000/Z663</f>
        <v>715.15911327115953</v>
      </c>
      <c r="AA664" s="250">
        <f t="shared" ref="AA664" si="549">1000/AA663</f>
        <v>711.95687749387071</v>
      </c>
      <c r="AB664" s="250">
        <f t="shared" ref="AB664" si="550">1000/AB663</f>
        <v>853.83380336039431</v>
      </c>
      <c r="AC664" s="250">
        <f t="shared" ref="AC664" si="551">1000/AC663</f>
        <v>713.80004708864078</v>
      </c>
      <c r="AD664" s="250">
        <f t="shared" ref="AD664" si="552">1000/AD663</f>
        <v>715.15911327115953</v>
      </c>
    </row>
    <row r="668" spans="2:30" s="12" customFormat="1"/>
    <row r="673" spans="1:15">
      <c r="I673" s="201"/>
      <c r="J673" s="201"/>
      <c r="K673" s="201"/>
      <c r="L673" s="201"/>
    </row>
    <row r="674" spans="1:15">
      <c r="B674" t="s">
        <v>782</v>
      </c>
      <c r="I674" s="201"/>
      <c r="J674" s="201"/>
      <c r="K674" s="201"/>
      <c r="L674" s="201"/>
    </row>
    <row r="675" spans="1:15">
      <c r="B675" s="17" t="s">
        <v>2</v>
      </c>
      <c r="C675" s="17"/>
      <c r="D675" s="17">
        <v>2014</v>
      </c>
      <c r="E675" s="17">
        <v>2015</v>
      </c>
      <c r="F675" s="17">
        <v>2016</v>
      </c>
      <c r="G675" s="17">
        <v>2017</v>
      </c>
      <c r="H675" s="17">
        <v>2018</v>
      </c>
      <c r="I675" s="201"/>
      <c r="J675" s="201"/>
      <c r="K675" s="201"/>
      <c r="L675" s="201"/>
    </row>
    <row r="676" spans="1:15">
      <c r="B676" s="201" t="s">
        <v>44</v>
      </c>
      <c r="C676" s="117"/>
      <c r="D676" s="117">
        <v>414900</v>
      </c>
      <c r="E676" s="117">
        <f>D676</f>
        <v>414900</v>
      </c>
      <c r="F676" s="117">
        <v>429000</v>
      </c>
      <c r="G676" s="117">
        <v>438000</v>
      </c>
      <c r="H676" s="117">
        <v>445500</v>
      </c>
      <c r="I676" s="201"/>
      <c r="J676" s="201"/>
      <c r="K676" s="201"/>
      <c r="L676" s="201"/>
    </row>
    <row r="677" spans="1:15">
      <c r="B677" s="201" t="s">
        <v>43</v>
      </c>
      <c r="C677" s="117"/>
      <c r="D677" s="117">
        <v>19200</v>
      </c>
      <c r="E677" s="117">
        <f>D677</f>
        <v>19200</v>
      </c>
      <c r="F677" s="117">
        <v>24458</v>
      </c>
      <c r="G677" s="117">
        <v>25240</v>
      </c>
      <c r="H677" s="117">
        <v>26222</v>
      </c>
      <c r="I677" s="201"/>
      <c r="J677" s="201"/>
      <c r="K677" s="201"/>
      <c r="L677" s="201"/>
    </row>
    <row r="678" spans="1:15">
      <c r="B678" s="201" t="s">
        <v>45</v>
      </c>
      <c r="C678" s="117"/>
      <c r="D678" s="117">
        <v>15300</v>
      </c>
      <c r="E678" s="117">
        <f t="shared" ref="E678:E693" si="553">D678</f>
        <v>15300</v>
      </c>
      <c r="F678" s="117">
        <v>15700</v>
      </c>
      <c r="G678" s="117">
        <v>15527</v>
      </c>
      <c r="H678" s="117">
        <v>15005</v>
      </c>
      <c r="I678" s="201"/>
      <c r="J678" s="201"/>
      <c r="K678" s="201"/>
      <c r="L678" s="201"/>
    </row>
    <row r="679" spans="1:15">
      <c r="B679" s="201" t="s">
        <v>46</v>
      </c>
      <c r="C679" s="117"/>
      <c r="D679" s="117">
        <v>37400</v>
      </c>
      <c r="E679" s="117">
        <f t="shared" si="553"/>
        <v>37400</v>
      </c>
      <c r="F679" s="117">
        <v>36889</v>
      </c>
      <c r="G679" s="117">
        <v>36816</v>
      </c>
      <c r="H679" s="117">
        <v>37031</v>
      </c>
      <c r="I679" s="201"/>
      <c r="J679" s="201"/>
      <c r="K679" s="201"/>
      <c r="L679" s="201"/>
    </row>
    <row r="680" spans="1:15">
      <c r="B680" s="201" t="s">
        <v>47</v>
      </c>
      <c r="C680" s="117"/>
      <c r="D680" s="117">
        <v>8400</v>
      </c>
      <c r="E680" s="117">
        <f t="shared" si="553"/>
        <v>8400</v>
      </c>
      <c r="F680" s="117">
        <v>8700</v>
      </c>
      <c r="G680" s="117">
        <v>8600</v>
      </c>
      <c r="H680" s="117">
        <v>9032</v>
      </c>
      <c r="I680" s="201"/>
      <c r="J680" s="201"/>
      <c r="K680" s="201"/>
      <c r="L680" s="201"/>
    </row>
    <row r="681" spans="1:15">
      <c r="B681" s="201" t="s">
        <v>48</v>
      </c>
      <c r="C681" s="117"/>
      <c r="D681" s="117">
        <v>495200</v>
      </c>
      <c r="E681" s="117">
        <f t="shared" si="553"/>
        <v>495200</v>
      </c>
      <c r="F681" s="117">
        <f t="shared" ref="F681:G681" si="554">SUM(F676:F680)</f>
        <v>514747</v>
      </c>
      <c r="G681" s="117">
        <f t="shared" si="554"/>
        <v>524183</v>
      </c>
      <c r="H681" s="117">
        <f>SUM(H676:H680)</f>
        <v>532790</v>
      </c>
      <c r="I681" s="201"/>
      <c r="J681" s="201"/>
      <c r="K681" s="201"/>
      <c r="L681" s="201"/>
    </row>
    <row r="682" spans="1:15">
      <c r="B682" s="201"/>
      <c r="C682" s="16"/>
      <c r="D682" s="16">
        <v>0.64</v>
      </c>
      <c r="E682" s="16">
        <f t="shared" si="553"/>
        <v>0.64</v>
      </c>
      <c r="F682" s="16"/>
      <c r="G682" s="16"/>
      <c r="H682" s="16"/>
      <c r="I682" s="201"/>
      <c r="J682" s="201"/>
      <c r="K682" s="201"/>
      <c r="L682" s="201"/>
    </row>
    <row r="683" spans="1:15">
      <c r="B683" s="201" t="s">
        <v>49</v>
      </c>
      <c r="C683" s="117"/>
      <c r="D683" s="117">
        <v>1803</v>
      </c>
      <c r="E683" s="117">
        <f t="shared" si="553"/>
        <v>1803</v>
      </c>
      <c r="F683" s="117">
        <v>1990</v>
      </c>
      <c r="G683" s="117">
        <v>2121</v>
      </c>
      <c r="H683" s="117">
        <v>2281</v>
      </c>
      <c r="I683" s="201"/>
      <c r="J683" s="201"/>
      <c r="K683" s="201"/>
    </row>
    <row r="684" spans="1:15">
      <c r="B684" s="201" t="s">
        <v>50</v>
      </c>
      <c r="D684" s="201">
        <v>2.75</v>
      </c>
      <c r="E684" s="117">
        <f t="shared" si="553"/>
        <v>2.75</v>
      </c>
      <c r="F684" s="20">
        <v>2.59</v>
      </c>
      <c r="G684" s="20">
        <v>2.4700000000000002</v>
      </c>
      <c r="H684" s="20">
        <v>2.34</v>
      </c>
      <c r="I684" s="201"/>
      <c r="J684" s="201"/>
      <c r="K684" s="201"/>
      <c r="L684" s="201"/>
    </row>
    <row r="685" spans="1:15" s="201" customFormat="1">
      <c r="A685" s="548"/>
      <c r="B685" s="201" t="s">
        <v>781</v>
      </c>
      <c r="D685" s="118">
        <f>10000*1000/D684/3600</f>
        <v>1010.10101010101</v>
      </c>
      <c r="E685" s="118">
        <f t="shared" ref="E685:H685" si="555">10000*1000/E684/3600</f>
        <v>1010.10101010101</v>
      </c>
      <c r="F685" s="118">
        <f t="shared" si="555"/>
        <v>1072.5010725010725</v>
      </c>
      <c r="G685" s="118">
        <f t="shared" si="555"/>
        <v>1124.6063877642825</v>
      </c>
      <c r="H685" s="118">
        <f t="shared" si="555"/>
        <v>1187.0845204178538</v>
      </c>
    </row>
    <row r="686" spans="1:15">
      <c r="B686" s="201"/>
      <c r="C686" s="16"/>
      <c r="D686" s="16">
        <v>0.69</v>
      </c>
      <c r="E686" s="16">
        <f t="shared" si="553"/>
        <v>0.69</v>
      </c>
      <c r="F686" s="16"/>
      <c r="G686" s="16"/>
      <c r="H686" s="16"/>
      <c r="I686" s="201"/>
      <c r="J686" s="201"/>
      <c r="K686" s="201"/>
      <c r="L686" s="201"/>
    </row>
    <row r="687" spans="1:15">
      <c r="B687" s="201" t="s">
        <v>51</v>
      </c>
      <c r="D687" s="201">
        <v>18.399999999999999</v>
      </c>
      <c r="E687" s="117">
        <f t="shared" si="553"/>
        <v>18.399999999999999</v>
      </c>
      <c r="F687" s="201">
        <v>18.399999999999999</v>
      </c>
      <c r="G687" s="201">
        <v>18.63</v>
      </c>
      <c r="H687" s="201">
        <v>18.88</v>
      </c>
      <c r="I687" s="201"/>
      <c r="J687" s="201"/>
      <c r="K687" s="201"/>
      <c r="L687" s="201"/>
      <c r="M687" s="201"/>
      <c r="N687" s="201"/>
      <c r="O687" s="201"/>
    </row>
    <row r="688" spans="1:15">
      <c r="B688" s="201" t="s">
        <v>52</v>
      </c>
      <c r="D688" s="201">
        <v>2.69</v>
      </c>
      <c r="E688" s="117">
        <f t="shared" si="553"/>
        <v>2.69</v>
      </c>
      <c r="F688" s="201">
        <v>2.8</v>
      </c>
      <c r="G688" s="201">
        <v>2.82</v>
      </c>
      <c r="H688" s="201">
        <v>2.82</v>
      </c>
      <c r="I688" s="201"/>
      <c r="J688" s="201"/>
      <c r="K688" s="201"/>
      <c r="L688" s="201"/>
      <c r="M688" s="201"/>
      <c r="N688" s="201"/>
      <c r="O688" s="201"/>
    </row>
    <row r="689" spans="1:15">
      <c r="B689" s="201"/>
      <c r="C689" s="16"/>
      <c r="D689" s="16">
        <v>0.65</v>
      </c>
      <c r="E689" s="16">
        <f t="shared" si="553"/>
        <v>0.65</v>
      </c>
      <c r="F689" s="16"/>
      <c r="G689" s="16"/>
      <c r="H689" s="16"/>
      <c r="I689" s="201"/>
      <c r="J689" s="201"/>
      <c r="K689" s="201"/>
      <c r="L689" s="201"/>
      <c r="M689" s="201"/>
      <c r="N689" s="201"/>
      <c r="O689" s="201"/>
    </row>
    <row r="690" spans="1:15">
      <c r="B690" s="201" t="s">
        <v>53</v>
      </c>
      <c r="D690" s="201">
        <v>597</v>
      </c>
      <c r="E690" s="117">
        <f t="shared" si="553"/>
        <v>597</v>
      </c>
      <c r="F690" s="201">
        <v>614</v>
      </c>
      <c r="G690" s="201">
        <v>616</v>
      </c>
      <c r="H690" s="201">
        <v>617</v>
      </c>
      <c r="I690" s="201"/>
      <c r="J690" s="201"/>
      <c r="K690" s="201"/>
      <c r="L690" s="201"/>
      <c r="M690" s="201"/>
      <c r="N690" s="201"/>
      <c r="O690" s="201"/>
    </row>
    <row r="691" spans="1:15">
      <c r="B691" s="201"/>
      <c r="C691" s="16"/>
      <c r="D691" s="16">
        <v>1.53</v>
      </c>
      <c r="E691" s="16">
        <f t="shared" si="553"/>
        <v>1.53</v>
      </c>
      <c r="F691" s="16"/>
      <c r="G691" s="16"/>
      <c r="H691" s="16"/>
      <c r="I691" s="201"/>
      <c r="J691" s="201"/>
      <c r="K691" s="201"/>
      <c r="L691" s="201"/>
      <c r="M691" s="201"/>
      <c r="N691" s="201"/>
      <c r="O691" s="201"/>
    </row>
    <row r="692" spans="1:15">
      <c r="B692" s="201" t="s">
        <v>54</v>
      </c>
      <c r="D692" s="201">
        <v>0.77</v>
      </c>
      <c r="E692" s="117">
        <f t="shared" si="553"/>
        <v>0.77</v>
      </c>
      <c r="F692" s="201">
        <v>0.74</v>
      </c>
      <c r="G692" s="201">
        <v>0.55000000000000004</v>
      </c>
      <c r="H692" s="201">
        <v>0.56000000000000005</v>
      </c>
      <c r="I692" s="201"/>
      <c r="J692" s="201"/>
      <c r="K692" s="201"/>
      <c r="L692" s="201"/>
      <c r="M692" s="201"/>
      <c r="N692" s="201"/>
      <c r="O692" s="201"/>
    </row>
    <row r="693" spans="1:15">
      <c r="B693" s="18"/>
      <c r="C693" s="19"/>
      <c r="D693" s="19">
        <v>2.27</v>
      </c>
      <c r="E693" s="19">
        <f t="shared" si="553"/>
        <v>2.27</v>
      </c>
      <c r="F693" s="19"/>
      <c r="G693" s="19"/>
      <c r="H693" s="19"/>
      <c r="I693" s="201"/>
      <c r="J693" s="201"/>
      <c r="K693" s="201"/>
      <c r="L693" s="201"/>
      <c r="M693" s="201"/>
      <c r="N693" s="201"/>
      <c r="O693" s="201"/>
    </row>
    <row r="694" spans="1:15">
      <c r="B694" s="201" t="s">
        <v>341</v>
      </c>
      <c r="D694" s="201"/>
      <c r="E694" s="201"/>
      <c r="G694" s="201"/>
      <c r="H694" s="201"/>
      <c r="I694" s="201"/>
      <c r="J694" s="201"/>
      <c r="K694" s="201"/>
      <c r="L694" s="201"/>
      <c r="M694" s="201"/>
      <c r="N694" s="201"/>
      <c r="O694" s="201"/>
    </row>
    <row r="695" spans="1:15">
      <c r="B695" s="131" t="s">
        <v>342</v>
      </c>
      <c r="C695" s="117"/>
      <c r="D695" s="117"/>
      <c r="E695" s="117"/>
      <c r="G695" s="117"/>
      <c r="H695" s="117"/>
      <c r="I695" s="117"/>
      <c r="J695" s="117"/>
    </row>
    <row r="698" spans="1:15">
      <c r="B698" s="17"/>
      <c r="C698" s="17" t="s">
        <v>476</v>
      </c>
      <c r="D698" s="17">
        <v>2014</v>
      </c>
      <c r="E698" s="17">
        <v>2015</v>
      </c>
      <c r="F698" s="17">
        <v>2016</v>
      </c>
      <c r="G698" s="17">
        <v>2017</v>
      </c>
      <c r="H698" s="17">
        <v>2018</v>
      </c>
    </row>
    <row r="699" spans="1:15">
      <c r="B699" s="22" t="s">
        <v>787</v>
      </c>
      <c r="C699" s="201" t="s">
        <v>783</v>
      </c>
      <c r="D699" s="117">
        <f>D677+D679</f>
        <v>56600</v>
      </c>
      <c r="E699" s="117">
        <f t="shared" ref="E699:H699" si="556">E677+E679</f>
        <v>56600</v>
      </c>
      <c r="F699" s="117">
        <f t="shared" si="556"/>
        <v>61347</v>
      </c>
      <c r="G699" s="117">
        <f t="shared" si="556"/>
        <v>62056</v>
      </c>
      <c r="H699" s="117">
        <f t="shared" si="556"/>
        <v>63253</v>
      </c>
    </row>
    <row r="700" spans="1:15">
      <c r="B700" s="22" t="s">
        <v>786</v>
      </c>
      <c r="C700" s="201" t="s">
        <v>783</v>
      </c>
      <c r="D700" s="117">
        <f>D676+D678</f>
        <v>430200</v>
      </c>
      <c r="E700" s="117">
        <f t="shared" ref="E700:H700" si="557">E676+E678</f>
        <v>430200</v>
      </c>
      <c r="F700" s="117">
        <f t="shared" si="557"/>
        <v>444700</v>
      </c>
      <c r="G700" s="117">
        <f t="shared" si="557"/>
        <v>453527</v>
      </c>
      <c r="H700" s="117">
        <f t="shared" si="557"/>
        <v>460505</v>
      </c>
    </row>
    <row r="701" spans="1:15">
      <c r="B701" s="22" t="s">
        <v>789</v>
      </c>
      <c r="C701" s="201" t="s">
        <v>788</v>
      </c>
      <c r="D701" s="38">
        <f>D699/100/D683</f>
        <v>0.31392124237382141</v>
      </c>
      <c r="E701" s="38">
        <f t="shared" ref="E701:H701" si="558">E699/100/E683</f>
        <v>0.31392124237382141</v>
      </c>
      <c r="F701" s="38">
        <f t="shared" si="558"/>
        <v>0.30827638190954776</v>
      </c>
      <c r="G701" s="38">
        <f t="shared" si="558"/>
        <v>0.29257897218293255</v>
      </c>
      <c r="H701" s="38">
        <f t="shared" si="558"/>
        <v>0.27730381411661553</v>
      </c>
    </row>
    <row r="702" spans="1:15">
      <c r="B702" s="22" t="s">
        <v>790</v>
      </c>
      <c r="C702" s="201" t="s">
        <v>788</v>
      </c>
      <c r="D702" s="38">
        <f>D700/100/D683</f>
        <v>2.3860232945091515</v>
      </c>
      <c r="E702" s="38">
        <f t="shared" ref="E702:H702" si="559">E700/100/E683</f>
        <v>2.3860232945091515</v>
      </c>
      <c r="F702" s="38">
        <f t="shared" si="559"/>
        <v>2.2346733668341709</v>
      </c>
      <c r="G702" s="38">
        <f t="shared" si="559"/>
        <v>2.1382696841112683</v>
      </c>
      <c r="H702" s="38">
        <f t="shared" si="559"/>
        <v>2.0188733011836915</v>
      </c>
    </row>
    <row r="703" spans="1:15" s="201" customFormat="1">
      <c r="A703" s="548"/>
      <c r="B703" s="22" t="s">
        <v>1</v>
      </c>
      <c r="C703" s="201" t="s">
        <v>788</v>
      </c>
      <c r="D703" s="6">
        <f>D701+D702</f>
        <v>2.6999445368829731</v>
      </c>
      <c r="E703" s="6">
        <f t="shared" ref="E703:H703" si="560">E701+E702</f>
        <v>2.6999445368829731</v>
      </c>
      <c r="F703" s="6">
        <f t="shared" si="560"/>
        <v>2.5429497487437187</v>
      </c>
      <c r="G703" s="6">
        <f t="shared" si="560"/>
        <v>2.4308486562942009</v>
      </c>
      <c r="H703" s="6">
        <f t="shared" si="560"/>
        <v>2.2961771153003072</v>
      </c>
    </row>
    <row r="704" spans="1:15">
      <c r="B704" s="22" t="s">
        <v>784</v>
      </c>
      <c r="C704" s="201" t="s">
        <v>785</v>
      </c>
      <c r="D704" s="6">
        <f>10000*1000/D703/1000/3600</f>
        <v>1.0288277184333059</v>
      </c>
      <c r="E704" s="6">
        <f t="shared" ref="E704:H704" si="561">10000*1000/E703/1000/3600</f>
        <v>1.0288277184333059</v>
      </c>
      <c r="F704" s="6">
        <f t="shared" si="561"/>
        <v>1.0923447382906681</v>
      </c>
      <c r="G704" s="6">
        <f t="shared" si="561"/>
        <v>1.1427193423108726</v>
      </c>
      <c r="H704" s="6">
        <f t="shared" si="561"/>
        <v>1.2097402065669851</v>
      </c>
    </row>
    <row r="705" spans="2:8">
      <c r="B705" s="22" t="s">
        <v>82</v>
      </c>
      <c r="C705" s="201" t="s">
        <v>791</v>
      </c>
      <c r="D705">
        <v>80</v>
      </c>
      <c r="E705" s="201">
        <v>80</v>
      </c>
      <c r="F705" s="201">
        <v>80</v>
      </c>
      <c r="G705" s="201">
        <v>80</v>
      </c>
      <c r="H705" s="201">
        <v>80</v>
      </c>
    </row>
    <row r="706" spans="2:8">
      <c r="B706" s="351" t="s">
        <v>792</v>
      </c>
    </row>
  </sheetData>
  <hyperlinks>
    <hyperlink ref="B695" r:id="rId1" xr:uid="{4BA7157F-E0B2-4D7A-849C-9F2E12F79E5C}"/>
  </hyperlinks>
  <pageMargins left="0.7" right="0.7" top="0.75" bottom="0.75" header="0.3" footer="0.3"/>
  <pageSetup orientation="portrait" r:id="rId2"/>
  <ignoredErrors>
    <ignoredError sqref="E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28"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row>
    <row r="2" spans="2:65">
      <c r="C2" s="195" t="s">
        <v>931</v>
      </c>
      <c r="D2" s="190"/>
      <c r="E2" s="190"/>
      <c r="AE2" s="190"/>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29"/>
      <c r="AG3" s="429"/>
      <c r="AH3" s="429"/>
      <c r="AI3" s="429"/>
      <c r="AJ3" s="429"/>
      <c r="AK3" s="429"/>
      <c r="AL3" s="429"/>
      <c r="AM3" s="429"/>
      <c r="AN3" s="429"/>
      <c r="AO3" s="429"/>
      <c r="AP3" s="429"/>
      <c r="AQ3" s="429"/>
      <c r="AR3" s="429"/>
      <c r="AS3" s="429"/>
      <c r="AT3" s="429"/>
      <c r="AU3" s="429"/>
      <c r="AV3" s="429"/>
      <c r="AW3" s="429"/>
      <c r="AX3" s="429"/>
      <c r="AY3" s="429"/>
      <c r="AZ3" s="429"/>
      <c r="BA3" s="429"/>
      <c r="BB3" s="429"/>
      <c r="BC3" s="429"/>
      <c r="BD3" s="429"/>
      <c r="BE3" s="429"/>
      <c r="BF3" s="429"/>
      <c r="BG3" s="429"/>
      <c r="BH3" s="429"/>
      <c r="BI3" s="429"/>
      <c r="BJ3" s="429"/>
      <c r="BK3" s="429"/>
      <c r="BL3" s="429"/>
      <c r="BM3" s="429"/>
    </row>
    <row r="4" spans="2:65" s="201" customFormat="1">
      <c r="B4" s="201" t="str">
        <f>Processes!D6</f>
        <v>T-WLK_WLK</v>
      </c>
      <c r="C4" s="201" t="s">
        <v>767</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29"/>
      <c r="AG4" s="429"/>
      <c r="AH4" s="429"/>
      <c r="AI4" s="429"/>
      <c r="AJ4" s="429"/>
      <c r="AK4" s="429"/>
      <c r="AL4" s="429"/>
      <c r="AM4" s="429"/>
      <c r="AN4" s="429"/>
      <c r="AO4" s="429"/>
      <c r="AP4" s="429"/>
      <c r="AQ4" s="429"/>
      <c r="AR4" s="429"/>
      <c r="AS4" s="429"/>
      <c r="AT4" s="429"/>
      <c r="AU4" s="429"/>
      <c r="AV4" s="429"/>
      <c r="AW4" s="429"/>
      <c r="AX4" s="429"/>
      <c r="AY4" s="429"/>
      <c r="AZ4" s="429"/>
      <c r="BA4" s="429"/>
      <c r="BB4" s="429"/>
      <c r="BC4" s="429"/>
      <c r="BD4" s="429"/>
      <c r="BE4" s="429"/>
      <c r="BF4" s="429"/>
      <c r="BG4" s="429"/>
      <c r="BH4" s="429"/>
      <c r="BI4" s="429"/>
      <c r="BJ4" s="429"/>
      <c r="BK4" s="429"/>
      <c r="BL4" s="429"/>
      <c r="BM4" s="429"/>
    </row>
    <row r="5" spans="2:65" s="201" customFormat="1">
      <c r="B5" s="201" t="str">
        <f>Processes!D7</f>
        <v>T-CYC_CYC</v>
      </c>
      <c r="C5" s="201" t="s">
        <v>767</v>
      </c>
      <c r="D5" s="434">
        <v>8</v>
      </c>
      <c r="E5" s="434">
        <v>8</v>
      </c>
      <c r="F5" s="434">
        <v>8</v>
      </c>
      <c r="G5" s="434">
        <v>8</v>
      </c>
      <c r="H5" s="434">
        <v>8</v>
      </c>
      <c r="I5" s="434">
        <v>8</v>
      </c>
      <c r="J5" s="434">
        <v>8</v>
      </c>
      <c r="K5" s="434">
        <v>8</v>
      </c>
      <c r="L5" s="434">
        <v>8</v>
      </c>
      <c r="M5" s="434">
        <v>8</v>
      </c>
      <c r="N5" s="434">
        <v>8</v>
      </c>
      <c r="O5" s="434">
        <v>8</v>
      </c>
      <c r="P5" s="434">
        <v>8</v>
      </c>
      <c r="Q5" s="434">
        <v>8</v>
      </c>
      <c r="R5" s="434">
        <v>8</v>
      </c>
      <c r="S5" s="434">
        <v>8</v>
      </c>
      <c r="T5" s="434">
        <v>8</v>
      </c>
      <c r="U5" s="434">
        <v>8</v>
      </c>
      <c r="V5" s="434">
        <v>8</v>
      </c>
      <c r="W5" s="434">
        <v>8</v>
      </c>
      <c r="X5" s="434">
        <v>8</v>
      </c>
      <c r="Y5" s="434">
        <v>8</v>
      </c>
      <c r="Z5" s="434">
        <v>8</v>
      </c>
      <c r="AA5" s="434">
        <v>8</v>
      </c>
      <c r="AB5" s="434">
        <v>8</v>
      </c>
      <c r="AC5" s="434">
        <v>8</v>
      </c>
      <c r="AD5" s="434">
        <v>8</v>
      </c>
      <c r="AF5" s="429"/>
      <c r="AG5" s="429"/>
      <c r="AH5" s="429"/>
      <c r="AI5" s="429"/>
      <c r="AJ5" s="429"/>
      <c r="AK5" s="429"/>
      <c r="AL5" s="429"/>
      <c r="AM5" s="429"/>
      <c r="AN5" s="429"/>
      <c r="AO5" s="429"/>
      <c r="AP5" s="429"/>
      <c r="AQ5" s="429"/>
      <c r="AR5" s="429"/>
      <c r="AS5" s="429"/>
      <c r="AT5" s="429"/>
      <c r="AU5" s="429"/>
      <c r="AV5" s="429"/>
      <c r="AW5" s="429"/>
      <c r="AX5" s="429"/>
      <c r="AY5" s="429"/>
      <c r="AZ5" s="429"/>
      <c r="BA5" s="429"/>
      <c r="BB5" s="429"/>
      <c r="BC5" s="429"/>
      <c r="BD5" s="429"/>
      <c r="BE5" s="429"/>
      <c r="BF5" s="429"/>
      <c r="BG5" s="429"/>
      <c r="BH5" s="429"/>
      <c r="BI5" s="429"/>
      <c r="BJ5" s="429"/>
      <c r="BK5" s="429"/>
      <c r="BL5" s="429"/>
      <c r="BM5" s="429"/>
    </row>
    <row r="6" spans="2:65">
      <c r="B6" s="429" t="str">
        <f>Processes!D9</f>
        <v>T-MOT-ICE_GSL00</v>
      </c>
      <c r="C6" s="201" t="s">
        <v>767</v>
      </c>
      <c r="D6" s="434">
        <f>D76</f>
        <v>2.7309999999999999</v>
      </c>
      <c r="E6" s="434">
        <f t="shared" ref="E6:AD16" si="0">E76</f>
        <v>2.637</v>
      </c>
      <c r="F6" s="434">
        <f t="shared" ref="F6" si="1">F76</f>
        <v>2.798</v>
      </c>
      <c r="G6" s="434">
        <f t="shared" si="0"/>
        <v>2.7280000000000002</v>
      </c>
      <c r="H6" s="434">
        <f t="shared" si="0"/>
        <v>2.6520000000000001</v>
      </c>
      <c r="I6" s="434">
        <f t="shared" si="0"/>
        <v>2.71</v>
      </c>
      <c r="J6" s="434">
        <f t="shared" si="0"/>
        <v>2.669</v>
      </c>
      <c r="K6" s="434">
        <f t="shared" si="0"/>
        <v>2.758</v>
      </c>
      <c r="L6" s="434">
        <f t="shared" si="0"/>
        <v>2.722</v>
      </c>
      <c r="M6" s="434">
        <f t="shared" si="0"/>
        <v>2.6560000000000001</v>
      </c>
      <c r="N6" s="434">
        <f t="shared" si="0"/>
        <v>2.706</v>
      </c>
      <c r="O6" s="434">
        <f t="shared" si="0"/>
        <v>2.657</v>
      </c>
      <c r="P6" s="434">
        <f t="shared" si="0"/>
        <v>2.72</v>
      </c>
      <c r="Q6" s="434">
        <f t="shared" si="0"/>
        <v>2.726</v>
      </c>
      <c r="R6" s="434">
        <f t="shared" si="0"/>
        <v>2.6880000000000002</v>
      </c>
      <c r="S6" s="434">
        <f t="shared" si="0"/>
        <v>2.68</v>
      </c>
      <c r="T6" s="434">
        <f t="shared" si="0"/>
        <v>2.7</v>
      </c>
      <c r="U6" s="434">
        <f t="shared" si="0"/>
        <v>2.694</v>
      </c>
      <c r="V6" s="434">
        <f t="shared" si="0"/>
        <v>2.6480000000000001</v>
      </c>
      <c r="W6" s="434">
        <f t="shared" si="0"/>
        <v>2.7010000000000001</v>
      </c>
      <c r="X6" s="434">
        <f t="shared" si="0"/>
        <v>2.7250000000000001</v>
      </c>
      <c r="Y6" s="434">
        <f t="shared" si="0"/>
        <v>2.718</v>
      </c>
      <c r="Z6" s="434">
        <f t="shared" si="0"/>
        <v>2.7290000000000001</v>
      </c>
      <c r="AA6" s="434">
        <f t="shared" si="0"/>
        <v>2.6480000000000001</v>
      </c>
      <c r="AB6" s="434">
        <f t="shared" si="0"/>
        <v>2.7109999999999999</v>
      </c>
      <c r="AC6" s="434">
        <f t="shared" si="0"/>
        <v>2.7930000000000001</v>
      </c>
      <c r="AD6" s="434">
        <f t="shared" si="0"/>
        <v>2.7800000000000002</v>
      </c>
      <c r="AF6" s="429"/>
      <c r="AG6" s="429"/>
      <c r="AH6" s="429"/>
      <c r="AI6" s="429"/>
      <c r="AJ6" s="429"/>
      <c r="AK6" s="429"/>
      <c r="AL6" s="429"/>
      <c r="AM6" s="429"/>
      <c r="AN6" s="429"/>
      <c r="AO6" s="429"/>
      <c r="AP6" s="429"/>
      <c r="AQ6" s="429"/>
      <c r="AR6" s="429"/>
      <c r="AS6" s="429"/>
      <c r="AT6" s="429"/>
      <c r="AU6" s="429"/>
      <c r="AV6" s="429"/>
      <c r="AW6" s="429"/>
      <c r="AX6" s="429"/>
      <c r="AY6" s="429"/>
      <c r="AZ6" s="429"/>
      <c r="BA6" s="429"/>
      <c r="BB6" s="429"/>
      <c r="BC6" s="429"/>
      <c r="BD6" s="429"/>
      <c r="BE6" s="429"/>
      <c r="BF6" s="429"/>
      <c r="BG6" s="429"/>
      <c r="BH6" s="429"/>
      <c r="BI6" s="429"/>
      <c r="BJ6" s="429"/>
      <c r="BK6" s="429"/>
      <c r="BL6" s="429"/>
      <c r="BM6" s="429"/>
    </row>
    <row r="7" spans="2:65">
      <c r="B7" s="429" t="str">
        <f>Processes!D11</f>
        <v>T-CAR-ICE_GSL00</v>
      </c>
      <c r="C7" s="201" t="s">
        <v>767</v>
      </c>
      <c r="D7" s="434">
        <f t="shared" ref="D7:S22" si="2">D77</f>
        <v>12.817</v>
      </c>
      <c r="E7" s="434">
        <f t="shared" si="2"/>
        <v>13.538</v>
      </c>
      <c r="F7" s="434">
        <f t="shared" ref="F7" si="3">F77</f>
        <v>11.021000000000001</v>
      </c>
      <c r="G7" s="434">
        <f t="shared" si="2"/>
        <v>13.529</v>
      </c>
      <c r="H7" s="434">
        <f t="shared" si="2"/>
        <v>13.763999999999999</v>
      </c>
      <c r="I7" s="434">
        <f t="shared" si="2"/>
        <v>14.083</v>
      </c>
      <c r="J7" s="434">
        <f t="shared" si="2"/>
        <v>14.022</v>
      </c>
      <c r="K7" s="434">
        <f t="shared" si="2"/>
        <v>13.183</v>
      </c>
      <c r="L7" s="434">
        <f t="shared" si="2"/>
        <v>13.941000000000001</v>
      </c>
      <c r="M7" s="434">
        <f t="shared" si="2"/>
        <v>14.13</v>
      </c>
      <c r="N7" s="434">
        <f t="shared" si="2"/>
        <v>13.906000000000001</v>
      </c>
      <c r="O7" s="434">
        <f t="shared" si="2"/>
        <v>13.939</v>
      </c>
      <c r="P7" s="434">
        <f t="shared" si="2"/>
        <v>13.411</v>
      </c>
      <c r="Q7" s="434">
        <f t="shared" si="2"/>
        <v>14.196999999999999</v>
      </c>
      <c r="R7" s="434">
        <f t="shared" si="2"/>
        <v>13.069000000000001</v>
      </c>
      <c r="S7" s="434">
        <f t="shared" si="2"/>
        <v>13.894</v>
      </c>
      <c r="T7" s="434">
        <f t="shared" si="0"/>
        <v>13.465999999999999</v>
      </c>
      <c r="U7" s="434">
        <f t="shared" si="0"/>
        <v>14.237</v>
      </c>
      <c r="V7" s="434">
        <f t="shared" si="0"/>
        <v>13.135999999999999</v>
      </c>
      <c r="W7" s="434">
        <f t="shared" si="0"/>
        <v>13.557</v>
      </c>
      <c r="X7" s="434">
        <f t="shared" si="0"/>
        <v>14.583</v>
      </c>
      <c r="Y7" s="434">
        <f t="shared" si="0"/>
        <v>13.987</v>
      </c>
      <c r="Z7" s="434">
        <f t="shared" si="0"/>
        <v>15.377000000000001</v>
      </c>
      <c r="AA7" s="434">
        <f t="shared" si="0"/>
        <v>13.425000000000001</v>
      </c>
      <c r="AB7" s="434">
        <f t="shared" si="0"/>
        <v>14.218</v>
      </c>
      <c r="AC7" s="434">
        <f t="shared" si="0"/>
        <v>13.877000000000001</v>
      </c>
      <c r="AD7" s="434">
        <f t="shared" si="0"/>
        <v>13.781000000000001</v>
      </c>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row>
    <row r="8" spans="2:65">
      <c r="B8" s="429" t="str">
        <f>Processes!D12</f>
        <v>T-CAR-ICE_DST00</v>
      </c>
      <c r="C8" s="201" t="s">
        <v>767</v>
      </c>
      <c r="D8" s="434">
        <f t="shared" si="2"/>
        <v>20.617000000000001</v>
      </c>
      <c r="E8" s="434">
        <f t="shared" si="0"/>
        <v>21.731000000000002</v>
      </c>
      <c r="F8" s="434">
        <f t="shared" ref="F8" si="4">F78</f>
        <v>18.106000000000002</v>
      </c>
      <c r="G8" s="434">
        <f t="shared" si="0"/>
        <v>20.908999999999999</v>
      </c>
      <c r="H8" s="434">
        <f t="shared" si="0"/>
        <v>21.75</v>
      </c>
      <c r="I8" s="434">
        <f t="shared" si="0"/>
        <v>22.298999999999999</v>
      </c>
      <c r="J8" s="434">
        <f t="shared" si="0"/>
        <v>22.722999999999999</v>
      </c>
      <c r="K8" s="434">
        <f t="shared" si="0"/>
        <v>20.613</v>
      </c>
      <c r="L8" s="434">
        <f t="shared" si="0"/>
        <v>21.196999999999999</v>
      </c>
      <c r="M8" s="434">
        <f t="shared" si="0"/>
        <v>22.055</v>
      </c>
      <c r="N8" s="434">
        <f t="shared" si="0"/>
        <v>22.035</v>
      </c>
      <c r="O8" s="434">
        <f t="shared" si="0"/>
        <v>21.408000000000001</v>
      </c>
      <c r="P8" s="434">
        <f t="shared" si="0"/>
        <v>20.399999999999999</v>
      </c>
      <c r="Q8" s="434">
        <f t="shared" si="0"/>
        <v>22.021000000000001</v>
      </c>
      <c r="R8" s="434">
        <f t="shared" si="0"/>
        <v>20.07</v>
      </c>
      <c r="S8" s="434">
        <f t="shared" si="0"/>
        <v>20.986000000000001</v>
      </c>
      <c r="T8" s="434">
        <f t="shared" si="0"/>
        <v>21.373999999999999</v>
      </c>
      <c r="U8" s="434">
        <f t="shared" si="0"/>
        <v>22.268999999999998</v>
      </c>
      <c r="V8" s="434">
        <f t="shared" si="0"/>
        <v>20.774999999999999</v>
      </c>
      <c r="W8" s="434">
        <f t="shared" si="0"/>
        <v>21.388000000000002</v>
      </c>
      <c r="X8" s="434">
        <f t="shared" si="0"/>
        <v>22.28</v>
      </c>
      <c r="Y8" s="434">
        <f t="shared" si="0"/>
        <v>21.443000000000001</v>
      </c>
      <c r="Z8" s="434">
        <f t="shared" si="0"/>
        <v>23.317</v>
      </c>
      <c r="AA8" s="434">
        <f t="shared" si="0"/>
        <v>21.324000000000002</v>
      </c>
      <c r="AB8" s="434">
        <f t="shared" si="0"/>
        <v>21.887</v>
      </c>
      <c r="AC8" s="434">
        <f t="shared" si="0"/>
        <v>20.55</v>
      </c>
      <c r="AD8" s="434">
        <f t="shared" si="0"/>
        <v>21.584</v>
      </c>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c r="BJ8" s="429"/>
      <c r="BK8" s="429"/>
      <c r="BL8" s="429"/>
      <c r="BM8" s="429"/>
    </row>
    <row r="9" spans="2:65">
      <c r="B9" s="429" t="str">
        <f>Processes!D13</f>
        <v>T-CAR-ICE_DF00</v>
      </c>
      <c r="C9" s="201" t="s">
        <v>767</v>
      </c>
      <c r="D9" s="434">
        <f t="shared" si="2"/>
        <v>13.444000000000001</v>
      </c>
      <c r="E9" s="434">
        <f t="shared" si="0"/>
        <v>14.090999999999999</v>
      </c>
      <c r="F9" s="434">
        <f t="shared" ref="F9" si="5">F79</f>
        <v>12.847</v>
      </c>
      <c r="G9" s="434">
        <f t="shared" si="0"/>
        <v>13.913</v>
      </c>
      <c r="H9" s="434">
        <f t="shared" si="0"/>
        <v>14.358000000000001</v>
      </c>
      <c r="I9" s="434">
        <f t="shared" si="0"/>
        <v>14.586</v>
      </c>
      <c r="J9" s="434">
        <f t="shared" si="0"/>
        <v>14.004</v>
      </c>
      <c r="K9" s="434">
        <f t="shared" si="0"/>
        <v>13.414</v>
      </c>
      <c r="L9" s="434">
        <f t="shared" si="0"/>
        <v>14.103</v>
      </c>
      <c r="M9" s="434">
        <f t="shared" si="0"/>
        <v>14.503</v>
      </c>
      <c r="N9" s="434">
        <f t="shared" si="0"/>
        <v>14.009</v>
      </c>
      <c r="O9" s="434">
        <f t="shared" si="0"/>
        <v>14.132</v>
      </c>
      <c r="P9" s="434">
        <f t="shared" si="0"/>
        <v>13.914999999999999</v>
      </c>
      <c r="Q9" s="434">
        <f t="shared" si="0"/>
        <v>14.077999999999999</v>
      </c>
      <c r="R9" s="434">
        <f t="shared" si="0"/>
        <v>13.355</v>
      </c>
      <c r="S9" s="434">
        <f t="shared" si="0"/>
        <v>13.78</v>
      </c>
      <c r="T9" s="434">
        <f t="shared" si="0"/>
        <v>13.922000000000001</v>
      </c>
      <c r="U9" s="434">
        <f t="shared" si="0"/>
        <v>13.884</v>
      </c>
      <c r="V9" s="434">
        <f t="shared" si="0"/>
        <v>13.941000000000001</v>
      </c>
      <c r="W9" s="434">
        <f t="shared" si="0"/>
        <v>13.930999999999999</v>
      </c>
      <c r="X9" s="434">
        <f t="shared" si="0"/>
        <v>14.143000000000001</v>
      </c>
      <c r="Y9" s="434">
        <f t="shared" si="0"/>
        <v>14.191000000000001</v>
      </c>
      <c r="Z9" s="434">
        <f t="shared" si="0"/>
        <v>14.154</v>
      </c>
      <c r="AA9" s="434">
        <f t="shared" si="0"/>
        <v>13.852</v>
      </c>
      <c r="AB9" s="434">
        <f t="shared" si="0"/>
        <v>14.061999999999999</v>
      </c>
      <c r="AC9" s="434">
        <f t="shared" si="0"/>
        <v>14.304</v>
      </c>
      <c r="AD9" s="434">
        <f t="shared" si="0"/>
        <v>13.791</v>
      </c>
      <c r="AF9" s="429"/>
      <c r="AG9" s="429"/>
      <c r="AH9" s="429"/>
      <c r="AI9" s="429"/>
      <c r="AJ9" s="429"/>
      <c r="AK9" s="429"/>
      <c r="AL9" s="429"/>
      <c r="AM9" s="429"/>
      <c r="AN9" s="429"/>
      <c r="AO9" s="429"/>
      <c r="AP9" s="429"/>
      <c r="AQ9" s="429"/>
      <c r="AR9" s="429"/>
      <c r="AS9" s="429"/>
      <c r="AT9" s="429"/>
      <c r="AU9" s="429"/>
      <c r="AV9" s="429"/>
      <c r="AW9" s="429"/>
      <c r="AX9" s="429"/>
      <c r="AY9" s="429"/>
      <c r="AZ9" s="429"/>
      <c r="BA9" s="429"/>
      <c r="BB9" s="429"/>
      <c r="BC9" s="429"/>
      <c r="BD9" s="429"/>
      <c r="BE9" s="429"/>
      <c r="BF9" s="429"/>
      <c r="BG9" s="429"/>
      <c r="BH9" s="429"/>
      <c r="BI9" s="429"/>
      <c r="BJ9" s="429"/>
      <c r="BK9" s="429"/>
      <c r="BL9" s="429"/>
      <c r="BM9" s="429"/>
    </row>
    <row r="10" spans="2:65">
      <c r="B10" s="429" t="str">
        <f>Processes!D14</f>
        <v>T-CAR-ICE_E8500</v>
      </c>
      <c r="C10" s="201" t="s">
        <v>767</v>
      </c>
      <c r="D10" s="434">
        <f t="shared" si="2"/>
        <v>13.444000000000001</v>
      </c>
      <c r="E10" s="434">
        <f t="shared" si="0"/>
        <v>14.090999999999999</v>
      </c>
      <c r="F10" s="434">
        <f t="shared" ref="F10" si="6">F80</f>
        <v>12.847</v>
      </c>
      <c r="G10" s="434">
        <f t="shared" si="0"/>
        <v>13.913</v>
      </c>
      <c r="H10" s="434">
        <f t="shared" si="0"/>
        <v>14.358000000000001</v>
      </c>
      <c r="I10" s="434">
        <f t="shared" si="0"/>
        <v>14.586</v>
      </c>
      <c r="J10" s="434">
        <f t="shared" si="0"/>
        <v>14.004</v>
      </c>
      <c r="K10" s="434">
        <f t="shared" si="0"/>
        <v>13.414</v>
      </c>
      <c r="L10" s="434">
        <f t="shared" si="0"/>
        <v>14.103</v>
      </c>
      <c r="M10" s="434">
        <f t="shared" si="0"/>
        <v>14.503</v>
      </c>
      <c r="N10" s="434">
        <f t="shared" si="0"/>
        <v>14.009</v>
      </c>
      <c r="O10" s="434">
        <f t="shared" si="0"/>
        <v>14.132</v>
      </c>
      <c r="P10" s="434">
        <f t="shared" si="0"/>
        <v>13.914999999999999</v>
      </c>
      <c r="Q10" s="434">
        <f t="shared" si="0"/>
        <v>14.077999999999999</v>
      </c>
      <c r="R10" s="434">
        <f t="shared" si="0"/>
        <v>13.355</v>
      </c>
      <c r="S10" s="434">
        <f t="shared" si="0"/>
        <v>13.78</v>
      </c>
      <c r="T10" s="434">
        <f t="shared" si="0"/>
        <v>13.922000000000001</v>
      </c>
      <c r="U10" s="434">
        <f t="shared" si="0"/>
        <v>13.884</v>
      </c>
      <c r="V10" s="434">
        <f t="shared" si="0"/>
        <v>13.941000000000001</v>
      </c>
      <c r="W10" s="434">
        <f t="shared" si="0"/>
        <v>13.930999999999999</v>
      </c>
      <c r="X10" s="434">
        <f t="shared" si="0"/>
        <v>14.143000000000001</v>
      </c>
      <c r="Y10" s="434">
        <f t="shared" si="0"/>
        <v>14.191000000000001</v>
      </c>
      <c r="Z10" s="434">
        <f t="shared" si="0"/>
        <v>14.154</v>
      </c>
      <c r="AA10" s="434">
        <f t="shared" si="0"/>
        <v>13.852</v>
      </c>
      <c r="AB10" s="434">
        <f t="shared" si="0"/>
        <v>14.061999999999999</v>
      </c>
      <c r="AC10" s="434">
        <f t="shared" si="0"/>
        <v>14.304</v>
      </c>
      <c r="AD10" s="434">
        <f t="shared" si="0"/>
        <v>13.791</v>
      </c>
      <c r="AF10" s="429"/>
      <c r="AG10" s="429"/>
      <c r="AH10" s="429"/>
      <c r="AI10" s="429"/>
      <c r="AJ10" s="429"/>
      <c r="AK10" s="429"/>
      <c r="AL10" s="429"/>
      <c r="AM10" s="429"/>
      <c r="AN10" s="429"/>
      <c r="AO10" s="429"/>
      <c r="AP10" s="429"/>
      <c r="AQ10" s="429"/>
      <c r="AR10" s="429"/>
      <c r="AS10" s="429"/>
      <c r="AT10" s="429"/>
      <c r="AU10" s="429"/>
      <c r="AV10" s="429"/>
      <c r="AW10" s="429"/>
      <c r="AX10" s="429"/>
      <c r="AY10" s="429"/>
      <c r="AZ10" s="429"/>
      <c r="BA10" s="429"/>
      <c r="BB10" s="429"/>
      <c r="BC10" s="429"/>
      <c r="BD10" s="429"/>
      <c r="BE10" s="429"/>
      <c r="BF10" s="429"/>
      <c r="BG10" s="429"/>
      <c r="BH10" s="429"/>
      <c r="BI10" s="429"/>
      <c r="BJ10" s="429"/>
      <c r="BK10" s="429"/>
      <c r="BL10" s="429"/>
      <c r="BM10" s="429"/>
    </row>
    <row r="11" spans="2:65">
      <c r="B11" s="429" t="str">
        <f>Processes!D15</f>
        <v>T-CAR-HEV_GSL00</v>
      </c>
      <c r="C11" s="201" t="s">
        <v>767</v>
      </c>
      <c r="D11" s="434">
        <f t="shared" si="2"/>
        <v>12.817</v>
      </c>
      <c r="E11" s="434">
        <f t="shared" si="0"/>
        <v>13.538</v>
      </c>
      <c r="F11" s="434">
        <f t="shared" ref="F11" si="7">F81</f>
        <v>11.021000000000001</v>
      </c>
      <c r="G11" s="434">
        <f t="shared" si="0"/>
        <v>13.529</v>
      </c>
      <c r="H11" s="434">
        <f t="shared" si="0"/>
        <v>13.763999999999999</v>
      </c>
      <c r="I11" s="434">
        <f t="shared" si="0"/>
        <v>14.083</v>
      </c>
      <c r="J11" s="434">
        <f t="shared" si="0"/>
        <v>14.022</v>
      </c>
      <c r="K11" s="434">
        <f t="shared" si="0"/>
        <v>13.183</v>
      </c>
      <c r="L11" s="434">
        <f t="shared" si="0"/>
        <v>13.941000000000001</v>
      </c>
      <c r="M11" s="434">
        <f t="shared" si="0"/>
        <v>14.13</v>
      </c>
      <c r="N11" s="434">
        <f t="shared" si="0"/>
        <v>13.906000000000001</v>
      </c>
      <c r="O11" s="434">
        <f t="shared" si="0"/>
        <v>13.939</v>
      </c>
      <c r="P11" s="434">
        <f t="shared" si="0"/>
        <v>13.411</v>
      </c>
      <c r="Q11" s="434">
        <f t="shared" si="0"/>
        <v>14.196999999999999</v>
      </c>
      <c r="R11" s="434">
        <f t="shared" si="0"/>
        <v>13.069000000000001</v>
      </c>
      <c r="S11" s="434">
        <f t="shared" si="0"/>
        <v>13.894</v>
      </c>
      <c r="T11" s="434">
        <f t="shared" si="0"/>
        <v>13.465999999999999</v>
      </c>
      <c r="U11" s="434">
        <f t="shared" si="0"/>
        <v>14.237</v>
      </c>
      <c r="V11" s="434">
        <f t="shared" si="0"/>
        <v>13.135999999999999</v>
      </c>
      <c r="W11" s="434">
        <f t="shared" si="0"/>
        <v>13.557</v>
      </c>
      <c r="X11" s="434">
        <f t="shared" si="0"/>
        <v>14.583</v>
      </c>
      <c r="Y11" s="434">
        <f t="shared" si="0"/>
        <v>13.987</v>
      </c>
      <c r="Z11" s="434">
        <f t="shared" si="0"/>
        <v>15.377000000000001</v>
      </c>
      <c r="AA11" s="434">
        <f t="shared" si="0"/>
        <v>13.425000000000001</v>
      </c>
      <c r="AB11" s="434">
        <f t="shared" si="0"/>
        <v>14.218</v>
      </c>
      <c r="AC11" s="434">
        <f t="shared" si="0"/>
        <v>13.877000000000001</v>
      </c>
      <c r="AD11" s="434">
        <f t="shared" si="0"/>
        <v>13.781000000000001</v>
      </c>
      <c r="AF11" s="429"/>
      <c r="AG11" s="429"/>
      <c r="AH11" s="429"/>
      <c r="AI11" s="429"/>
      <c r="AJ11" s="429"/>
      <c r="AK11" s="429"/>
      <c r="AL11" s="429"/>
      <c r="AM11" s="429"/>
      <c r="AN11" s="429"/>
      <c r="AO11" s="429"/>
      <c r="AP11" s="429"/>
      <c r="AQ11" s="429"/>
      <c r="AR11" s="429"/>
      <c r="AS11" s="429"/>
      <c r="AT11" s="429"/>
      <c r="AU11" s="429"/>
      <c r="AV11" s="429"/>
      <c r="AW11" s="429"/>
      <c r="AX11" s="429"/>
      <c r="AY11" s="429"/>
      <c r="AZ11" s="429"/>
      <c r="BA11" s="429"/>
      <c r="BB11" s="429"/>
      <c r="BC11" s="429"/>
      <c r="BD11" s="429"/>
      <c r="BE11" s="429"/>
      <c r="BF11" s="429"/>
      <c r="BG11" s="429"/>
      <c r="BH11" s="429"/>
      <c r="BI11" s="429"/>
      <c r="BJ11" s="429"/>
      <c r="BK11" s="429"/>
      <c r="BL11" s="429"/>
      <c r="BM11" s="429"/>
    </row>
    <row r="12" spans="2:65" s="201" customFormat="1">
      <c r="B12" s="429" t="str">
        <f>Processes!D16</f>
        <v>T-CAR-HEV_DST00</v>
      </c>
      <c r="C12" s="201" t="s">
        <v>767</v>
      </c>
      <c r="D12" s="434">
        <f t="shared" si="2"/>
        <v>20.617000000000001</v>
      </c>
      <c r="E12" s="434">
        <f t="shared" si="0"/>
        <v>21.731000000000002</v>
      </c>
      <c r="F12" s="434">
        <f t="shared" ref="F12" si="8">F82</f>
        <v>18.106000000000002</v>
      </c>
      <c r="G12" s="434">
        <f t="shared" si="0"/>
        <v>20.908999999999999</v>
      </c>
      <c r="H12" s="434">
        <f t="shared" si="0"/>
        <v>21.75</v>
      </c>
      <c r="I12" s="434">
        <f t="shared" si="0"/>
        <v>22.298999999999999</v>
      </c>
      <c r="J12" s="434">
        <f t="shared" si="0"/>
        <v>22.722999999999999</v>
      </c>
      <c r="K12" s="434">
        <f t="shared" si="0"/>
        <v>20.613</v>
      </c>
      <c r="L12" s="434">
        <f t="shared" si="0"/>
        <v>21.196999999999999</v>
      </c>
      <c r="M12" s="434">
        <f t="shared" si="0"/>
        <v>22.055</v>
      </c>
      <c r="N12" s="434">
        <f t="shared" si="0"/>
        <v>22.035</v>
      </c>
      <c r="O12" s="434">
        <f t="shared" si="0"/>
        <v>21.408000000000001</v>
      </c>
      <c r="P12" s="434">
        <f t="shared" si="0"/>
        <v>20.399999999999999</v>
      </c>
      <c r="Q12" s="434">
        <f t="shared" si="0"/>
        <v>22.021000000000001</v>
      </c>
      <c r="R12" s="434">
        <f t="shared" si="0"/>
        <v>20.07</v>
      </c>
      <c r="S12" s="434">
        <f t="shared" si="0"/>
        <v>20.986000000000001</v>
      </c>
      <c r="T12" s="434">
        <f t="shared" si="0"/>
        <v>21.373999999999999</v>
      </c>
      <c r="U12" s="434">
        <f t="shared" si="0"/>
        <v>22.268999999999998</v>
      </c>
      <c r="V12" s="434">
        <f t="shared" si="0"/>
        <v>20.774999999999999</v>
      </c>
      <c r="W12" s="434">
        <f t="shared" si="0"/>
        <v>21.388000000000002</v>
      </c>
      <c r="X12" s="434">
        <f t="shared" si="0"/>
        <v>22.28</v>
      </c>
      <c r="Y12" s="434">
        <f t="shared" si="0"/>
        <v>21.443000000000001</v>
      </c>
      <c r="Z12" s="434">
        <f t="shared" si="0"/>
        <v>23.317</v>
      </c>
      <c r="AA12" s="434">
        <f t="shared" si="0"/>
        <v>21.324000000000002</v>
      </c>
      <c r="AB12" s="434">
        <f t="shared" si="0"/>
        <v>21.887</v>
      </c>
      <c r="AC12" s="434">
        <f t="shared" si="0"/>
        <v>20.55</v>
      </c>
      <c r="AD12" s="434">
        <f t="shared" si="0"/>
        <v>21.584</v>
      </c>
      <c r="AF12" s="429"/>
      <c r="AG12" s="429"/>
      <c r="AH12" s="429"/>
      <c r="AI12" s="429"/>
      <c r="AJ12" s="429"/>
      <c r="AK12" s="429"/>
      <c r="AL12" s="429"/>
      <c r="AM12" s="429"/>
      <c r="AN12" s="429"/>
      <c r="AO12" s="429"/>
      <c r="AP12" s="429"/>
      <c r="AQ12" s="429"/>
      <c r="AR12" s="429"/>
      <c r="AS12" s="429"/>
      <c r="AT12" s="429"/>
      <c r="AU12" s="429"/>
      <c r="AV12" s="429"/>
      <c r="AW12" s="429"/>
      <c r="AX12" s="429"/>
      <c r="AY12" s="429"/>
      <c r="AZ12" s="429"/>
      <c r="BA12" s="429"/>
      <c r="BB12" s="429"/>
      <c r="BC12" s="429"/>
      <c r="BD12" s="429"/>
      <c r="BE12" s="429"/>
      <c r="BF12" s="429"/>
      <c r="BG12" s="429"/>
      <c r="BH12" s="429"/>
      <c r="BI12" s="429"/>
      <c r="BJ12" s="429"/>
      <c r="BK12" s="429"/>
      <c r="BL12" s="429"/>
      <c r="BM12" s="429"/>
    </row>
    <row r="13" spans="2:65">
      <c r="B13" s="429" t="str">
        <f>Processes!D17</f>
        <v>T-CAR-PHEV_GSL00</v>
      </c>
      <c r="C13" s="201" t="s">
        <v>767</v>
      </c>
      <c r="D13" s="434">
        <f t="shared" si="2"/>
        <v>12.817</v>
      </c>
      <c r="E13" s="434">
        <f t="shared" si="0"/>
        <v>13.538</v>
      </c>
      <c r="F13" s="434">
        <f t="shared" ref="F13" si="9">F83</f>
        <v>11.021000000000001</v>
      </c>
      <c r="G13" s="434">
        <f t="shared" si="0"/>
        <v>13.529</v>
      </c>
      <c r="H13" s="434">
        <f t="shared" si="0"/>
        <v>13.763999999999999</v>
      </c>
      <c r="I13" s="434">
        <f t="shared" si="0"/>
        <v>14.083</v>
      </c>
      <c r="J13" s="434">
        <f t="shared" si="0"/>
        <v>14.022</v>
      </c>
      <c r="K13" s="434">
        <f t="shared" si="0"/>
        <v>13.183</v>
      </c>
      <c r="L13" s="434">
        <f t="shared" si="0"/>
        <v>13.941000000000001</v>
      </c>
      <c r="M13" s="434">
        <f t="shared" si="0"/>
        <v>14.13</v>
      </c>
      <c r="N13" s="434">
        <f t="shared" si="0"/>
        <v>13.906000000000001</v>
      </c>
      <c r="O13" s="434">
        <f t="shared" si="0"/>
        <v>13.939</v>
      </c>
      <c r="P13" s="434">
        <f t="shared" si="0"/>
        <v>13.411</v>
      </c>
      <c r="Q13" s="434">
        <f t="shared" si="0"/>
        <v>14.196999999999999</v>
      </c>
      <c r="R13" s="434">
        <f t="shared" si="0"/>
        <v>13.069000000000001</v>
      </c>
      <c r="S13" s="434">
        <f t="shared" si="0"/>
        <v>13.894</v>
      </c>
      <c r="T13" s="434">
        <f t="shared" si="0"/>
        <v>13.465999999999999</v>
      </c>
      <c r="U13" s="434">
        <f t="shared" si="0"/>
        <v>14.237</v>
      </c>
      <c r="V13" s="434">
        <f t="shared" si="0"/>
        <v>13.135999999999999</v>
      </c>
      <c r="W13" s="434">
        <f t="shared" si="0"/>
        <v>13.557</v>
      </c>
      <c r="X13" s="434">
        <f t="shared" si="0"/>
        <v>14.583</v>
      </c>
      <c r="Y13" s="434">
        <f t="shared" si="0"/>
        <v>13.987</v>
      </c>
      <c r="Z13" s="434">
        <f t="shared" si="0"/>
        <v>15.377000000000001</v>
      </c>
      <c r="AA13" s="434">
        <f t="shared" si="0"/>
        <v>13.425000000000001</v>
      </c>
      <c r="AB13" s="434">
        <f t="shared" si="0"/>
        <v>14.218</v>
      </c>
      <c r="AC13" s="434">
        <f t="shared" si="0"/>
        <v>13.877000000000001</v>
      </c>
      <c r="AD13" s="434">
        <f t="shared" si="0"/>
        <v>13.781000000000001</v>
      </c>
      <c r="AF13" s="429"/>
      <c r="AG13" s="429"/>
      <c r="AH13" s="429"/>
      <c r="AI13" s="429"/>
      <c r="AJ13" s="429"/>
      <c r="AK13" s="429"/>
      <c r="AL13" s="429"/>
      <c r="AM13" s="429"/>
      <c r="AN13" s="429"/>
      <c r="AO13" s="429"/>
      <c r="AP13" s="429"/>
      <c r="AQ13" s="429"/>
      <c r="AR13" s="429"/>
      <c r="AS13" s="429"/>
      <c r="AT13" s="429"/>
      <c r="AU13" s="429"/>
      <c r="AV13" s="429"/>
      <c r="AW13" s="429"/>
      <c r="AX13" s="429"/>
      <c r="AY13" s="429"/>
      <c r="AZ13" s="429"/>
      <c r="BA13" s="429"/>
      <c r="BB13" s="429"/>
      <c r="BC13" s="429"/>
      <c r="BD13" s="429"/>
      <c r="BE13" s="429"/>
      <c r="BF13" s="429"/>
      <c r="BG13" s="429"/>
      <c r="BH13" s="429"/>
      <c r="BI13" s="429"/>
      <c r="BJ13" s="429"/>
      <c r="BK13" s="429"/>
      <c r="BL13" s="429"/>
      <c r="BM13" s="429"/>
    </row>
    <row r="14" spans="2:65">
      <c r="B14" s="429" t="str">
        <f>Processes!D18</f>
        <v>T-CAR-PHEV_DST00</v>
      </c>
      <c r="C14" s="201" t="s">
        <v>767</v>
      </c>
      <c r="D14" s="434">
        <f t="shared" si="2"/>
        <v>20.617000000000001</v>
      </c>
      <c r="E14" s="434">
        <f t="shared" si="0"/>
        <v>21.731000000000002</v>
      </c>
      <c r="F14" s="434">
        <f t="shared" ref="F14" si="10">F84</f>
        <v>18.106000000000002</v>
      </c>
      <c r="G14" s="434">
        <f t="shared" si="0"/>
        <v>20.908999999999999</v>
      </c>
      <c r="H14" s="434">
        <f t="shared" si="0"/>
        <v>21.75</v>
      </c>
      <c r="I14" s="434">
        <f t="shared" si="0"/>
        <v>22.298999999999999</v>
      </c>
      <c r="J14" s="434">
        <f t="shared" si="0"/>
        <v>22.722999999999999</v>
      </c>
      <c r="K14" s="434">
        <f t="shared" si="0"/>
        <v>20.613</v>
      </c>
      <c r="L14" s="434">
        <f t="shared" si="0"/>
        <v>21.196999999999999</v>
      </c>
      <c r="M14" s="434">
        <f t="shared" si="0"/>
        <v>22.055</v>
      </c>
      <c r="N14" s="434">
        <f t="shared" si="0"/>
        <v>22.035</v>
      </c>
      <c r="O14" s="434">
        <f t="shared" si="0"/>
        <v>21.408000000000001</v>
      </c>
      <c r="P14" s="434">
        <f t="shared" si="0"/>
        <v>20.399999999999999</v>
      </c>
      <c r="Q14" s="434">
        <f t="shared" si="0"/>
        <v>22.021000000000001</v>
      </c>
      <c r="R14" s="434">
        <f t="shared" si="0"/>
        <v>20.07</v>
      </c>
      <c r="S14" s="434">
        <f t="shared" si="0"/>
        <v>20.986000000000001</v>
      </c>
      <c r="T14" s="434">
        <f t="shared" si="0"/>
        <v>21.373999999999999</v>
      </c>
      <c r="U14" s="434">
        <f t="shared" si="0"/>
        <v>22.268999999999998</v>
      </c>
      <c r="V14" s="434">
        <f t="shared" si="0"/>
        <v>20.774999999999999</v>
      </c>
      <c r="W14" s="434">
        <f t="shared" si="0"/>
        <v>21.388000000000002</v>
      </c>
      <c r="X14" s="434">
        <f t="shared" si="0"/>
        <v>22.28</v>
      </c>
      <c r="Y14" s="434">
        <f t="shared" si="0"/>
        <v>21.443000000000001</v>
      </c>
      <c r="Z14" s="434">
        <f t="shared" si="0"/>
        <v>23.317</v>
      </c>
      <c r="AA14" s="434">
        <f t="shared" si="0"/>
        <v>21.324000000000002</v>
      </c>
      <c r="AB14" s="434">
        <f t="shared" si="0"/>
        <v>21.887</v>
      </c>
      <c r="AC14" s="434">
        <f t="shared" si="0"/>
        <v>20.55</v>
      </c>
      <c r="AD14" s="434">
        <f t="shared" si="0"/>
        <v>21.584</v>
      </c>
      <c r="AF14" s="429"/>
      <c r="AG14" s="429"/>
      <c r="AH14" s="429"/>
      <c r="AI14" s="429"/>
      <c r="AJ14" s="429"/>
      <c r="AK14" s="429"/>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row>
    <row r="15" spans="2:65">
      <c r="B15" s="429" t="str">
        <f>Processes!D19</f>
        <v>T-CAR-BEV_ELC00</v>
      </c>
      <c r="C15" s="201" t="s">
        <v>767</v>
      </c>
      <c r="D15" s="434">
        <f t="shared" si="2"/>
        <v>13.444000000000001</v>
      </c>
      <c r="E15" s="434">
        <f t="shared" si="0"/>
        <v>14.090999999999999</v>
      </c>
      <c r="F15" s="434">
        <f t="shared" ref="F15" si="11">F85</f>
        <v>12.847</v>
      </c>
      <c r="G15" s="434">
        <f t="shared" si="0"/>
        <v>13.913</v>
      </c>
      <c r="H15" s="434">
        <f t="shared" si="0"/>
        <v>14.358000000000001</v>
      </c>
      <c r="I15" s="434">
        <f t="shared" si="0"/>
        <v>14.586</v>
      </c>
      <c r="J15" s="434">
        <f t="shared" si="0"/>
        <v>14.004</v>
      </c>
      <c r="K15" s="434">
        <f t="shared" si="0"/>
        <v>13.414</v>
      </c>
      <c r="L15" s="434">
        <f t="shared" si="0"/>
        <v>14.103</v>
      </c>
      <c r="M15" s="434">
        <f t="shared" si="0"/>
        <v>14.503</v>
      </c>
      <c r="N15" s="434">
        <f t="shared" si="0"/>
        <v>14.009</v>
      </c>
      <c r="O15" s="434">
        <f t="shared" si="0"/>
        <v>14.132</v>
      </c>
      <c r="P15" s="434">
        <f t="shared" si="0"/>
        <v>13.914999999999999</v>
      </c>
      <c r="Q15" s="434">
        <f t="shared" si="0"/>
        <v>14.077999999999999</v>
      </c>
      <c r="R15" s="434">
        <f t="shared" si="0"/>
        <v>13.355</v>
      </c>
      <c r="S15" s="434">
        <f t="shared" si="0"/>
        <v>13.78</v>
      </c>
      <c r="T15" s="434">
        <f t="shared" si="0"/>
        <v>13.922000000000001</v>
      </c>
      <c r="U15" s="434">
        <f t="shared" si="0"/>
        <v>13.884</v>
      </c>
      <c r="V15" s="434">
        <f t="shared" si="0"/>
        <v>13.941000000000001</v>
      </c>
      <c r="W15" s="434">
        <f t="shared" si="0"/>
        <v>13.930999999999999</v>
      </c>
      <c r="X15" s="434">
        <f t="shared" si="0"/>
        <v>14.143000000000001</v>
      </c>
      <c r="Y15" s="434">
        <f t="shared" si="0"/>
        <v>14.191000000000001</v>
      </c>
      <c r="Z15" s="434">
        <f t="shared" si="0"/>
        <v>14.154</v>
      </c>
      <c r="AA15" s="434">
        <f t="shared" si="0"/>
        <v>13.852</v>
      </c>
      <c r="AB15" s="434">
        <f t="shared" si="0"/>
        <v>14.061999999999999</v>
      </c>
      <c r="AC15" s="434">
        <f t="shared" si="0"/>
        <v>14.304</v>
      </c>
      <c r="AD15" s="434">
        <f t="shared" si="0"/>
        <v>13.791</v>
      </c>
      <c r="AF15" s="429"/>
      <c r="AG15" s="429"/>
      <c r="AH15" s="429"/>
      <c r="AI15" s="429"/>
      <c r="AJ15" s="429"/>
      <c r="AK15" s="429"/>
      <c r="AL15" s="429"/>
      <c r="AM15" s="429"/>
      <c r="AN15" s="429"/>
      <c r="AO15" s="429"/>
      <c r="AP15" s="429"/>
      <c r="AQ15" s="429"/>
      <c r="AR15" s="429"/>
      <c r="AS15" s="429"/>
      <c r="AT15" s="429"/>
      <c r="AU15" s="429"/>
      <c r="AV15" s="429"/>
      <c r="AW15" s="429"/>
      <c r="AX15" s="429"/>
      <c r="AY15" s="429"/>
      <c r="AZ15" s="429"/>
      <c r="BA15" s="429"/>
      <c r="BB15" s="429"/>
      <c r="BC15" s="429"/>
      <c r="BD15" s="429"/>
      <c r="BE15" s="429"/>
      <c r="BF15" s="429"/>
      <c r="BG15" s="429"/>
      <c r="BH15" s="429"/>
      <c r="BI15" s="429"/>
      <c r="BJ15" s="429"/>
      <c r="BK15" s="429"/>
      <c r="BL15" s="429"/>
      <c r="BM15" s="429"/>
    </row>
    <row r="16" spans="2:65">
      <c r="B16" s="429" t="str">
        <f>Processes!D21</f>
        <v>T-TAX-ICE_GSL00</v>
      </c>
      <c r="C16" s="201" t="s">
        <v>767</v>
      </c>
      <c r="D16" s="434">
        <f t="shared" si="2"/>
        <v>35.606999999999999</v>
      </c>
      <c r="E16" s="434">
        <f t="shared" si="0"/>
        <v>22.277000000000001</v>
      </c>
      <c r="F16" s="434">
        <f t="shared" ref="F16" si="12">F86</f>
        <v>35.493000000000002</v>
      </c>
      <c r="G16" s="434">
        <f t="shared" si="0"/>
        <v>41.204999999999998</v>
      </c>
      <c r="H16" s="434">
        <f t="shared" si="0"/>
        <v>41.378</v>
      </c>
      <c r="I16" s="434">
        <f t="shared" si="0"/>
        <v>32.383000000000003</v>
      </c>
      <c r="J16" s="434">
        <f t="shared" si="0"/>
        <v>41.290999999999997</v>
      </c>
      <c r="K16" s="434">
        <f t="shared" si="0"/>
        <v>36.228999999999999</v>
      </c>
      <c r="L16" s="434">
        <f t="shared" si="0"/>
        <v>41.643999999999998</v>
      </c>
      <c r="M16" s="434">
        <f t="shared" si="0"/>
        <v>27.047000000000001</v>
      </c>
      <c r="N16" s="434">
        <f t="shared" si="0"/>
        <v>44.625</v>
      </c>
      <c r="O16" s="434">
        <f t="shared" ref="E16:AD22" si="13">O86</f>
        <v>32.718000000000004</v>
      </c>
      <c r="P16" s="434">
        <f t="shared" si="13"/>
        <v>31.013000000000002</v>
      </c>
      <c r="Q16" s="434">
        <f t="shared" si="13"/>
        <v>37.658999999999999</v>
      </c>
      <c r="R16" s="434">
        <f t="shared" si="13"/>
        <v>34.145000000000003</v>
      </c>
      <c r="S16" s="434">
        <f t="shared" si="13"/>
        <v>31.021999999999998</v>
      </c>
      <c r="T16" s="434">
        <f t="shared" si="13"/>
        <v>37.139000000000003</v>
      </c>
      <c r="U16" s="434">
        <f t="shared" si="13"/>
        <v>33.700000000000003</v>
      </c>
      <c r="V16" s="434">
        <f t="shared" si="13"/>
        <v>29.905999999999999</v>
      </c>
      <c r="W16" s="434">
        <f t="shared" si="13"/>
        <v>36.619999999999997</v>
      </c>
      <c r="X16" s="434">
        <f t="shared" si="13"/>
        <v>28.806999999999999</v>
      </c>
      <c r="Y16" s="434">
        <f t="shared" si="13"/>
        <v>32.491999999999997</v>
      </c>
      <c r="Z16" s="434">
        <f t="shared" si="13"/>
        <v>24.44</v>
      </c>
      <c r="AA16" s="434">
        <f t="shared" si="13"/>
        <v>27.395</v>
      </c>
      <c r="AB16" s="434">
        <f t="shared" si="13"/>
        <v>35.872999999999998</v>
      </c>
      <c r="AC16" s="434">
        <f t="shared" si="13"/>
        <v>34.793999999999997</v>
      </c>
      <c r="AD16" s="434">
        <f t="shared" si="13"/>
        <v>13.925000000000001</v>
      </c>
      <c r="AF16" s="429"/>
      <c r="AG16" s="429"/>
      <c r="AH16" s="429"/>
      <c r="AI16" s="429"/>
      <c r="AJ16" s="429"/>
      <c r="AK16" s="429"/>
      <c r="AL16" s="429"/>
      <c r="AM16" s="429"/>
      <c r="AN16" s="429"/>
      <c r="AO16" s="429"/>
      <c r="AP16" s="429"/>
      <c r="AQ16" s="429"/>
      <c r="AR16" s="429"/>
      <c r="AS16" s="429"/>
      <c r="AT16" s="429"/>
      <c r="AU16" s="429"/>
      <c r="AV16" s="429"/>
      <c r="AW16" s="429"/>
      <c r="AX16" s="429"/>
      <c r="AY16" s="429"/>
      <c r="AZ16" s="429"/>
      <c r="BA16" s="429"/>
      <c r="BB16" s="429"/>
      <c r="BC16" s="429"/>
      <c r="BD16" s="429"/>
      <c r="BE16" s="429"/>
      <c r="BF16" s="429"/>
      <c r="BG16" s="429"/>
      <c r="BH16" s="429"/>
      <c r="BI16" s="429"/>
      <c r="BJ16" s="429"/>
      <c r="BK16" s="429"/>
      <c r="BL16" s="429"/>
      <c r="BM16" s="429"/>
    </row>
    <row r="17" spans="2:65">
      <c r="B17" s="429" t="str">
        <f>Processes!D22</f>
        <v>T-TAX-ICE_DST00</v>
      </c>
      <c r="C17" s="201" t="s">
        <v>767</v>
      </c>
      <c r="D17" s="434">
        <f t="shared" si="2"/>
        <v>39.924999999999997</v>
      </c>
      <c r="E17" s="434">
        <f t="shared" si="13"/>
        <v>36.674999999999997</v>
      </c>
      <c r="F17" s="434">
        <f t="shared" ref="F17" si="14">F87</f>
        <v>38.923999999999999</v>
      </c>
      <c r="G17" s="434">
        <f t="shared" si="13"/>
        <v>42.279000000000003</v>
      </c>
      <c r="H17" s="434">
        <f t="shared" si="13"/>
        <v>41.710999999999999</v>
      </c>
      <c r="I17" s="434">
        <f t="shared" si="13"/>
        <v>41.725000000000001</v>
      </c>
      <c r="J17" s="434">
        <f t="shared" si="13"/>
        <v>45.546999999999997</v>
      </c>
      <c r="K17" s="434">
        <f t="shared" si="13"/>
        <v>42.713000000000001</v>
      </c>
      <c r="L17" s="434">
        <f t="shared" si="13"/>
        <v>43.365000000000002</v>
      </c>
      <c r="M17" s="434">
        <f t="shared" si="13"/>
        <v>38.703000000000003</v>
      </c>
      <c r="N17" s="434">
        <f t="shared" si="13"/>
        <v>41.908000000000001</v>
      </c>
      <c r="O17" s="434">
        <f t="shared" si="13"/>
        <v>38.863999999999997</v>
      </c>
      <c r="P17" s="434">
        <f t="shared" si="13"/>
        <v>39.012</v>
      </c>
      <c r="Q17" s="434">
        <f t="shared" si="13"/>
        <v>40.003999999999998</v>
      </c>
      <c r="R17" s="434">
        <f t="shared" si="13"/>
        <v>40.366</v>
      </c>
      <c r="S17" s="434">
        <f t="shared" si="13"/>
        <v>39.216999999999999</v>
      </c>
      <c r="T17" s="434">
        <f t="shared" si="13"/>
        <v>40.262</v>
      </c>
      <c r="U17" s="434">
        <f t="shared" si="13"/>
        <v>40.31</v>
      </c>
      <c r="V17" s="434">
        <f t="shared" si="13"/>
        <v>39.709000000000003</v>
      </c>
      <c r="W17" s="434">
        <f t="shared" si="13"/>
        <v>40.692999999999998</v>
      </c>
      <c r="X17" s="434">
        <f t="shared" si="13"/>
        <v>42.972000000000001</v>
      </c>
      <c r="Y17" s="434">
        <f t="shared" si="13"/>
        <v>38.369</v>
      </c>
      <c r="Z17" s="434">
        <f t="shared" si="13"/>
        <v>39.170999999999999</v>
      </c>
      <c r="AA17" s="434">
        <f t="shared" si="13"/>
        <v>40.359000000000002</v>
      </c>
      <c r="AB17" s="434">
        <f t="shared" si="13"/>
        <v>44.034999999999997</v>
      </c>
      <c r="AC17" s="434">
        <f t="shared" si="13"/>
        <v>40.661000000000001</v>
      </c>
      <c r="AD17" s="434">
        <f t="shared" si="13"/>
        <v>42.5</v>
      </c>
      <c r="AF17" s="429"/>
      <c r="AG17" s="429"/>
      <c r="AH17" s="429"/>
      <c r="AI17" s="429"/>
      <c r="AJ17" s="429"/>
      <c r="AK17" s="429"/>
      <c r="AL17" s="429"/>
      <c r="AM17" s="429"/>
      <c r="AN17" s="429"/>
      <c r="AO17" s="429"/>
      <c r="AP17" s="429"/>
      <c r="AQ17" s="429"/>
      <c r="AR17" s="429"/>
      <c r="AS17" s="429"/>
      <c r="AT17" s="429"/>
      <c r="AU17" s="429"/>
      <c r="AV17" s="429"/>
      <c r="AW17" s="429"/>
      <c r="AX17" s="429"/>
      <c r="AY17" s="429"/>
      <c r="AZ17" s="429"/>
      <c r="BA17" s="429"/>
      <c r="BB17" s="429"/>
      <c r="BC17" s="429"/>
      <c r="BD17" s="429"/>
      <c r="BE17" s="429"/>
      <c r="BF17" s="429"/>
      <c r="BG17" s="429"/>
      <c r="BH17" s="429"/>
      <c r="BI17" s="429"/>
      <c r="BJ17" s="429"/>
      <c r="BK17" s="429"/>
      <c r="BL17" s="429"/>
      <c r="BM17" s="429"/>
    </row>
    <row r="18" spans="2:65">
      <c r="B18" s="429" t="str">
        <f>Processes!D23</f>
        <v>T-TAX-HEV_GSL00</v>
      </c>
      <c r="C18" s="201" t="s">
        <v>767</v>
      </c>
      <c r="D18" s="434">
        <f t="shared" si="2"/>
        <v>41.210999999999999</v>
      </c>
      <c r="E18" s="434">
        <f t="shared" si="13"/>
        <v>46.207999999999998</v>
      </c>
      <c r="F18" s="434">
        <f t="shared" ref="F18" si="15">F88</f>
        <v>40.334000000000003</v>
      </c>
      <c r="G18" s="434">
        <f t="shared" si="13"/>
        <v>46.970999999999997</v>
      </c>
      <c r="H18" s="434">
        <f t="shared" si="13"/>
        <v>42.451000000000001</v>
      </c>
      <c r="I18" s="434">
        <f t="shared" si="13"/>
        <v>40.606000000000002</v>
      </c>
      <c r="J18" s="434">
        <f t="shared" si="13"/>
        <v>0</v>
      </c>
      <c r="K18" s="434">
        <f t="shared" si="13"/>
        <v>42.247</v>
      </c>
      <c r="L18" s="434">
        <f t="shared" si="13"/>
        <v>47.298000000000002</v>
      </c>
      <c r="M18" s="434">
        <f t="shared" si="13"/>
        <v>39.761000000000003</v>
      </c>
      <c r="N18" s="434">
        <f t="shared" si="13"/>
        <v>49.19</v>
      </c>
      <c r="O18" s="434">
        <f t="shared" si="13"/>
        <v>41.015000000000001</v>
      </c>
      <c r="P18" s="434">
        <f t="shared" si="13"/>
        <v>39.994999999999997</v>
      </c>
      <c r="Q18" s="434">
        <f t="shared" si="13"/>
        <v>37.396999999999998</v>
      </c>
      <c r="R18" s="434">
        <f t="shared" si="13"/>
        <v>45.326999999999998</v>
      </c>
      <c r="S18" s="434">
        <f t="shared" si="13"/>
        <v>35.898000000000003</v>
      </c>
      <c r="T18" s="434">
        <f t="shared" si="13"/>
        <v>45.386000000000003</v>
      </c>
      <c r="U18" s="434">
        <f t="shared" si="13"/>
        <v>38.015000000000001</v>
      </c>
      <c r="V18" s="434">
        <f t="shared" si="13"/>
        <v>60.183999999999997</v>
      </c>
      <c r="W18" s="434">
        <f t="shared" si="13"/>
        <v>40.619999999999997</v>
      </c>
      <c r="X18" s="434">
        <f t="shared" si="13"/>
        <v>0</v>
      </c>
      <c r="Y18" s="434">
        <f t="shared" si="13"/>
        <v>54.843000000000004</v>
      </c>
      <c r="Z18" s="434">
        <f t="shared" si="13"/>
        <v>0</v>
      </c>
      <c r="AA18" s="434">
        <f t="shared" si="13"/>
        <v>25.759</v>
      </c>
      <c r="AB18" s="434">
        <f t="shared" si="13"/>
        <v>42.872999999999998</v>
      </c>
      <c r="AC18" s="434">
        <f t="shared" si="13"/>
        <v>59.003999999999998</v>
      </c>
      <c r="AD18" s="434">
        <f t="shared" si="13"/>
        <v>0</v>
      </c>
      <c r="AF18" s="429"/>
      <c r="AG18" s="429"/>
      <c r="AH18" s="429"/>
      <c r="AI18" s="429"/>
      <c r="AJ18" s="429"/>
      <c r="AK18" s="429"/>
      <c r="AL18" s="429"/>
      <c r="AM18" s="429"/>
      <c r="AN18" s="429"/>
      <c r="AO18" s="429"/>
      <c r="AP18" s="429"/>
      <c r="AQ18" s="429"/>
      <c r="AR18" s="429"/>
      <c r="AS18" s="429"/>
      <c r="AT18" s="429"/>
      <c r="AU18" s="429"/>
      <c r="AV18" s="429"/>
      <c r="AW18" s="429"/>
      <c r="AX18" s="429"/>
      <c r="AY18" s="429"/>
      <c r="AZ18" s="429"/>
      <c r="BA18" s="429"/>
      <c r="BB18" s="429"/>
      <c r="BC18" s="429"/>
      <c r="BD18" s="429"/>
      <c r="BE18" s="429"/>
      <c r="BF18" s="429"/>
      <c r="BG18" s="429"/>
      <c r="BH18" s="429"/>
      <c r="BI18" s="429"/>
      <c r="BJ18" s="429"/>
      <c r="BK18" s="429"/>
      <c r="BL18" s="429"/>
      <c r="BM18" s="429"/>
    </row>
    <row r="19" spans="2:65">
      <c r="B19" s="429" t="str">
        <f>Processes!D25</f>
        <v>T-BUS-ICE_DST00</v>
      </c>
      <c r="C19" s="201" t="s">
        <v>767</v>
      </c>
      <c r="D19" s="434">
        <f t="shared" si="2"/>
        <v>36.094999999999999</v>
      </c>
      <c r="E19" s="434">
        <f t="shared" si="13"/>
        <v>29.084</v>
      </c>
      <c r="F19" s="434">
        <f t="shared" ref="F19" si="16">F89</f>
        <v>42.320999999999998</v>
      </c>
      <c r="G19" s="434">
        <f t="shared" si="13"/>
        <v>33.158999999999999</v>
      </c>
      <c r="H19" s="434">
        <f t="shared" si="13"/>
        <v>36.375999999999998</v>
      </c>
      <c r="I19" s="434">
        <f t="shared" si="13"/>
        <v>27.684999999999999</v>
      </c>
      <c r="J19" s="434">
        <f t="shared" si="13"/>
        <v>29.504999999999999</v>
      </c>
      <c r="K19" s="434">
        <f t="shared" si="13"/>
        <v>36.526000000000003</v>
      </c>
      <c r="L19" s="434">
        <f t="shared" si="13"/>
        <v>29.387</v>
      </c>
      <c r="M19" s="434">
        <f t="shared" si="13"/>
        <v>31.809000000000001</v>
      </c>
      <c r="N19" s="434">
        <f t="shared" si="13"/>
        <v>32.343000000000004</v>
      </c>
      <c r="O19" s="434">
        <f t="shared" si="13"/>
        <v>33.917999999999999</v>
      </c>
      <c r="P19" s="434">
        <f t="shared" si="13"/>
        <v>35.256999999999998</v>
      </c>
      <c r="Q19" s="434">
        <f t="shared" si="13"/>
        <v>30.913</v>
      </c>
      <c r="R19" s="434">
        <f t="shared" si="13"/>
        <v>32.386000000000003</v>
      </c>
      <c r="S19" s="434">
        <f t="shared" si="13"/>
        <v>35.008000000000003</v>
      </c>
      <c r="T19" s="434">
        <f t="shared" si="13"/>
        <v>34.691000000000003</v>
      </c>
      <c r="U19" s="434">
        <f t="shared" si="13"/>
        <v>32.432000000000002</v>
      </c>
      <c r="V19" s="434">
        <f t="shared" si="13"/>
        <v>31.053999999999998</v>
      </c>
      <c r="W19" s="434">
        <f t="shared" si="13"/>
        <v>35.097999999999999</v>
      </c>
      <c r="X19" s="434">
        <f t="shared" si="13"/>
        <v>22.18</v>
      </c>
      <c r="Y19" s="434">
        <f t="shared" si="13"/>
        <v>37.491999999999997</v>
      </c>
      <c r="Z19" s="434">
        <f t="shared" si="13"/>
        <v>31.65</v>
      </c>
      <c r="AA19" s="434">
        <f t="shared" si="13"/>
        <v>34.908000000000001</v>
      </c>
      <c r="AB19" s="434">
        <f t="shared" si="13"/>
        <v>39.076999999999998</v>
      </c>
      <c r="AC19" s="434">
        <f t="shared" si="13"/>
        <v>32.835999999999999</v>
      </c>
      <c r="AD19" s="434">
        <f t="shared" si="13"/>
        <v>45.258000000000003</v>
      </c>
      <c r="AF19" s="429"/>
      <c r="AG19" s="429"/>
      <c r="AH19" s="429"/>
      <c r="AI19" s="429"/>
      <c r="AJ19" s="429"/>
      <c r="AK19" s="429"/>
      <c r="AL19" s="429"/>
      <c r="AM19" s="429"/>
      <c r="AN19" s="429"/>
      <c r="AO19" s="429"/>
      <c r="AP19" s="429"/>
      <c r="AQ19" s="429"/>
      <c r="AR19" s="429"/>
      <c r="AS19" s="429"/>
      <c r="AT19" s="429"/>
      <c r="AU19" s="429"/>
      <c r="AV19" s="429"/>
      <c r="AW19" s="429"/>
      <c r="AX19" s="429"/>
      <c r="AY19" s="429"/>
      <c r="AZ19" s="429"/>
      <c r="BA19" s="429"/>
      <c r="BB19" s="429"/>
      <c r="BC19" s="429"/>
      <c r="BD19" s="429"/>
      <c r="BE19" s="429"/>
      <c r="BF19" s="429"/>
      <c r="BG19" s="429"/>
      <c r="BH19" s="429"/>
      <c r="BI19" s="429"/>
      <c r="BJ19" s="429"/>
      <c r="BK19" s="429"/>
      <c r="BL19" s="429"/>
      <c r="BM19" s="429"/>
    </row>
    <row r="20" spans="2:65">
      <c r="B20" s="429" t="str">
        <f>Processes!D27</f>
        <v>T-LPT-BEV_ELC00</v>
      </c>
      <c r="C20" s="201" t="s">
        <v>767</v>
      </c>
      <c r="D20" s="434">
        <f t="shared" si="2"/>
        <v>55.691000000000003</v>
      </c>
      <c r="E20" s="434">
        <f t="shared" si="13"/>
        <v>55.691000000000003</v>
      </c>
      <c r="F20" s="434">
        <f t="shared" ref="F20" si="17">F90</f>
        <v>55.691000000000003</v>
      </c>
      <c r="G20" s="434">
        <f t="shared" si="13"/>
        <v>55.691000000000003</v>
      </c>
      <c r="H20" s="434">
        <f t="shared" si="13"/>
        <v>55.691000000000003</v>
      </c>
      <c r="I20" s="434">
        <f t="shared" si="13"/>
        <v>55.691000000000003</v>
      </c>
      <c r="J20" s="434">
        <f t="shared" si="13"/>
        <v>55.691000000000003</v>
      </c>
      <c r="K20" s="434">
        <f t="shared" si="13"/>
        <v>55.691000000000003</v>
      </c>
      <c r="L20" s="434">
        <f t="shared" si="13"/>
        <v>55.691000000000003</v>
      </c>
      <c r="M20" s="434">
        <f t="shared" si="13"/>
        <v>55.691000000000003</v>
      </c>
      <c r="N20" s="434">
        <f t="shared" si="13"/>
        <v>55.691000000000003</v>
      </c>
      <c r="O20" s="434">
        <f t="shared" si="13"/>
        <v>55.691000000000003</v>
      </c>
      <c r="P20" s="434">
        <f t="shared" si="13"/>
        <v>55.691000000000003</v>
      </c>
      <c r="Q20" s="434">
        <f t="shared" si="13"/>
        <v>55.691000000000003</v>
      </c>
      <c r="R20" s="434">
        <f t="shared" si="13"/>
        <v>55.691000000000003</v>
      </c>
      <c r="S20" s="434">
        <f t="shared" si="13"/>
        <v>55.691000000000003</v>
      </c>
      <c r="T20" s="434">
        <f t="shared" si="13"/>
        <v>55.691000000000003</v>
      </c>
      <c r="U20" s="434">
        <f t="shared" si="13"/>
        <v>55.691000000000003</v>
      </c>
      <c r="V20" s="434">
        <f t="shared" si="13"/>
        <v>55.691000000000003</v>
      </c>
      <c r="W20" s="434">
        <f t="shared" si="13"/>
        <v>55.691000000000003</v>
      </c>
      <c r="X20" s="434">
        <f t="shared" si="13"/>
        <v>55.691000000000003</v>
      </c>
      <c r="Y20" s="434">
        <f t="shared" si="13"/>
        <v>55.691000000000003</v>
      </c>
      <c r="Z20" s="434">
        <f t="shared" si="13"/>
        <v>55.691000000000003</v>
      </c>
      <c r="AA20" s="434">
        <f t="shared" si="13"/>
        <v>55.691000000000003</v>
      </c>
      <c r="AB20" s="434">
        <f t="shared" si="13"/>
        <v>55.691000000000003</v>
      </c>
      <c r="AC20" s="434">
        <f t="shared" si="13"/>
        <v>55.691000000000003</v>
      </c>
      <c r="AD20" s="434">
        <f t="shared" si="13"/>
        <v>55.691000000000003</v>
      </c>
      <c r="AF20" s="429"/>
      <c r="AG20" s="429"/>
      <c r="AH20" s="429"/>
      <c r="AI20" s="429"/>
      <c r="AJ20" s="429"/>
      <c r="AK20" s="429"/>
      <c r="AL20" s="429"/>
      <c r="AM20" s="429"/>
      <c r="AN20" s="429"/>
      <c r="AO20" s="429"/>
      <c r="AP20" s="429"/>
      <c r="AQ20" s="429"/>
      <c r="AR20" s="429"/>
      <c r="AS20" s="429"/>
      <c r="AT20" s="429"/>
      <c r="AU20" s="429"/>
      <c r="AV20" s="429"/>
      <c r="AW20" s="429"/>
      <c r="AX20" s="429"/>
      <c r="AY20" s="429"/>
      <c r="AZ20" s="429"/>
      <c r="BA20" s="429"/>
      <c r="BB20" s="429"/>
      <c r="BC20" s="429"/>
      <c r="BD20" s="429"/>
      <c r="BE20" s="429"/>
      <c r="BF20" s="429"/>
      <c r="BG20" s="429"/>
      <c r="BH20" s="429"/>
      <c r="BI20" s="429"/>
      <c r="BJ20" s="429"/>
      <c r="BK20" s="429"/>
      <c r="BL20" s="429"/>
      <c r="BM20" s="429"/>
    </row>
    <row r="21" spans="2:65">
      <c r="B21" s="429" t="str">
        <f>Processes!D28</f>
        <v>T-HPT-BEV_ELC00</v>
      </c>
      <c r="C21" s="201" t="s">
        <v>767</v>
      </c>
      <c r="D21" s="434">
        <f t="shared" si="2"/>
        <v>158.476</v>
      </c>
      <c r="E21" s="434">
        <f t="shared" si="13"/>
        <v>158.476</v>
      </c>
      <c r="F21" s="434">
        <f t="shared" ref="F21" si="18">F91</f>
        <v>158.476</v>
      </c>
      <c r="G21" s="434">
        <f t="shared" si="13"/>
        <v>158.476</v>
      </c>
      <c r="H21" s="434">
        <f t="shared" si="13"/>
        <v>158.476</v>
      </c>
      <c r="I21" s="434">
        <f t="shared" si="13"/>
        <v>158.476</v>
      </c>
      <c r="J21" s="434">
        <f t="shared" si="13"/>
        <v>158.476</v>
      </c>
      <c r="K21" s="434">
        <f t="shared" si="13"/>
        <v>158.476</v>
      </c>
      <c r="L21" s="434">
        <f t="shared" si="13"/>
        <v>158.476</v>
      </c>
      <c r="M21" s="434">
        <f t="shared" si="13"/>
        <v>158.476</v>
      </c>
      <c r="N21" s="434">
        <f t="shared" si="13"/>
        <v>158.476</v>
      </c>
      <c r="O21" s="434">
        <f t="shared" si="13"/>
        <v>158.476</v>
      </c>
      <c r="P21" s="434">
        <f t="shared" si="13"/>
        <v>158.476</v>
      </c>
      <c r="Q21" s="434">
        <f t="shared" si="13"/>
        <v>158.476</v>
      </c>
      <c r="R21" s="434">
        <f t="shared" si="13"/>
        <v>158.476</v>
      </c>
      <c r="S21" s="434">
        <f t="shared" si="13"/>
        <v>158.476</v>
      </c>
      <c r="T21" s="434">
        <f t="shared" si="13"/>
        <v>158.476</v>
      </c>
      <c r="U21" s="434">
        <f t="shared" si="13"/>
        <v>158.476</v>
      </c>
      <c r="V21" s="434">
        <f t="shared" si="13"/>
        <v>158.476</v>
      </c>
      <c r="W21" s="434">
        <f t="shared" si="13"/>
        <v>158.476</v>
      </c>
      <c r="X21" s="434">
        <f t="shared" si="13"/>
        <v>158.476</v>
      </c>
      <c r="Y21" s="434">
        <f t="shared" si="13"/>
        <v>158.476</v>
      </c>
      <c r="Z21" s="434">
        <f t="shared" si="13"/>
        <v>158.476</v>
      </c>
      <c r="AA21" s="434">
        <f t="shared" si="13"/>
        <v>158.476</v>
      </c>
      <c r="AB21" s="434">
        <f t="shared" si="13"/>
        <v>158.476</v>
      </c>
      <c r="AC21" s="434">
        <f t="shared" si="13"/>
        <v>158.476</v>
      </c>
      <c r="AD21" s="434">
        <f t="shared" si="13"/>
        <v>158.476</v>
      </c>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29"/>
      <c r="BB21" s="429"/>
      <c r="BC21" s="429"/>
      <c r="BD21" s="429"/>
      <c r="BE21" s="429"/>
      <c r="BF21" s="429"/>
      <c r="BG21" s="429"/>
      <c r="BH21" s="429"/>
      <c r="BI21" s="429"/>
      <c r="BJ21" s="429"/>
      <c r="BK21" s="429"/>
      <c r="BL21" s="429"/>
      <c r="BM21" s="429"/>
    </row>
    <row r="22" spans="2:65">
      <c r="B22" s="429" t="str">
        <f>Processes!D29</f>
        <v>T-HPT-ICE_DST00</v>
      </c>
      <c r="C22" s="201" t="s">
        <v>767</v>
      </c>
      <c r="D22" s="434">
        <f t="shared" si="2"/>
        <v>73.884</v>
      </c>
      <c r="E22" s="434">
        <f>E92</f>
        <v>73.884</v>
      </c>
      <c r="F22" s="434">
        <f>F92</f>
        <v>73.884</v>
      </c>
      <c r="G22" s="434">
        <f t="shared" si="13"/>
        <v>73.884</v>
      </c>
      <c r="H22" s="434">
        <f t="shared" si="13"/>
        <v>73.884</v>
      </c>
      <c r="I22" s="434">
        <f t="shared" si="13"/>
        <v>73.884</v>
      </c>
      <c r="J22" s="434">
        <f t="shared" si="13"/>
        <v>73.884</v>
      </c>
      <c r="K22" s="434">
        <f t="shared" si="13"/>
        <v>73.884</v>
      </c>
      <c r="L22" s="434">
        <f t="shared" si="13"/>
        <v>73.884</v>
      </c>
      <c r="M22" s="434">
        <f t="shared" si="13"/>
        <v>73.884</v>
      </c>
      <c r="N22" s="434">
        <f t="shared" si="13"/>
        <v>73.884</v>
      </c>
      <c r="O22" s="434">
        <f t="shared" si="13"/>
        <v>73.884</v>
      </c>
      <c r="P22" s="434">
        <f t="shared" si="13"/>
        <v>73.884</v>
      </c>
      <c r="Q22" s="434">
        <f t="shared" si="13"/>
        <v>73.884</v>
      </c>
      <c r="R22" s="434">
        <f t="shared" si="13"/>
        <v>73.884</v>
      </c>
      <c r="S22" s="434">
        <f t="shared" si="13"/>
        <v>73.884</v>
      </c>
      <c r="T22" s="434">
        <f t="shared" si="13"/>
        <v>73.884</v>
      </c>
      <c r="U22" s="434">
        <f t="shared" si="13"/>
        <v>73.884</v>
      </c>
      <c r="V22" s="434">
        <f t="shared" si="13"/>
        <v>73.884</v>
      </c>
      <c r="W22" s="434">
        <f t="shared" si="13"/>
        <v>73.884</v>
      </c>
      <c r="X22" s="434">
        <f t="shared" si="13"/>
        <v>73.884</v>
      </c>
      <c r="Y22" s="434">
        <f t="shared" si="13"/>
        <v>73.884</v>
      </c>
      <c r="Z22" s="434">
        <f t="shared" si="13"/>
        <v>73.884</v>
      </c>
      <c r="AA22" s="434">
        <f t="shared" si="13"/>
        <v>73.884</v>
      </c>
      <c r="AB22" s="434">
        <f t="shared" si="13"/>
        <v>73.884</v>
      </c>
      <c r="AC22" s="434">
        <f t="shared" si="13"/>
        <v>73.884</v>
      </c>
      <c r="AD22" s="434">
        <f t="shared" si="13"/>
        <v>73.884</v>
      </c>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29"/>
      <c r="BB22" s="429"/>
      <c r="BC22" s="429"/>
      <c r="BD22" s="429"/>
      <c r="BE22" s="429"/>
      <c r="BF22" s="429"/>
      <c r="BG22" s="429"/>
      <c r="BH22" s="429"/>
      <c r="BI22" s="429"/>
      <c r="BJ22" s="429"/>
      <c r="BK22" s="429"/>
      <c r="BL22" s="429"/>
      <c r="BM22" s="429"/>
    </row>
    <row r="23" spans="2:65">
      <c r="B23" s="429" t="str">
        <f>Processes!D32</f>
        <v>T-LGT-ICE_GSL00</v>
      </c>
      <c r="C23" s="201" t="s">
        <v>767</v>
      </c>
      <c r="D23" s="434">
        <f t="shared" ref="D23" si="19">D93</f>
        <v>20.794499999999999</v>
      </c>
      <c r="E23" s="434">
        <f t="shared" ref="E23:AD23" si="20">E93</f>
        <v>20.6495</v>
      </c>
      <c r="F23" s="434">
        <f t="shared" si="20"/>
        <v>22.375</v>
      </c>
      <c r="G23" s="434">
        <f t="shared" si="20"/>
        <v>21.454000000000001</v>
      </c>
      <c r="H23" s="434">
        <f t="shared" si="20"/>
        <v>20.001000000000001</v>
      </c>
      <c r="I23" s="434">
        <f t="shared" si="20"/>
        <v>20.641500000000001</v>
      </c>
      <c r="J23" s="434">
        <f t="shared" si="20"/>
        <v>20.355</v>
      </c>
      <c r="K23" s="434">
        <f t="shared" si="20"/>
        <v>20.972999999999999</v>
      </c>
      <c r="L23" s="434">
        <f t="shared" si="20"/>
        <v>21.956499999999998</v>
      </c>
      <c r="M23" s="434">
        <f t="shared" si="20"/>
        <v>20.138500000000001</v>
      </c>
      <c r="N23" s="434">
        <f t="shared" si="20"/>
        <v>20.660499999999999</v>
      </c>
      <c r="O23" s="434">
        <f t="shared" si="20"/>
        <v>20.590499999999999</v>
      </c>
      <c r="P23" s="434">
        <f t="shared" si="20"/>
        <v>19.901</v>
      </c>
      <c r="Q23" s="434">
        <f t="shared" si="20"/>
        <v>20.317499999999999</v>
      </c>
      <c r="R23" s="434">
        <f t="shared" si="20"/>
        <v>19.6965</v>
      </c>
      <c r="S23" s="434">
        <f t="shared" si="20"/>
        <v>20.023499999999999</v>
      </c>
      <c r="T23" s="434">
        <f t="shared" si="20"/>
        <v>21.157</v>
      </c>
      <c r="U23" s="434">
        <f t="shared" si="20"/>
        <v>19.945499999999999</v>
      </c>
      <c r="V23" s="434">
        <f t="shared" si="20"/>
        <v>18.807500000000001</v>
      </c>
      <c r="W23" s="434">
        <f t="shared" si="20"/>
        <v>20.356000000000002</v>
      </c>
      <c r="X23" s="434">
        <f t="shared" si="20"/>
        <v>20.490500000000001</v>
      </c>
      <c r="Y23" s="434">
        <f t="shared" si="20"/>
        <v>20.330500000000001</v>
      </c>
      <c r="Z23" s="434">
        <f t="shared" si="20"/>
        <v>20.715499999999999</v>
      </c>
      <c r="AA23" s="434">
        <f t="shared" si="20"/>
        <v>19.79</v>
      </c>
      <c r="AB23" s="434">
        <f t="shared" si="20"/>
        <v>20.96</v>
      </c>
      <c r="AC23" s="434">
        <f t="shared" si="20"/>
        <v>19.359000000000002</v>
      </c>
      <c r="AD23" s="434">
        <f t="shared" si="20"/>
        <v>20.867999999999999</v>
      </c>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29"/>
      <c r="BB23" s="429"/>
      <c r="BC23" s="429"/>
      <c r="BD23" s="429"/>
      <c r="BE23" s="429"/>
      <c r="BF23" s="429"/>
      <c r="BG23" s="429"/>
      <c r="BH23" s="429"/>
      <c r="BI23" s="429"/>
      <c r="BJ23" s="429"/>
      <c r="BK23" s="429"/>
      <c r="BL23" s="429"/>
      <c r="BM23" s="429"/>
    </row>
    <row r="24" spans="2:65" s="429" customFormat="1">
      <c r="B24" s="429" t="str">
        <f>Processes!D33</f>
        <v>T-LGT-ICE_DST00</v>
      </c>
      <c r="C24" s="429" t="s">
        <v>767</v>
      </c>
      <c r="D24" s="434">
        <f t="shared" ref="D24:AD24" si="21">D94</f>
        <v>20.794499999999999</v>
      </c>
      <c r="E24" s="434">
        <f t="shared" si="21"/>
        <v>20.6495</v>
      </c>
      <c r="F24" s="434">
        <f t="shared" si="21"/>
        <v>22.375</v>
      </c>
      <c r="G24" s="434">
        <f t="shared" si="21"/>
        <v>21.454000000000001</v>
      </c>
      <c r="H24" s="434">
        <f t="shared" si="21"/>
        <v>20.001000000000001</v>
      </c>
      <c r="I24" s="434">
        <f t="shared" si="21"/>
        <v>20.641500000000001</v>
      </c>
      <c r="J24" s="434">
        <f t="shared" si="21"/>
        <v>20.355</v>
      </c>
      <c r="K24" s="434">
        <f t="shared" si="21"/>
        <v>20.972999999999999</v>
      </c>
      <c r="L24" s="434">
        <f t="shared" si="21"/>
        <v>21.956499999999998</v>
      </c>
      <c r="M24" s="434">
        <f t="shared" si="21"/>
        <v>20.138500000000001</v>
      </c>
      <c r="N24" s="434">
        <f t="shared" si="21"/>
        <v>20.660499999999999</v>
      </c>
      <c r="O24" s="434">
        <f t="shared" si="21"/>
        <v>20.590499999999999</v>
      </c>
      <c r="P24" s="434">
        <f t="shared" si="21"/>
        <v>19.901</v>
      </c>
      <c r="Q24" s="434">
        <f t="shared" si="21"/>
        <v>20.317499999999999</v>
      </c>
      <c r="R24" s="434">
        <f t="shared" si="21"/>
        <v>19.6965</v>
      </c>
      <c r="S24" s="434">
        <f t="shared" si="21"/>
        <v>20.023499999999999</v>
      </c>
      <c r="T24" s="434">
        <f t="shared" si="21"/>
        <v>21.157</v>
      </c>
      <c r="U24" s="434">
        <f t="shared" si="21"/>
        <v>19.945499999999999</v>
      </c>
      <c r="V24" s="434">
        <f t="shared" si="21"/>
        <v>18.807500000000001</v>
      </c>
      <c r="W24" s="434">
        <f t="shared" si="21"/>
        <v>20.356000000000002</v>
      </c>
      <c r="X24" s="434">
        <f t="shared" si="21"/>
        <v>20.490500000000001</v>
      </c>
      <c r="Y24" s="434">
        <f t="shared" si="21"/>
        <v>20.330500000000001</v>
      </c>
      <c r="Z24" s="434">
        <f t="shared" si="21"/>
        <v>20.715499999999999</v>
      </c>
      <c r="AA24" s="434">
        <f t="shared" si="21"/>
        <v>19.79</v>
      </c>
      <c r="AB24" s="434">
        <f t="shared" si="21"/>
        <v>20.96</v>
      </c>
      <c r="AC24" s="434">
        <f t="shared" si="21"/>
        <v>19.359000000000002</v>
      </c>
      <c r="AD24" s="434">
        <f t="shared" si="21"/>
        <v>20.867999999999999</v>
      </c>
    </row>
    <row r="25" spans="2:65" s="429" customFormat="1">
      <c r="B25" s="429" t="str">
        <f>Processes!D34</f>
        <v>T-MGT-ICE_DST00</v>
      </c>
      <c r="C25" s="429" t="s">
        <v>767</v>
      </c>
      <c r="D25" s="434">
        <f t="shared" ref="D25:AD25" si="22">D95</f>
        <v>29.397500000000001</v>
      </c>
      <c r="E25" s="434">
        <f t="shared" si="22"/>
        <v>31.172499999999999</v>
      </c>
      <c r="F25" s="434">
        <f t="shared" si="22"/>
        <v>33.305999999999997</v>
      </c>
      <c r="G25" s="434">
        <f t="shared" si="22"/>
        <v>25.042000000000002</v>
      </c>
      <c r="H25" s="434">
        <f t="shared" si="22"/>
        <v>24.787500000000001</v>
      </c>
      <c r="I25" s="434">
        <f t="shared" si="22"/>
        <v>26.09</v>
      </c>
      <c r="J25" s="434">
        <f t="shared" si="22"/>
        <v>24.6065</v>
      </c>
      <c r="K25" s="434">
        <f t="shared" si="22"/>
        <v>29.489000000000001</v>
      </c>
      <c r="L25" s="434">
        <f t="shared" si="22"/>
        <v>28.097000000000001</v>
      </c>
      <c r="M25" s="434">
        <f t="shared" si="22"/>
        <v>24.5305</v>
      </c>
      <c r="N25" s="434">
        <f t="shared" si="22"/>
        <v>26.7775</v>
      </c>
      <c r="O25" s="434">
        <f t="shared" si="22"/>
        <v>32.348999999999997</v>
      </c>
      <c r="P25" s="434">
        <f t="shared" si="22"/>
        <v>26.45</v>
      </c>
      <c r="Q25" s="434">
        <f t="shared" si="22"/>
        <v>25.686</v>
      </c>
      <c r="R25" s="434">
        <f t="shared" si="22"/>
        <v>29.422000000000001</v>
      </c>
      <c r="S25" s="434">
        <f t="shared" si="22"/>
        <v>26.604500000000002</v>
      </c>
      <c r="T25" s="434">
        <f t="shared" si="22"/>
        <v>30.3155</v>
      </c>
      <c r="U25" s="434">
        <f t="shared" si="22"/>
        <v>26.679500000000001</v>
      </c>
      <c r="V25" s="434">
        <f t="shared" si="22"/>
        <v>25.986000000000001</v>
      </c>
      <c r="W25" s="434">
        <f t="shared" si="22"/>
        <v>28.8355</v>
      </c>
      <c r="X25" s="434">
        <f t="shared" si="22"/>
        <v>26.519500000000001</v>
      </c>
      <c r="Y25" s="434">
        <f t="shared" si="22"/>
        <v>27.371500000000001</v>
      </c>
      <c r="Z25" s="434">
        <f t="shared" si="22"/>
        <v>34.000500000000002</v>
      </c>
      <c r="AA25" s="434">
        <f t="shared" si="22"/>
        <v>22.640499999999999</v>
      </c>
      <c r="AB25" s="434">
        <f t="shared" si="22"/>
        <v>30.84</v>
      </c>
      <c r="AC25" s="434">
        <f t="shared" si="22"/>
        <v>23.1995</v>
      </c>
      <c r="AD25" s="434">
        <f t="shared" si="22"/>
        <v>31.799499999999998</v>
      </c>
    </row>
    <row r="26" spans="2:65">
      <c r="B26" s="429" t="str">
        <f>Processes!D35</f>
        <v>T-HGT-ICE_DST00</v>
      </c>
      <c r="C26" s="429" t="s">
        <v>767</v>
      </c>
      <c r="D26" s="434">
        <f t="shared" ref="D26:AD26" si="23">D96</f>
        <v>50.915999999999997</v>
      </c>
      <c r="E26" s="434">
        <f t="shared" si="23"/>
        <v>48.8825</v>
      </c>
      <c r="F26" s="434">
        <f t="shared" si="23"/>
        <v>49.607999999999997</v>
      </c>
      <c r="G26" s="434">
        <f t="shared" si="23"/>
        <v>54.716999999999999</v>
      </c>
      <c r="H26" s="434">
        <f t="shared" si="23"/>
        <v>59.597000000000001</v>
      </c>
      <c r="I26" s="434">
        <f t="shared" si="23"/>
        <v>52.476999999999997</v>
      </c>
      <c r="J26" s="434">
        <f t="shared" si="23"/>
        <v>51.298000000000002</v>
      </c>
      <c r="K26" s="434">
        <f t="shared" si="23"/>
        <v>51.7545</v>
      </c>
      <c r="L26" s="434">
        <f t="shared" si="23"/>
        <v>50.350499999999997</v>
      </c>
      <c r="M26" s="434">
        <f t="shared" si="23"/>
        <v>49.205500000000001</v>
      </c>
      <c r="N26" s="434">
        <f t="shared" si="23"/>
        <v>48.326999999999998</v>
      </c>
      <c r="O26" s="434">
        <f t="shared" si="23"/>
        <v>56.772500000000001</v>
      </c>
      <c r="P26" s="434">
        <f t="shared" si="23"/>
        <v>48.652999999999999</v>
      </c>
      <c r="Q26" s="434">
        <f t="shared" si="23"/>
        <v>48.671999999999997</v>
      </c>
      <c r="R26" s="434">
        <f t="shared" si="23"/>
        <v>51.267000000000003</v>
      </c>
      <c r="S26" s="434">
        <f t="shared" si="23"/>
        <v>47.985999999999997</v>
      </c>
      <c r="T26" s="434">
        <f t="shared" si="23"/>
        <v>54.374499999999998</v>
      </c>
      <c r="U26" s="434">
        <f t="shared" si="23"/>
        <v>45.490499999999997</v>
      </c>
      <c r="V26" s="434">
        <f t="shared" si="23"/>
        <v>50.088500000000003</v>
      </c>
      <c r="W26" s="434">
        <f t="shared" si="23"/>
        <v>42.529499999999999</v>
      </c>
      <c r="X26" s="434">
        <f t="shared" si="23"/>
        <v>52.52</v>
      </c>
      <c r="Y26" s="434">
        <f t="shared" si="23"/>
        <v>37.160499999999999</v>
      </c>
      <c r="Z26" s="434">
        <f t="shared" si="23"/>
        <v>48.639000000000003</v>
      </c>
      <c r="AA26" s="434">
        <f t="shared" si="23"/>
        <v>46.78</v>
      </c>
      <c r="AB26" s="434">
        <f t="shared" si="23"/>
        <v>61.667499999999997</v>
      </c>
      <c r="AC26" s="434">
        <f t="shared" si="23"/>
        <v>47.325000000000003</v>
      </c>
      <c r="AD26" s="434">
        <f t="shared" si="23"/>
        <v>57.072000000000003</v>
      </c>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29"/>
      <c r="BB26" s="429"/>
      <c r="BC26" s="429"/>
      <c r="BD26" s="429"/>
      <c r="BE26" s="429"/>
      <c r="BF26" s="429"/>
      <c r="BG26" s="429"/>
      <c r="BH26" s="429"/>
      <c r="BI26" s="429"/>
      <c r="BJ26" s="429"/>
      <c r="BK26" s="429"/>
      <c r="BL26" s="429"/>
      <c r="BM26" s="429"/>
    </row>
    <row r="27" spans="2:65">
      <c r="B27" s="200" t="str">
        <f>Processes!D36</f>
        <v>T-GTR-ICE_DST00</v>
      </c>
      <c r="C27" s="200" t="s">
        <v>767</v>
      </c>
      <c r="D27" s="436">
        <f t="shared" ref="D27:AD27" si="24">D97</f>
        <v>39.363999999999997</v>
      </c>
      <c r="E27" s="436">
        <f t="shared" si="24"/>
        <v>39.363999999999997</v>
      </c>
      <c r="F27" s="436">
        <f t="shared" si="24"/>
        <v>39.363999999999997</v>
      </c>
      <c r="G27" s="436">
        <f t="shared" si="24"/>
        <v>39.363999999999997</v>
      </c>
      <c r="H27" s="436">
        <f t="shared" si="24"/>
        <v>39.363999999999997</v>
      </c>
      <c r="I27" s="436">
        <f t="shared" si="24"/>
        <v>39.363999999999997</v>
      </c>
      <c r="J27" s="436">
        <f t="shared" si="24"/>
        <v>39.363999999999997</v>
      </c>
      <c r="K27" s="436">
        <f t="shared" si="24"/>
        <v>39.363999999999997</v>
      </c>
      <c r="L27" s="436">
        <f t="shared" si="24"/>
        <v>39.363999999999997</v>
      </c>
      <c r="M27" s="436">
        <f t="shared" si="24"/>
        <v>39.363999999999997</v>
      </c>
      <c r="N27" s="436">
        <f t="shared" si="24"/>
        <v>39.363999999999997</v>
      </c>
      <c r="O27" s="436">
        <f t="shared" si="24"/>
        <v>39.363999999999997</v>
      </c>
      <c r="P27" s="436">
        <f t="shared" si="24"/>
        <v>39.363999999999997</v>
      </c>
      <c r="Q27" s="436">
        <f t="shared" si="24"/>
        <v>39.363999999999997</v>
      </c>
      <c r="R27" s="436">
        <f t="shared" si="24"/>
        <v>39.363999999999997</v>
      </c>
      <c r="S27" s="436">
        <f t="shared" si="24"/>
        <v>39.363999999999997</v>
      </c>
      <c r="T27" s="436">
        <f t="shared" si="24"/>
        <v>39.363999999999997</v>
      </c>
      <c r="U27" s="436">
        <f t="shared" si="24"/>
        <v>39.363999999999997</v>
      </c>
      <c r="V27" s="436">
        <f t="shared" si="24"/>
        <v>39.363999999999997</v>
      </c>
      <c r="W27" s="436">
        <f t="shared" si="24"/>
        <v>39.363999999999997</v>
      </c>
      <c r="X27" s="436">
        <f t="shared" si="24"/>
        <v>39.363999999999997</v>
      </c>
      <c r="Y27" s="436">
        <f t="shared" si="24"/>
        <v>39.363999999999997</v>
      </c>
      <c r="Z27" s="436">
        <f t="shared" si="24"/>
        <v>39.363999999999997</v>
      </c>
      <c r="AA27" s="436">
        <f t="shared" si="24"/>
        <v>39.363999999999997</v>
      </c>
      <c r="AB27" s="436">
        <f t="shared" si="24"/>
        <v>39.363999999999997</v>
      </c>
      <c r="AC27" s="436">
        <f t="shared" si="24"/>
        <v>39.363999999999997</v>
      </c>
      <c r="AD27" s="436">
        <f t="shared" si="24"/>
        <v>39.363999999999997</v>
      </c>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29"/>
      <c r="BB27" s="429"/>
      <c r="BC27" s="429"/>
      <c r="BD27" s="429"/>
      <c r="BE27" s="429"/>
      <c r="BF27" s="429"/>
      <c r="BG27" s="429"/>
      <c r="BH27" s="429"/>
      <c r="BI27" s="429"/>
      <c r="BJ27" s="429"/>
      <c r="BK27" s="429"/>
      <c r="BL27" s="429"/>
      <c r="BM27" s="429"/>
    </row>
    <row r="28" spans="2:65" s="429" customFormat="1">
      <c r="D28" s="370"/>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row>
    <row r="29" spans="2:65" s="429" customFormat="1">
      <c r="D29" s="370"/>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row>
    <row r="30" spans="2:65" s="429" customFormat="1"/>
    <row r="31" spans="2:65">
      <c r="B31" s="429"/>
      <c r="C31" s="2"/>
      <c r="D31" s="429"/>
      <c r="E31" s="429"/>
      <c r="F31" s="429"/>
      <c r="G31" s="429"/>
      <c r="H31" s="429"/>
      <c r="I31" s="429"/>
      <c r="J31" s="429"/>
      <c r="K31" s="201"/>
      <c r="L31" s="201"/>
      <c r="M31" s="201"/>
      <c r="N31" s="201"/>
      <c r="O31" s="201"/>
      <c r="P31" s="201"/>
      <c r="Q31" s="201"/>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29"/>
      <c r="BB31" s="429"/>
      <c r="BC31" s="429"/>
      <c r="BD31" s="429"/>
      <c r="BE31" s="429"/>
      <c r="BF31" s="429"/>
      <c r="BG31" s="429"/>
      <c r="BH31" s="429"/>
      <c r="BI31" s="429"/>
      <c r="BJ31" s="429"/>
      <c r="BK31" s="429"/>
      <c r="BL31" s="429"/>
      <c r="BM31" s="429"/>
    </row>
    <row r="32" spans="2:65" s="429" customFormat="1">
      <c r="C32" s="2"/>
    </row>
    <row r="33" spans="2:65" s="429" customFormat="1">
      <c r="C33" s="2"/>
    </row>
    <row r="34" spans="2:65" s="429" customFormat="1">
      <c r="C34" s="2"/>
    </row>
    <row r="35" spans="2:65" s="429" customFormat="1">
      <c r="C35" s="2"/>
    </row>
    <row r="36" spans="2:65" s="201" customFormat="1">
      <c r="C36" s="203"/>
      <c r="D36" s="429"/>
      <c r="E36" s="429"/>
      <c r="F36" s="429"/>
      <c r="G36" s="429"/>
      <c r="H36" s="429"/>
      <c r="I36" s="429"/>
      <c r="J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row>
    <row r="37" spans="2:65">
      <c r="B37" s="201"/>
      <c r="C37" s="117"/>
      <c r="D37" s="201"/>
      <c r="E37" s="201"/>
      <c r="F37" s="201"/>
      <c r="G37" s="201"/>
      <c r="H37" s="201"/>
      <c r="I37" s="201"/>
      <c r="J37" s="201"/>
      <c r="K37" s="201"/>
      <c r="L37" s="201"/>
      <c r="M37" s="201"/>
      <c r="N37" s="201"/>
      <c r="O37" s="201"/>
      <c r="P37" s="201"/>
      <c r="Q37" s="201"/>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29"/>
      <c r="BB37" s="429"/>
      <c r="BC37" s="429"/>
      <c r="BD37" s="429"/>
      <c r="BE37" s="429"/>
      <c r="BF37" s="429"/>
      <c r="BG37" s="429"/>
      <c r="BH37" s="429"/>
      <c r="BI37" s="429"/>
      <c r="BJ37" s="429"/>
      <c r="BK37" s="429"/>
      <c r="BL37" s="429"/>
      <c r="BM37" s="429"/>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29"/>
      <c r="BB38" s="429"/>
      <c r="BC38" s="429"/>
      <c r="BD38" s="429"/>
      <c r="BE38" s="429"/>
      <c r="BF38" s="429"/>
      <c r="BG38" s="429"/>
      <c r="BH38" s="429"/>
      <c r="BI38" s="429"/>
      <c r="BJ38" s="429"/>
      <c r="BK38" s="429"/>
      <c r="BL38" s="429"/>
      <c r="BM38" s="429"/>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29"/>
      <c r="BB39" s="429"/>
      <c r="BC39" s="429"/>
      <c r="BD39" s="429"/>
      <c r="BE39" s="429"/>
      <c r="BF39" s="429"/>
      <c r="BG39" s="429"/>
      <c r="BH39" s="429"/>
      <c r="BI39" s="429"/>
      <c r="BJ39" s="429"/>
      <c r="BK39" s="429"/>
      <c r="BL39" s="429"/>
      <c r="BM39" s="429"/>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29"/>
      <c r="BB40" s="429"/>
      <c r="BC40" s="429"/>
      <c r="BD40" s="429"/>
      <c r="BE40" s="429"/>
      <c r="BF40" s="429"/>
      <c r="BG40" s="429"/>
      <c r="BH40" s="429"/>
      <c r="BI40" s="429"/>
      <c r="BJ40" s="429"/>
      <c r="BK40" s="429"/>
      <c r="BL40" s="429"/>
      <c r="BM40" s="429"/>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29"/>
      <c r="BB41" s="429"/>
      <c r="BC41" s="429"/>
      <c r="BD41" s="429"/>
      <c r="BE41" s="429"/>
      <c r="BF41" s="429"/>
      <c r="BG41" s="429"/>
      <c r="BH41" s="429"/>
      <c r="BI41" s="429"/>
      <c r="BJ41" s="429"/>
      <c r="BK41" s="429"/>
      <c r="BL41" s="429"/>
      <c r="BM41" s="429"/>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2" t="str">
        <f>Processes!D32</f>
        <v>T-LGT-ICE_GSL00</v>
      </c>
      <c r="C59" s="222"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29" customFormat="1">
      <c r="B60" s="222" t="str">
        <f>Processes!D33</f>
        <v>T-LGT-ICE_DST00</v>
      </c>
      <c r="C60" s="222"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29" customFormat="1">
      <c r="B61" s="222" t="str">
        <f>Processes!D34</f>
        <v>T-MGT-ICE_DST00</v>
      </c>
      <c r="C61" s="222"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2" t="str">
        <f>Processes!D35</f>
        <v>T-HGT-ICE_DST00</v>
      </c>
      <c r="C62" s="222"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2" t="str">
        <f>Processes!D36</f>
        <v>T-GTR-ICE_DST00</v>
      </c>
      <c r="C63" s="222"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2" t="str">
        <f>Processes!D38</f>
        <v>T-TUR_CON00</v>
      </c>
      <c r="C64" s="222"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2" t="str">
        <f>Processes!D39</f>
        <v>T-NAV_CON00</v>
      </c>
      <c r="C65" s="222"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2" t="str">
        <f>Processes!D40</f>
        <v>T-OTH_CON00</v>
      </c>
      <c r="C66" s="222"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2" t="str">
        <f>Processes!D42</f>
        <v>T-AVI_DOM00</v>
      </c>
      <c r="C67" s="222"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8" t="str">
        <f>Processes!D43</f>
        <v>T-AVI_INT00</v>
      </c>
      <c r="C68" s="238" t="s">
        <v>540</v>
      </c>
      <c r="D68" s="250">
        <v>1</v>
      </c>
      <c r="E68" s="250">
        <v>1</v>
      </c>
      <c r="F68" s="250">
        <v>1</v>
      </c>
      <c r="G68" s="250">
        <v>1</v>
      </c>
      <c r="H68" s="250">
        <v>1</v>
      </c>
      <c r="I68" s="250">
        <v>1</v>
      </c>
      <c r="J68" s="250">
        <v>1</v>
      </c>
      <c r="K68" s="250">
        <v>1</v>
      </c>
      <c r="L68" s="250">
        <v>1</v>
      </c>
      <c r="M68" s="250">
        <v>1</v>
      </c>
      <c r="N68" s="250">
        <v>1</v>
      </c>
      <c r="O68" s="250">
        <v>1</v>
      </c>
      <c r="P68" s="250">
        <v>1</v>
      </c>
      <c r="Q68" s="250">
        <v>1</v>
      </c>
      <c r="R68" s="250">
        <v>1</v>
      </c>
      <c r="S68" s="250">
        <v>1</v>
      </c>
      <c r="T68" s="250">
        <v>1</v>
      </c>
      <c r="U68" s="250">
        <v>1</v>
      </c>
      <c r="V68" s="250">
        <v>1</v>
      </c>
      <c r="W68" s="250">
        <v>1</v>
      </c>
      <c r="X68" s="250">
        <v>1</v>
      </c>
      <c r="Y68" s="250">
        <v>1</v>
      </c>
      <c r="Z68" s="250">
        <v>1</v>
      </c>
      <c r="AA68" s="250">
        <v>1</v>
      </c>
      <c r="AB68" s="250">
        <v>1</v>
      </c>
      <c r="AC68" s="250">
        <v>1</v>
      </c>
      <c r="AD68" s="250">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806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767</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767</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767</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767</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767</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767</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767</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767</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767</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767</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767</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767</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767</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767</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767</v>
      </c>
      <c r="D90" s="434">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767</v>
      </c>
      <c r="D91" s="434">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767</v>
      </c>
      <c r="D92" s="434">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767</v>
      </c>
      <c r="D93" s="434">
        <f>AVERAGE(D133:D134)/1000</f>
        <v>20.794499999999999</v>
      </c>
      <c r="E93" s="434">
        <f t="shared" ref="E93:AD93" si="59">AVERAGE(E133:E134)/1000</f>
        <v>20.6495</v>
      </c>
      <c r="F93" s="434">
        <f t="shared" si="59"/>
        <v>22.375</v>
      </c>
      <c r="G93" s="434">
        <f t="shared" si="59"/>
        <v>21.454000000000001</v>
      </c>
      <c r="H93" s="434">
        <f t="shared" si="59"/>
        <v>20.001000000000001</v>
      </c>
      <c r="I93" s="434">
        <f t="shared" si="59"/>
        <v>20.641500000000001</v>
      </c>
      <c r="J93" s="434">
        <f t="shared" si="59"/>
        <v>20.355</v>
      </c>
      <c r="K93" s="434">
        <f t="shared" si="59"/>
        <v>20.972999999999999</v>
      </c>
      <c r="L93" s="434">
        <f t="shared" si="59"/>
        <v>21.956499999999998</v>
      </c>
      <c r="M93" s="434">
        <f t="shared" si="59"/>
        <v>20.138500000000001</v>
      </c>
      <c r="N93" s="434">
        <f t="shared" si="59"/>
        <v>20.660499999999999</v>
      </c>
      <c r="O93" s="434">
        <f t="shared" si="59"/>
        <v>20.590499999999999</v>
      </c>
      <c r="P93" s="434">
        <f t="shared" si="59"/>
        <v>19.901</v>
      </c>
      <c r="Q93" s="434">
        <f t="shared" si="59"/>
        <v>20.317499999999999</v>
      </c>
      <c r="R93" s="434">
        <f t="shared" si="59"/>
        <v>19.6965</v>
      </c>
      <c r="S93" s="434">
        <f t="shared" si="59"/>
        <v>20.023499999999999</v>
      </c>
      <c r="T93" s="434">
        <f t="shared" si="59"/>
        <v>21.157</v>
      </c>
      <c r="U93" s="434">
        <f t="shared" si="59"/>
        <v>19.945499999999999</v>
      </c>
      <c r="V93" s="434">
        <f t="shared" si="59"/>
        <v>18.807500000000001</v>
      </c>
      <c r="W93" s="434">
        <f t="shared" si="59"/>
        <v>20.356000000000002</v>
      </c>
      <c r="X93" s="434">
        <f t="shared" si="59"/>
        <v>20.490500000000001</v>
      </c>
      <c r="Y93" s="434">
        <f t="shared" si="59"/>
        <v>20.330500000000001</v>
      </c>
      <c r="Z93" s="434">
        <f t="shared" si="59"/>
        <v>20.715499999999999</v>
      </c>
      <c r="AA93" s="434">
        <f t="shared" si="59"/>
        <v>19.79</v>
      </c>
      <c r="AB93" s="434">
        <f t="shared" si="59"/>
        <v>20.96</v>
      </c>
      <c r="AC93" s="434">
        <f t="shared" si="59"/>
        <v>19.359000000000002</v>
      </c>
      <c r="AD93" s="434">
        <f t="shared" si="59"/>
        <v>20.867999999999999</v>
      </c>
      <c r="AE93" s="201" t="s">
        <v>1070</v>
      </c>
      <c r="AG93" s="201"/>
    </row>
    <row r="94" spans="2:33" s="429" customFormat="1">
      <c r="B94" s="429" t="str">
        <f t="shared" ref="B94:B96" si="60">B24</f>
        <v>T-LGT-ICE_DST00</v>
      </c>
      <c r="C94" s="429" t="s">
        <v>767</v>
      </c>
      <c r="D94" s="434">
        <f>AVERAGE(D133:D134)/1000</f>
        <v>20.794499999999999</v>
      </c>
      <c r="E94" s="434">
        <f t="shared" ref="E94:AD94" si="61">AVERAGE(E133:E134)/1000</f>
        <v>20.6495</v>
      </c>
      <c r="F94" s="434">
        <f t="shared" si="61"/>
        <v>22.375</v>
      </c>
      <c r="G94" s="434">
        <f t="shared" si="61"/>
        <v>21.454000000000001</v>
      </c>
      <c r="H94" s="434">
        <f t="shared" si="61"/>
        <v>20.001000000000001</v>
      </c>
      <c r="I94" s="434">
        <f t="shared" si="61"/>
        <v>20.641500000000001</v>
      </c>
      <c r="J94" s="434">
        <f t="shared" si="61"/>
        <v>20.355</v>
      </c>
      <c r="K94" s="434">
        <f t="shared" si="61"/>
        <v>20.972999999999999</v>
      </c>
      <c r="L94" s="434">
        <f t="shared" si="61"/>
        <v>21.956499999999998</v>
      </c>
      <c r="M94" s="434">
        <f t="shared" si="61"/>
        <v>20.138500000000001</v>
      </c>
      <c r="N94" s="434">
        <f t="shared" si="61"/>
        <v>20.660499999999999</v>
      </c>
      <c r="O94" s="434">
        <f t="shared" si="61"/>
        <v>20.590499999999999</v>
      </c>
      <c r="P94" s="434">
        <f t="shared" si="61"/>
        <v>19.901</v>
      </c>
      <c r="Q94" s="434">
        <f t="shared" si="61"/>
        <v>20.317499999999999</v>
      </c>
      <c r="R94" s="434">
        <f t="shared" si="61"/>
        <v>19.6965</v>
      </c>
      <c r="S94" s="434">
        <f t="shared" si="61"/>
        <v>20.023499999999999</v>
      </c>
      <c r="T94" s="434">
        <f t="shared" si="61"/>
        <v>21.157</v>
      </c>
      <c r="U94" s="434">
        <f t="shared" si="61"/>
        <v>19.945499999999999</v>
      </c>
      <c r="V94" s="434">
        <f t="shared" si="61"/>
        <v>18.807500000000001</v>
      </c>
      <c r="W94" s="434">
        <f t="shared" si="61"/>
        <v>20.356000000000002</v>
      </c>
      <c r="X94" s="434">
        <f t="shared" si="61"/>
        <v>20.490500000000001</v>
      </c>
      <c r="Y94" s="434">
        <f t="shared" si="61"/>
        <v>20.330500000000001</v>
      </c>
      <c r="Z94" s="434">
        <f t="shared" si="61"/>
        <v>20.715499999999999</v>
      </c>
      <c r="AA94" s="434">
        <f t="shared" si="61"/>
        <v>19.79</v>
      </c>
      <c r="AB94" s="434">
        <f t="shared" si="61"/>
        <v>20.96</v>
      </c>
      <c r="AC94" s="434">
        <f t="shared" si="61"/>
        <v>19.359000000000002</v>
      </c>
      <c r="AD94" s="434">
        <f t="shared" si="61"/>
        <v>20.867999999999999</v>
      </c>
      <c r="AE94" s="434" t="str">
        <f>AE93</f>
        <v>CSO, Table THA19</v>
      </c>
    </row>
    <row r="95" spans="2:33" s="429" customFormat="1">
      <c r="B95" s="429" t="str">
        <f t="shared" si="60"/>
        <v>T-MGT-ICE_DST00</v>
      </c>
      <c r="C95" s="429" t="s">
        <v>767</v>
      </c>
      <c r="D95" s="434">
        <f>AVERAGE(D135:D136)/1000</f>
        <v>29.397500000000001</v>
      </c>
      <c r="E95" s="434">
        <f t="shared" ref="E95:AD95" si="62">AVERAGE(E135:E136)/1000</f>
        <v>31.172499999999999</v>
      </c>
      <c r="F95" s="434">
        <f t="shared" si="62"/>
        <v>33.305999999999997</v>
      </c>
      <c r="G95" s="434">
        <f t="shared" si="62"/>
        <v>25.042000000000002</v>
      </c>
      <c r="H95" s="434">
        <f t="shared" si="62"/>
        <v>24.787500000000001</v>
      </c>
      <c r="I95" s="434">
        <f t="shared" si="62"/>
        <v>26.09</v>
      </c>
      <c r="J95" s="434">
        <f t="shared" si="62"/>
        <v>24.6065</v>
      </c>
      <c r="K95" s="434">
        <f t="shared" si="62"/>
        <v>29.489000000000001</v>
      </c>
      <c r="L95" s="434">
        <f t="shared" si="62"/>
        <v>28.097000000000001</v>
      </c>
      <c r="M95" s="434">
        <f t="shared" si="62"/>
        <v>24.5305</v>
      </c>
      <c r="N95" s="434">
        <f t="shared" si="62"/>
        <v>26.7775</v>
      </c>
      <c r="O95" s="434">
        <f t="shared" si="62"/>
        <v>32.348999999999997</v>
      </c>
      <c r="P95" s="434">
        <f t="shared" si="62"/>
        <v>26.45</v>
      </c>
      <c r="Q95" s="434">
        <f t="shared" si="62"/>
        <v>25.686</v>
      </c>
      <c r="R95" s="434">
        <f t="shared" si="62"/>
        <v>29.422000000000001</v>
      </c>
      <c r="S95" s="434">
        <f t="shared" si="62"/>
        <v>26.604500000000002</v>
      </c>
      <c r="T95" s="434">
        <f t="shared" si="62"/>
        <v>30.3155</v>
      </c>
      <c r="U95" s="434">
        <f t="shared" si="62"/>
        <v>26.679500000000001</v>
      </c>
      <c r="V95" s="434">
        <f t="shared" si="62"/>
        <v>25.986000000000001</v>
      </c>
      <c r="W95" s="434">
        <f t="shared" si="62"/>
        <v>28.8355</v>
      </c>
      <c r="X95" s="434">
        <f t="shared" si="62"/>
        <v>26.519500000000001</v>
      </c>
      <c r="Y95" s="434">
        <f t="shared" si="62"/>
        <v>27.371500000000001</v>
      </c>
      <c r="Z95" s="434">
        <f t="shared" si="62"/>
        <v>34.000500000000002</v>
      </c>
      <c r="AA95" s="434">
        <f t="shared" si="62"/>
        <v>22.640499999999999</v>
      </c>
      <c r="AB95" s="434">
        <f t="shared" si="62"/>
        <v>30.84</v>
      </c>
      <c r="AC95" s="434">
        <f t="shared" si="62"/>
        <v>23.1995</v>
      </c>
      <c r="AD95" s="434">
        <f t="shared" si="62"/>
        <v>31.799499999999998</v>
      </c>
      <c r="AE95" s="434" t="str">
        <f>AE93</f>
        <v>CSO, Table THA19</v>
      </c>
    </row>
    <row r="96" spans="2:33">
      <c r="B96" s="429" t="str">
        <f t="shared" si="60"/>
        <v>T-HGT-ICE_DST00</v>
      </c>
      <c r="C96" s="429" t="s">
        <v>767</v>
      </c>
      <c r="D96" s="435">
        <f>AVERAGE(D137:D138)/1000</f>
        <v>50.915999999999997</v>
      </c>
      <c r="E96" s="435">
        <f t="shared" ref="E96:AD96" si="63">AVERAGE(E137:E138)/1000</f>
        <v>48.8825</v>
      </c>
      <c r="F96" s="435">
        <f t="shared" si="63"/>
        <v>49.607999999999997</v>
      </c>
      <c r="G96" s="435">
        <f t="shared" si="63"/>
        <v>54.716999999999999</v>
      </c>
      <c r="H96" s="435">
        <f t="shared" si="63"/>
        <v>59.597000000000001</v>
      </c>
      <c r="I96" s="435">
        <f t="shared" si="63"/>
        <v>52.476999999999997</v>
      </c>
      <c r="J96" s="435">
        <f t="shared" si="63"/>
        <v>51.298000000000002</v>
      </c>
      <c r="K96" s="435">
        <f t="shared" si="63"/>
        <v>51.7545</v>
      </c>
      <c r="L96" s="435">
        <f t="shared" si="63"/>
        <v>50.350499999999997</v>
      </c>
      <c r="M96" s="435">
        <f t="shared" si="63"/>
        <v>49.205500000000001</v>
      </c>
      <c r="N96" s="435">
        <f t="shared" si="63"/>
        <v>48.326999999999998</v>
      </c>
      <c r="O96" s="435">
        <f t="shared" si="63"/>
        <v>56.772500000000001</v>
      </c>
      <c r="P96" s="435">
        <f t="shared" si="63"/>
        <v>48.652999999999999</v>
      </c>
      <c r="Q96" s="435">
        <f t="shared" si="63"/>
        <v>48.671999999999997</v>
      </c>
      <c r="R96" s="435">
        <f t="shared" si="63"/>
        <v>51.267000000000003</v>
      </c>
      <c r="S96" s="435">
        <f t="shared" si="63"/>
        <v>47.985999999999997</v>
      </c>
      <c r="T96" s="435">
        <f t="shared" si="63"/>
        <v>54.374499999999998</v>
      </c>
      <c r="U96" s="435">
        <f t="shared" si="63"/>
        <v>45.490499999999997</v>
      </c>
      <c r="V96" s="435">
        <f t="shared" si="63"/>
        <v>50.088500000000003</v>
      </c>
      <c r="W96" s="435">
        <f t="shared" si="63"/>
        <v>42.529499999999999</v>
      </c>
      <c r="X96" s="435">
        <f t="shared" si="63"/>
        <v>52.52</v>
      </c>
      <c r="Y96" s="435">
        <f t="shared" si="63"/>
        <v>37.160499999999999</v>
      </c>
      <c r="Z96" s="435">
        <f t="shared" si="63"/>
        <v>48.639000000000003</v>
      </c>
      <c r="AA96" s="435">
        <f t="shared" si="63"/>
        <v>46.78</v>
      </c>
      <c r="AB96" s="435">
        <f t="shared" si="63"/>
        <v>61.667499999999997</v>
      </c>
      <c r="AC96" s="435">
        <f t="shared" si="63"/>
        <v>47.325000000000003</v>
      </c>
      <c r="AD96" s="435">
        <f t="shared" si="63"/>
        <v>57.072000000000003</v>
      </c>
      <c r="AE96" s="6" t="str">
        <f>AE95</f>
        <v>CSO, Table THA19</v>
      </c>
      <c r="AG96" s="201"/>
    </row>
    <row r="97" spans="2:33">
      <c r="B97" s="200" t="str">
        <f>B27</f>
        <v>T-GTR-ICE_DST00</v>
      </c>
      <c r="C97" s="200" t="s">
        <v>767</v>
      </c>
      <c r="D97" s="436">
        <v>39.363999999999997</v>
      </c>
      <c r="E97" s="338">
        <f>D97</f>
        <v>39.363999999999997</v>
      </c>
      <c r="F97" s="338">
        <f t="shared" ref="F97" si="64">E97</f>
        <v>39.363999999999997</v>
      </c>
      <c r="G97" s="338">
        <f t="shared" ref="G97" si="65">F97</f>
        <v>39.363999999999997</v>
      </c>
      <c r="H97" s="338">
        <f t="shared" ref="H97" si="66">G97</f>
        <v>39.363999999999997</v>
      </c>
      <c r="I97" s="338">
        <f t="shared" ref="I97" si="67">H97</f>
        <v>39.363999999999997</v>
      </c>
      <c r="J97" s="338">
        <f t="shared" ref="J97" si="68">I97</f>
        <v>39.363999999999997</v>
      </c>
      <c r="K97" s="338">
        <f t="shared" ref="K97" si="69">J97</f>
        <v>39.363999999999997</v>
      </c>
      <c r="L97" s="338">
        <f t="shared" ref="L97" si="70">K97</f>
        <v>39.363999999999997</v>
      </c>
      <c r="M97" s="338">
        <f t="shared" ref="M97" si="71">L97</f>
        <v>39.363999999999997</v>
      </c>
      <c r="N97" s="338">
        <f t="shared" ref="N97" si="72">M97</f>
        <v>39.363999999999997</v>
      </c>
      <c r="O97" s="338">
        <f t="shared" ref="O97" si="73">N97</f>
        <v>39.363999999999997</v>
      </c>
      <c r="P97" s="338">
        <f t="shared" ref="P97" si="74">O97</f>
        <v>39.363999999999997</v>
      </c>
      <c r="Q97" s="338">
        <f t="shared" ref="Q97" si="75">P97</f>
        <v>39.363999999999997</v>
      </c>
      <c r="R97" s="338">
        <f t="shared" ref="R97" si="76">Q97</f>
        <v>39.363999999999997</v>
      </c>
      <c r="S97" s="338">
        <f t="shared" ref="S97" si="77">R97</f>
        <v>39.363999999999997</v>
      </c>
      <c r="T97" s="338">
        <f t="shared" ref="T97" si="78">S97</f>
        <v>39.363999999999997</v>
      </c>
      <c r="U97" s="338">
        <f t="shared" ref="U97" si="79">T97</f>
        <v>39.363999999999997</v>
      </c>
      <c r="V97" s="338">
        <f t="shared" ref="V97" si="80">U97</f>
        <v>39.363999999999997</v>
      </c>
      <c r="W97" s="338">
        <f t="shared" ref="W97" si="81">V97</f>
        <v>39.363999999999997</v>
      </c>
      <c r="X97" s="338">
        <f t="shared" ref="X97" si="82">W97</f>
        <v>39.363999999999997</v>
      </c>
      <c r="Y97" s="338">
        <f t="shared" ref="Y97" si="83">X97</f>
        <v>39.363999999999997</v>
      </c>
      <c r="Z97" s="338">
        <f t="shared" ref="Z97" si="84">Y97</f>
        <v>39.363999999999997</v>
      </c>
      <c r="AA97" s="338">
        <f t="shared" ref="AA97" si="85">Z97</f>
        <v>39.363999999999997</v>
      </c>
      <c r="AB97" s="338">
        <f t="shared" ref="AB97" si="86">AA97</f>
        <v>39.363999999999997</v>
      </c>
      <c r="AC97" s="338">
        <f t="shared" ref="AC97" si="87">AB97</f>
        <v>39.363999999999997</v>
      </c>
      <c r="AD97" s="338">
        <f t="shared" ref="AD97" si="88">AC97</f>
        <v>39.363999999999997</v>
      </c>
      <c r="AE97" s="201"/>
      <c r="AG97" s="201"/>
    </row>
    <row r="105" spans="2:33" ht="18">
      <c r="B105" s="366" t="s">
        <v>807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808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808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808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808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808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808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808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808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808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808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808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808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808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808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808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808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808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809</v>
      </c>
      <c r="D124" s="376">
        <f>Stock!G28*AF!D93*ACT2FLO!E70*AF!D59</f>
        <v>7.9580551500000023E-4</v>
      </c>
      <c r="E124" s="376">
        <f>Stock!H28*AF!E93*ACT2FLO!F70*AF!E59</f>
        <v>8.8792850000000005E-6</v>
      </c>
      <c r="F124" s="376">
        <f>Stock!I28*AF!F93*ACT2FLO!G70*AF!F59</f>
        <v>2.6747075000000005E-4</v>
      </c>
      <c r="G124" s="376">
        <f>Stock!J28*AF!G93*ACT2FLO!H70*AF!G59</f>
        <v>4.5203578000000002E-5</v>
      </c>
      <c r="H124" s="376">
        <f>Stock!K28*AF!H93*ACT2FLO!I70*AF!H59</f>
        <v>1.2900645000000001E-5</v>
      </c>
      <c r="I124" s="376">
        <f>Stock!L28*AF!I93*ACT2FLO!J70*AF!I59</f>
        <v>1.86392745E-5</v>
      </c>
      <c r="J124" s="376">
        <f>Stock!M28*AF!J93*ACT2FLO!K70*AF!J59</f>
        <v>7.00212E-6</v>
      </c>
      <c r="K124" s="376">
        <f>Stock!N28*AF!K93*ACT2FLO!L70*AF!K59</f>
        <v>1.3527584999999996E-5</v>
      </c>
      <c r="L124" s="376">
        <f>Stock!O28*AF!L93*ACT2FLO!M70*AF!L59</f>
        <v>1.9826719500000001E-5</v>
      </c>
      <c r="M124" s="376">
        <f>Stock!P28*AF!M93*ACT2FLO!N70*AF!M59</f>
        <v>8.6595549999999995E-6</v>
      </c>
      <c r="N124" s="376">
        <f>Stock!Q28*AF!N93*ACT2FLO!O70*AF!N59</f>
        <v>1.2437620999999998E-5</v>
      </c>
      <c r="O124" s="376">
        <f>Stock!R28*AF!O93*ACT2FLO!P70*AF!O59</f>
        <v>2.4790961999999996E-5</v>
      </c>
      <c r="P124" s="376">
        <f>Stock!S28*AF!P93*ACT2FLO!Q70*AF!P59</f>
        <v>3.9364177999999991E-5</v>
      </c>
      <c r="Q124" s="376">
        <f>Stock!T28*AF!Q93*ACT2FLO!R70*AF!Q59</f>
        <v>1.3978439999999999E-5</v>
      </c>
      <c r="R124" s="376">
        <f>Stock!U28*AF!R93*ACT2FLO!S70*AF!R59</f>
        <v>1.1095038449999999E-4</v>
      </c>
      <c r="S124" s="376">
        <f>Stock!V28*AF!S93*ACT2FLO!T70*AF!S59</f>
        <v>1.8081220499999998E-5</v>
      </c>
      <c r="T124" s="376">
        <f>Stock!W28*AF!T93*ACT2FLO!U70*AF!T59</f>
        <v>1.2736513999999999E-5</v>
      </c>
      <c r="U124" s="376">
        <f>Stock!X28*AF!U93*ACT2FLO!V70*AF!U59</f>
        <v>2.3156725499999998E-5</v>
      </c>
      <c r="V124" s="376">
        <f>Stock!Y28*AF!V93*ACT2FLO!W70*AF!V59</f>
        <v>2.4261674999999997E-5</v>
      </c>
      <c r="W124" s="376">
        <f>Stock!Z28*AF!W93*ACT2FLO!X70*AF!W59</f>
        <v>3.8513551999999999E-5</v>
      </c>
      <c r="X124" s="376">
        <f>Stock!AA28*AF!X93*ACT2FLO!Y70*AF!X59</f>
        <v>1.762183E-6</v>
      </c>
      <c r="Y124" s="376">
        <f>Stock!AB28*AF!Y93*ACT2FLO!Z70*AF!Y59</f>
        <v>1.6610018499999996E-5</v>
      </c>
      <c r="Z124" s="376">
        <f>Stock!AC28*AF!Z93*ACT2FLO!AA70*AF!Z59</f>
        <v>1.2470730999999997E-5</v>
      </c>
      <c r="AA124" s="376">
        <f>Stock!AD28*AF!AA93*ACT2FLO!AB70*AF!AA59</f>
        <v>7.6587299999999988E-6</v>
      </c>
      <c r="AB124" s="376">
        <f>Stock!AE28*AF!AB93*ACT2FLO!AC70*AF!AB59</f>
        <v>6.3089600000000007E-6</v>
      </c>
      <c r="AC124" s="376">
        <f>Stock!AF28*AF!AC93*ACT2FLO!AD70*AF!AC59</f>
        <v>2.4140673E-5</v>
      </c>
      <c r="AD124" s="376">
        <f>Stock!AG28*AF!AD93*ACT2FLO!AE70*AF!AD59</f>
        <v>1.0767887999999998E-5</v>
      </c>
    </row>
    <row r="125" spans="2:30">
      <c r="B125" s="201" t="str">
        <f t="shared" ref="B125:B126" si="91">B26</f>
        <v>T-HGT-ICE_DST00</v>
      </c>
      <c r="C125" s="201" t="s">
        <v>809</v>
      </c>
      <c r="D125" s="376">
        <f>Stock!G31*AF!D96*ACT2FLO!E73*AF!D62</f>
        <v>10.105240679424002</v>
      </c>
      <c r="E125" s="376">
        <f>Stock!H31*AF!E96*ACT2FLO!F73*AF!E62</f>
        <v>0.17478035640000003</v>
      </c>
      <c r="F125" s="376">
        <f>Stock!I31*AF!F96*ACT2FLO!G73*AF!F62</f>
        <v>1.7660122571519998</v>
      </c>
      <c r="G125" s="376">
        <f>Stock!J31*AF!G96*ACT2FLO!H73*AF!G62</f>
        <v>0.55782974707200006</v>
      </c>
      <c r="H125" s="376">
        <f>Stock!K31*AF!H96*ACT2FLO!I73*AF!H62</f>
        <v>0.38957271604799998</v>
      </c>
      <c r="I125" s="376">
        <f>Stock!L31*AF!I96*ACT2FLO!J73*AF!I62</f>
        <v>0.21890465687999999</v>
      </c>
      <c r="J125" s="376">
        <f>Stock!M31*AF!J96*ACT2FLO!K73*AF!J62</f>
        <v>0.12980281766400001</v>
      </c>
      <c r="K125" s="376">
        <f>Stock!N31*AF!K96*ACT2FLO!L73*AF!K62</f>
        <v>0.29275740295199998</v>
      </c>
      <c r="L125" s="376">
        <f>Stock!O31*AF!L96*ACT2FLO!M73*AF!L62</f>
        <v>0.65733745881599992</v>
      </c>
      <c r="M125" s="376">
        <f>Stock!P31*AF!M96*ACT2FLO!N73*AF!M62</f>
        <v>0.145710475752</v>
      </c>
      <c r="N125" s="376">
        <f>Stock!Q31*AF!N96*ACT2FLO!O73*AF!N62</f>
        <v>0.14000757177599998</v>
      </c>
      <c r="O125" s="376">
        <f>Stock!R31*AF!O96*ACT2FLO!P73*AF!O62</f>
        <v>0.72348148919999999</v>
      </c>
      <c r="P125" s="376">
        <f>Stock!S31*AF!P96*ACT2FLO!Q73*AF!P62</f>
        <v>0.17663607878399998</v>
      </c>
      <c r="Q125" s="376">
        <f>Stock!T31*AF!Q96*ACT2FLO!R73*AF!Q62</f>
        <v>0.17715128371199998</v>
      </c>
      <c r="R125" s="376">
        <f>Stock!U31*AF!R96*ACT2FLO!S73*AF!R62</f>
        <v>1.2023005596480001</v>
      </c>
      <c r="S125" s="376">
        <f>Stock!V31*AF!S96*ACT2FLO!T73*AF!S62</f>
        <v>0.227006794368</v>
      </c>
      <c r="T125" s="376">
        <f>Stock!W31*AF!T96*ACT2FLO!U73*AF!T62</f>
        <v>0.46909359645599991</v>
      </c>
      <c r="U125" s="376">
        <f>Stock!X31*AF!U96*ACT2FLO!V73*AF!U62</f>
        <v>0.43790974919999998</v>
      </c>
      <c r="V125" s="376">
        <f>Stock!Y31*AF!V96*ACT2FLO!W73*AF!V62</f>
        <v>0.164397669744</v>
      </c>
      <c r="W125" s="376">
        <f>Stock!Z31*AF!W96*ACT2FLO!X73*AF!W62</f>
        <v>0.40004812785599997</v>
      </c>
      <c r="X125" s="376">
        <f>Stock!AA31*AF!X96*ACT2FLO!Y73*AF!X62</f>
        <v>6.500295360000001E-2</v>
      </c>
      <c r="Y125" s="376">
        <f>Stock!AB31*AF!Y96*ACT2FLO!Z73*AF!Y62</f>
        <v>0.19419185447999995</v>
      </c>
      <c r="Z125" s="376">
        <f>Stock!AC31*AF!Z96*ACT2FLO!AA73*AF!Z62</f>
        <v>0.14537068675200002</v>
      </c>
      <c r="AA125" s="376">
        <f>Stock!AD31*AF!AA96*ACT2FLO!AB73*AF!AA62</f>
        <v>9.9499937280000006E-2</v>
      </c>
      <c r="AB125" s="376">
        <f>Stock!AE31*AF!AB96*ACT2FLO!AC73*AF!AB62</f>
        <v>0.27589940831999998</v>
      </c>
      <c r="AC125" s="376">
        <f>Stock!AF31*AF!AC96*ACT2FLO!AD73*AF!AC62</f>
        <v>0.312390432</v>
      </c>
      <c r="AD125" s="376">
        <f>Stock!AG31*AF!AD96*ACT2FLO!AE73*AF!AD62</f>
        <v>0.54207259545599995</v>
      </c>
    </row>
    <row r="126" spans="2:30">
      <c r="B126" s="200" t="str">
        <f t="shared" si="91"/>
        <v>T-GTR-ICE_DST00</v>
      </c>
      <c r="C126" s="200" t="s">
        <v>809</v>
      </c>
      <c r="D126" s="377">
        <f>Stock!G32*AF!D97*ACT2FLO!E74*AF!D63</f>
        <v>9.0838999999999989E-2</v>
      </c>
      <c r="E126" s="377">
        <f>Stock!H32*AF!E97*ACT2FLO!F74*AF!E63</f>
        <v>0</v>
      </c>
      <c r="F126" s="377">
        <f>Stock!I32*AF!F97*ACT2FLO!G74*AF!F63</f>
        <v>9.0838999999999989E-2</v>
      </c>
      <c r="G126" s="377">
        <f>Stock!J32*AF!G97*ACT2FLO!H74*AF!G63</f>
        <v>0</v>
      </c>
      <c r="H126" s="377">
        <f>Stock!K32*AF!H97*ACT2FLO!I74*AF!H63</f>
        <v>0</v>
      </c>
      <c r="I126" s="377">
        <f>Stock!L32*AF!I97*ACT2FLO!J74*AF!I63</f>
        <v>0</v>
      </c>
      <c r="J126" s="377">
        <f>Stock!M32*AF!J97*ACT2FLO!K74*AF!J63</f>
        <v>0</v>
      </c>
      <c r="K126" s="377">
        <f>Stock!N32*AF!K97*ACT2FLO!L74*AF!K63</f>
        <v>0</v>
      </c>
      <c r="L126" s="377">
        <f>Stock!O32*AF!L97*ACT2FLO!M74*AF!L63</f>
        <v>9.0838999999999989E-2</v>
      </c>
      <c r="M126" s="377">
        <f>Stock!P32*AF!M97*ACT2FLO!N74*AF!M63</f>
        <v>0</v>
      </c>
      <c r="N126" s="377">
        <f>Stock!Q32*AF!N97*ACT2FLO!O74*AF!N63</f>
        <v>0</v>
      </c>
      <c r="O126" s="377">
        <f>Stock!R32*AF!O97*ACT2FLO!P74*AF!O63</f>
        <v>0</v>
      </c>
      <c r="P126" s="377">
        <f>Stock!S32*AF!P97*ACT2FLO!Q74*AF!P63</f>
        <v>0</v>
      </c>
      <c r="Q126" s="377">
        <f>Stock!T32*AF!Q97*ACT2FLO!R74*AF!Q63</f>
        <v>0</v>
      </c>
      <c r="R126" s="377">
        <f>Stock!U32*AF!R97*ACT2FLO!S74*AF!R63</f>
        <v>0</v>
      </c>
      <c r="S126" s="377">
        <f>Stock!V32*AF!S97*ACT2FLO!T74*AF!S63</f>
        <v>0</v>
      </c>
      <c r="T126" s="377">
        <f>Stock!W32*AF!T97*ACT2FLO!U74*AF!T63</f>
        <v>0</v>
      </c>
      <c r="U126" s="377">
        <f>Stock!X32*AF!U97*ACT2FLO!V74*AF!U63</f>
        <v>0</v>
      </c>
      <c r="V126" s="377">
        <f>Stock!Y32*AF!V97*ACT2FLO!W74*AF!V63</f>
        <v>9.0838999999999989E-2</v>
      </c>
      <c r="W126" s="377">
        <f>Stock!Z32*AF!W97*ACT2FLO!X74*AF!W63</f>
        <v>0</v>
      </c>
      <c r="X126" s="377">
        <f>Stock!AA32*AF!X97*ACT2FLO!Y74*AF!X63</f>
        <v>0</v>
      </c>
      <c r="Y126" s="377">
        <f>Stock!AB32*AF!Y97*ACT2FLO!Z74*AF!Y63</f>
        <v>9.0838999999999989E-2</v>
      </c>
      <c r="Z126" s="377">
        <f>Stock!AC32*AF!Z97*ACT2FLO!AA74*AF!Z63</f>
        <v>0</v>
      </c>
      <c r="AA126" s="377">
        <f>Stock!AD32*AF!AA97*ACT2FLO!AB74*AF!AA63</f>
        <v>0</v>
      </c>
      <c r="AB126" s="377">
        <f>Stock!AE32*AF!AB97*ACT2FLO!AC74*AF!AB63</f>
        <v>0</v>
      </c>
      <c r="AC126" s="377">
        <f>Stock!AF32*AF!AC97*ACT2FLO!AD74*AF!AC63</f>
        <v>0</v>
      </c>
      <c r="AD126" s="377">
        <f>Stock!AG32*AF!AD97*ACT2FLO!AE74*AF!AD63</f>
        <v>0</v>
      </c>
    </row>
    <row r="131" spans="2:31" ht="15.6">
      <c r="B131" s="143" t="s">
        <v>1071</v>
      </c>
      <c r="C131" s="429"/>
    </row>
    <row r="132" spans="2:31" ht="17.399999999999999">
      <c r="B132" s="431" t="s">
        <v>1052</v>
      </c>
      <c r="C132" s="431" t="s">
        <v>657</v>
      </c>
      <c r="D132" s="431" t="str">
        <f>D106</f>
        <v>IE</v>
      </c>
      <c r="E132" s="431" t="str">
        <f t="shared" ref="E132:AD132" si="92">E106</f>
        <v>IE-CW</v>
      </c>
      <c r="F132" s="431" t="str">
        <f t="shared" si="92"/>
        <v>IE-D</v>
      </c>
      <c r="G132" s="431" t="str">
        <f t="shared" si="92"/>
        <v>IE-KE</v>
      </c>
      <c r="H132" s="431" t="str">
        <f t="shared" si="92"/>
        <v>IE-KK</v>
      </c>
      <c r="I132" s="431" t="str">
        <f t="shared" si="92"/>
        <v>IE-LS</v>
      </c>
      <c r="J132" s="431" t="str">
        <f t="shared" si="92"/>
        <v>IE-LD</v>
      </c>
      <c r="K132" s="431" t="str">
        <f t="shared" si="92"/>
        <v>IE-LH</v>
      </c>
      <c r="L132" s="431" t="str">
        <f t="shared" si="92"/>
        <v>IE-MH</v>
      </c>
      <c r="M132" s="431" t="str">
        <f t="shared" si="92"/>
        <v>IE-OY</v>
      </c>
      <c r="N132" s="431" t="str">
        <f t="shared" si="92"/>
        <v>IE-WH</v>
      </c>
      <c r="O132" s="431" t="str">
        <f t="shared" si="92"/>
        <v>IE-WX</v>
      </c>
      <c r="P132" s="431" t="str">
        <f t="shared" si="92"/>
        <v>IE-WW</v>
      </c>
      <c r="Q132" s="431" t="str">
        <f t="shared" si="92"/>
        <v>IE-CE</v>
      </c>
      <c r="R132" s="431" t="str">
        <f t="shared" si="92"/>
        <v>IE-CO</v>
      </c>
      <c r="S132" s="431" t="str">
        <f t="shared" si="92"/>
        <v>IE-KY</v>
      </c>
      <c r="T132" s="431" t="str">
        <f t="shared" si="92"/>
        <v>IE-LK</v>
      </c>
      <c r="U132" s="431" t="str">
        <f t="shared" si="92"/>
        <v>IE-TA</v>
      </c>
      <c r="V132" s="431" t="str">
        <f t="shared" si="92"/>
        <v>IE-WD</v>
      </c>
      <c r="W132" s="431" t="str">
        <f t="shared" si="92"/>
        <v>IE-G</v>
      </c>
      <c r="X132" s="431" t="str">
        <f t="shared" si="92"/>
        <v>IE-LM</v>
      </c>
      <c r="Y132" s="431" t="str">
        <f t="shared" si="92"/>
        <v>IE-MO</v>
      </c>
      <c r="Z132" s="431" t="str">
        <f t="shared" si="92"/>
        <v>IE-RN</v>
      </c>
      <c r="AA132" s="431" t="str">
        <f t="shared" si="92"/>
        <v>IE-SO</v>
      </c>
      <c r="AB132" s="431" t="str">
        <f t="shared" si="92"/>
        <v>IE-CN</v>
      </c>
      <c r="AC132" s="431" t="str">
        <f t="shared" si="92"/>
        <v>IE-DL</v>
      </c>
      <c r="AD132" s="431" t="str">
        <f t="shared" si="92"/>
        <v>IE-MN</v>
      </c>
    </row>
    <row r="133" spans="2:31">
      <c r="B133" s="860" t="s">
        <v>1049</v>
      </c>
      <c r="C133" s="429" t="s">
        <v>651</v>
      </c>
      <c r="D133" s="516">
        <v>18812</v>
      </c>
      <c r="E133" s="516">
        <v>18327</v>
      </c>
      <c r="F133" s="516">
        <v>20874</v>
      </c>
      <c r="G133" s="516">
        <v>19721</v>
      </c>
      <c r="H133" s="516">
        <v>17550</v>
      </c>
      <c r="I133" s="516">
        <v>18496</v>
      </c>
      <c r="J133" s="516">
        <v>18161</v>
      </c>
      <c r="K133" s="516">
        <v>19163</v>
      </c>
      <c r="L133" s="516">
        <v>19238</v>
      </c>
      <c r="M133" s="516">
        <v>18565</v>
      </c>
      <c r="N133" s="516">
        <v>19338</v>
      </c>
      <c r="O133" s="516">
        <v>18918</v>
      </c>
      <c r="P133" s="516">
        <v>17802</v>
      </c>
      <c r="Q133" s="516">
        <v>18458</v>
      </c>
      <c r="R133" s="516">
        <v>17796</v>
      </c>
      <c r="S133" s="516">
        <v>17679</v>
      </c>
      <c r="T133" s="516">
        <v>18705</v>
      </c>
      <c r="U133" s="516">
        <v>17793</v>
      </c>
      <c r="V133" s="516">
        <v>17605</v>
      </c>
      <c r="W133" s="516">
        <v>18640</v>
      </c>
      <c r="X133" s="516">
        <v>18071</v>
      </c>
      <c r="Y133" s="516">
        <v>17930</v>
      </c>
      <c r="Z133" s="516">
        <v>18533</v>
      </c>
      <c r="AA133" s="516">
        <v>17813</v>
      </c>
      <c r="AB133" s="516">
        <v>17732</v>
      </c>
      <c r="AC133" s="516">
        <v>17350</v>
      </c>
      <c r="AD133" s="516">
        <v>17979</v>
      </c>
    </row>
    <row r="134" spans="2:31">
      <c r="B134" s="860"/>
      <c r="C134" s="429" t="s">
        <v>652</v>
      </c>
      <c r="D134" s="516">
        <v>22777</v>
      </c>
      <c r="E134" s="516">
        <v>22972</v>
      </c>
      <c r="F134" s="516">
        <v>23876</v>
      </c>
      <c r="G134" s="516">
        <v>23187</v>
      </c>
      <c r="H134" s="516">
        <v>22452</v>
      </c>
      <c r="I134" s="516">
        <v>22787</v>
      </c>
      <c r="J134" s="516">
        <v>22549</v>
      </c>
      <c r="K134" s="516">
        <v>22783</v>
      </c>
      <c r="L134" s="516">
        <v>24675</v>
      </c>
      <c r="M134" s="516">
        <v>21712</v>
      </c>
      <c r="N134" s="516">
        <v>21983</v>
      </c>
      <c r="O134" s="516">
        <v>22263</v>
      </c>
      <c r="P134" s="516">
        <v>22000</v>
      </c>
      <c r="Q134" s="516">
        <v>22177</v>
      </c>
      <c r="R134" s="516">
        <v>21597</v>
      </c>
      <c r="S134" s="516">
        <v>22368</v>
      </c>
      <c r="T134" s="516">
        <v>23609</v>
      </c>
      <c r="U134" s="516">
        <v>22098</v>
      </c>
      <c r="V134" s="516">
        <v>20010</v>
      </c>
      <c r="W134" s="516">
        <v>22072</v>
      </c>
      <c r="X134" s="516">
        <v>22910</v>
      </c>
      <c r="Y134" s="516">
        <v>22731</v>
      </c>
      <c r="Z134" s="516">
        <v>22898</v>
      </c>
      <c r="AA134" s="516">
        <v>21767</v>
      </c>
      <c r="AB134" s="516">
        <v>24188</v>
      </c>
      <c r="AC134" s="516">
        <v>21368</v>
      </c>
      <c r="AD134" s="516">
        <v>23757</v>
      </c>
    </row>
    <row r="135" spans="2:31">
      <c r="B135" s="860" t="s">
        <v>1050</v>
      </c>
      <c r="C135" s="429" t="s">
        <v>653</v>
      </c>
      <c r="D135" s="516">
        <v>24886</v>
      </c>
      <c r="E135" s="516">
        <v>26210</v>
      </c>
      <c r="F135" s="516">
        <v>29256</v>
      </c>
      <c r="G135" s="516">
        <v>17558</v>
      </c>
      <c r="H135" s="516">
        <v>19522</v>
      </c>
      <c r="I135" s="516">
        <v>21770</v>
      </c>
      <c r="J135" s="516">
        <v>20540</v>
      </c>
      <c r="K135" s="516">
        <v>23423</v>
      </c>
      <c r="L135" s="516">
        <v>22646</v>
      </c>
      <c r="M135" s="516">
        <v>16971</v>
      </c>
      <c r="N135" s="516">
        <v>20521</v>
      </c>
      <c r="O135" s="516">
        <v>25577</v>
      </c>
      <c r="P135" s="516">
        <v>21935</v>
      </c>
      <c r="Q135" s="516">
        <v>21810</v>
      </c>
      <c r="R135" s="516">
        <v>27526</v>
      </c>
      <c r="S135" s="516">
        <v>20496</v>
      </c>
      <c r="T135" s="516">
        <v>25046</v>
      </c>
      <c r="U135" s="516">
        <v>24342</v>
      </c>
      <c r="V135" s="516">
        <v>23562</v>
      </c>
      <c r="W135" s="516">
        <v>25393</v>
      </c>
      <c r="X135" s="516">
        <v>27179</v>
      </c>
      <c r="Y135" s="516">
        <v>20837</v>
      </c>
      <c r="Z135" s="516">
        <v>29842</v>
      </c>
      <c r="AA135" s="516">
        <v>15596</v>
      </c>
      <c r="AB135" s="516">
        <v>25082</v>
      </c>
      <c r="AC135" s="516">
        <v>21056</v>
      </c>
      <c r="AD135" s="516">
        <v>31334</v>
      </c>
    </row>
    <row r="136" spans="2:31">
      <c r="B136" s="860"/>
      <c r="C136" s="429" t="s">
        <v>654</v>
      </c>
      <c r="D136" s="516">
        <v>33909</v>
      </c>
      <c r="E136" s="516">
        <v>36135</v>
      </c>
      <c r="F136" s="516">
        <v>37356</v>
      </c>
      <c r="G136" s="516">
        <v>32526</v>
      </c>
      <c r="H136" s="516">
        <v>30053</v>
      </c>
      <c r="I136" s="516">
        <v>30410</v>
      </c>
      <c r="J136" s="516">
        <v>28673</v>
      </c>
      <c r="K136" s="516">
        <v>35555</v>
      </c>
      <c r="L136" s="516">
        <v>33548</v>
      </c>
      <c r="M136" s="516">
        <v>32090</v>
      </c>
      <c r="N136" s="516">
        <v>33034</v>
      </c>
      <c r="O136" s="516">
        <v>39121</v>
      </c>
      <c r="P136" s="516">
        <v>30965</v>
      </c>
      <c r="Q136" s="516">
        <v>29562</v>
      </c>
      <c r="R136" s="516">
        <v>31318</v>
      </c>
      <c r="S136" s="516">
        <v>32713</v>
      </c>
      <c r="T136" s="516">
        <v>35585</v>
      </c>
      <c r="U136" s="516">
        <v>29017</v>
      </c>
      <c r="V136" s="516">
        <v>28410</v>
      </c>
      <c r="W136" s="516">
        <v>32278</v>
      </c>
      <c r="X136" s="516">
        <v>25860</v>
      </c>
      <c r="Y136" s="516">
        <v>33906</v>
      </c>
      <c r="Z136" s="516">
        <v>38159</v>
      </c>
      <c r="AA136" s="516">
        <v>29685</v>
      </c>
      <c r="AB136" s="516">
        <v>36598</v>
      </c>
      <c r="AC136" s="516">
        <v>25343</v>
      </c>
      <c r="AD136" s="516">
        <v>32265</v>
      </c>
    </row>
    <row r="137" spans="2:31">
      <c r="B137" s="860" t="s">
        <v>1051</v>
      </c>
      <c r="C137" s="2" t="s">
        <v>655</v>
      </c>
      <c r="D137" s="517">
        <v>43778</v>
      </c>
      <c r="E137" s="517">
        <v>33395</v>
      </c>
      <c r="F137" s="517">
        <v>43605</v>
      </c>
      <c r="G137" s="517">
        <v>50666</v>
      </c>
      <c r="H137" s="517">
        <v>53428</v>
      </c>
      <c r="I137" s="517">
        <v>41522</v>
      </c>
      <c r="J137" s="517">
        <v>38587</v>
      </c>
      <c r="K137" s="517">
        <v>45110</v>
      </c>
      <c r="L137" s="517">
        <v>50321</v>
      </c>
      <c r="M137" s="517">
        <v>37139</v>
      </c>
      <c r="N137" s="517">
        <v>39912</v>
      </c>
      <c r="O137" s="517">
        <v>47642</v>
      </c>
      <c r="P137" s="517">
        <v>36894</v>
      </c>
      <c r="Q137" s="517">
        <v>39750</v>
      </c>
      <c r="R137" s="517">
        <v>45961</v>
      </c>
      <c r="S137" s="517">
        <v>39555</v>
      </c>
      <c r="T137" s="517">
        <v>47304</v>
      </c>
      <c r="U137" s="517">
        <v>34552</v>
      </c>
      <c r="V137" s="517">
        <v>38682</v>
      </c>
      <c r="W137" s="517">
        <v>34222</v>
      </c>
      <c r="X137" s="517">
        <v>42807</v>
      </c>
      <c r="Y137" s="517">
        <v>29929</v>
      </c>
      <c r="Z137" s="517">
        <v>39795</v>
      </c>
      <c r="AA137" s="517">
        <v>37003</v>
      </c>
      <c r="AB137" s="517">
        <v>53670</v>
      </c>
      <c r="AC137" s="517">
        <v>35221</v>
      </c>
      <c r="AD137" s="517">
        <v>47146</v>
      </c>
    </row>
    <row r="138" spans="2:31">
      <c r="B138" s="880"/>
      <c r="C138" s="200" t="s">
        <v>656</v>
      </c>
      <c r="D138" s="518">
        <v>58054</v>
      </c>
      <c r="E138" s="518">
        <v>64370</v>
      </c>
      <c r="F138" s="518">
        <v>55611</v>
      </c>
      <c r="G138" s="518">
        <v>58768</v>
      </c>
      <c r="H138" s="518">
        <v>65766</v>
      </c>
      <c r="I138" s="518">
        <v>63432</v>
      </c>
      <c r="J138" s="518">
        <v>64009</v>
      </c>
      <c r="K138" s="518">
        <v>58399</v>
      </c>
      <c r="L138" s="518">
        <v>50380</v>
      </c>
      <c r="M138" s="518">
        <v>61272</v>
      </c>
      <c r="N138" s="518">
        <v>56742</v>
      </c>
      <c r="O138" s="518">
        <v>65903</v>
      </c>
      <c r="P138" s="518">
        <v>60412</v>
      </c>
      <c r="Q138" s="518">
        <v>57594</v>
      </c>
      <c r="R138" s="518">
        <v>56573</v>
      </c>
      <c r="S138" s="518">
        <v>56417</v>
      </c>
      <c r="T138" s="518">
        <v>61445</v>
      </c>
      <c r="U138" s="518">
        <v>56429</v>
      </c>
      <c r="V138" s="518">
        <v>61495</v>
      </c>
      <c r="W138" s="518">
        <v>50837</v>
      </c>
      <c r="X138" s="518">
        <v>62233</v>
      </c>
      <c r="Y138" s="518">
        <v>44392</v>
      </c>
      <c r="Z138" s="518">
        <v>57483</v>
      </c>
      <c r="AA138" s="518">
        <v>56557</v>
      </c>
      <c r="AB138" s="518">
        <v>69665</v>
      </c>
      <c r="AC138" s="518">
        <v>59429</v>
      </c>
      <c r="AD138" s="518">
        <v>66998</v>
      </c>
    </row>
    <row r="139" spans="2:31">
      <c r="B139" s="429" t="s">
        <v>658</v>
      </c>
      <c r="C139" s="508"/>
    </row>
    <row r="142" spans="2:31">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c r="AB142" s="429"/>
      <c r="AC142" s="429"/>
      <c r="AD142" s="429"/>
      <c r="AE142" s="429"/>
    </row>
    <row r="143" spans="2:31">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c r="AB143" s="429"/>
      <c r="AC143" s="429"/>
      <c r="AD143" s="429"/>
      <c r="AE143" s="429"/>
    </row>
    <row r="144" spans="2:31">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c r="AB144" s="429"/>
      <c r="AC144" s="429"/>
      <c r="AD144" s="429"/>
      <c r="AE144" s="429"/>
    </row>
    <row r="145" spans="2:31">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c r="AA145" s="429"/>
      <c r="AB145" s="429"/>
      <c r="AC145" s="429"/>
      <c r="AD145" s="429"/>
      <c r="AE145" s="429"/>
    </row>
    <row r="146" spans="2:31">
      <c r="B146" s="429"/>
      <c r="C146" s="429"/>
      <c r="D146" s="429"/>
      <c r="E146" s="429"/>
      <c r="F146" s="429"/>
      <c r="G146" s="429"/>
      <c r="H146" s="429"/>
      <c r="I146" s="429"/>
      <c r="J146" s="429"/>
      <c r="K146" s="429"/>
      <c r="M146" s="429"/>
      <c r="N146" s="429"/>
      <c r="O146" s="429"/>
      <c r="P146" s="429"/>
      <c r="Q146" s="429"/>
      <c r="R146" s="429"/>
      <c r="S146" s="429"/>
      <c r="T146" s="429"/>
      <c r="U146" s="429"/>
      <c r="V146" s="429"/>
      <c r="W146" s="429"/>
      <c r="X146" s="429"/>
      <c r="Y146" s="429"/>
      <c r="Z146" s="429"/>
      <c r="AA146" s="429"/>
      <c r="AB146" s="429"/>
      <c r="AC146" s="429"/>
      <c r="AD146" s="429"/>
      <c r="AE146" s="429"/>
    </row>
    <row r="147" spans="2:31">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c r="AA147" s="429"/>
      <c r="AB147" s="429"/>
      <c r="AC147" s="429"/>
      <c r="AD147" s="429"/>
      <c r="AE147" s="429"/>
    </row>
    <row r="148" spans="2:31">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c r="AA148" s="429"/>
      <c r="AB148" s="429"/>
      <c r="AC148" s="429"/>
      <c r="AD148" s="429"/>
      <c r="AE148" s="429"/>
    </row>
    <row r="149" spans="2:31">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c r="AA149" s="429"/>
      <c r="AB149" s="429"/>
      <c r="AC149" s="429"/>
      <c r="AD149" s="429"/>
      <c r="AE149" s="429"/>
    </row>
    <row r="150" spans="2:31">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c r="AA150" s="429"/>
      <c r="AB150" s="429"/>
      <c r="AC150" s="429"/>
      <c r="AD150" s="429"/>
      <c r="AE150" s="429"/>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759</v>
      </c>
    </row>
    <row r="3" spans="1:4">
      <c r="A3" s="127" t="s">
        <v>757</v>
      </c>
      <c r="B3" s="330">
        <v>0.36</v>
      </c>
      <c r="C3" s="330">
        <v>0.34</v>
      </c>
      <c r="D3" s="330">
        <v>0.35</v>
      </c>
    </row>
    <row r="4" spans="1:4">
      <c r="A4" s="127" t="s">
        <v>758</v>
      </c>
      <c r="B4" s="330">
        <v>0.41</v>
      </c>
      <c r="C4" s="330">
        <v>0.41</v>
      </c>
      <c r="D4" s="330">
        <v>0.41</v>
      </c>
    </row>
    <row r="5" spans="1:4" s="201" customFormat="1">
      <c r="A5" s="127" t="s">
        <v>772</v>
      </c>
      <c r="B5" s="330">
        <v>0.45</v>
      </c>
      <c r="C5" s="330">
        <v>0.45</v>
      </c>
      <c r="D5" s="330">
        <v>0.45</v>
      </c>
    </row>
    <row r="6" spans="1:4">
      <c r="A6" s="127" t="s">
        <v>760</v>
      </c>
      <c r="B6" s="330">
        <v>0.4</v>
      </c>
      <c r="C6" s="330">
        <v>0.4</v>
      </c>
      <c r="D6" s="330">
        <v>0.4</v>
      </c>
    </row>
    <row r="30" spans="1:2">
      <c r="A30" s="116" t="s">
        <v>752</v>
      </c>
      <c r="B30" s="329" t="s">
        <v>751</v>
      </c>
    </row>
    <row r="31" spans="1:2">
      <c r="B31" s="329" t="s">
        <v>753</v>
      </c>
    </row>
    <row r="32" spans="1:2" s="201" customFormat="1">
      <c r="B32" s="329"/>
    </row>
    <row r="33" spans="2:2" s="201" customFormat="1">
      <c r="B33" s="329"/>
    </row>
    <row r="35" spans="2:2">
      <c r="B35" t="s">
        <v>755</v>
      </c>
    </row>
    <row r="57" spans="2:2">
      <c r="B57" s="131" t="s">
        <v>754</v>
      </c>
    </row>
    <row r="60" spans="2:2">
      <c r="B60" t="s">
        <v>756</v>
      </c>
    </row>
    <row r="80" spans="2:2">
      <c r="B80" s="131" t="s">
        <v>754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Blending</vt:lpstr>
      <vt:lpstr>Stock</vt:lpstr>
      <vt:lpstr>Demands</vt:lpstr>
      <vt:lpstr>ACT2FLO</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2021-02-21T19:06:06Z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61928868293762</vt:r8>
  </property>
</Properties>
</file>