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ThisWorkbook" defaultThemeVersion="124226"/>
  <xr:revisionPtr revIDLastSave="0" documentId="13_ncr:1_{1CA8D650-863A-44EC-94DA-801D7137B006}" xr6:coauthVersionLast="46" xr6:coauthVersionMax="46" xr10:uidLastSave="{00000000-0000-0000-0000-000000000000}"/>
  <bookViews>
    <workbookView xWindow="-120" yWindow="-120" windowWidth="29040" windowHeight="15840" firstSheet="10" activeTab="17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48" l="1"/>
  <c r="L7" i="48"/>
  <c r="L6" i="48"/>
  <c r="G6" i="48" l="1"/>
  <c r="I7" i="48" l="1"/>
  <c r="I8" i="48"/>
  <c r="I6" i="48"/>
  <c r="I5" i="48"/>
  <c r="M6" i="48"/>
  <c r="G8" i="48"/>
  <c r="G7" i="48"/>
  <c r="B7" i="48"/>
  <c r="B8" i="48"/>
  <c r="F8" i="48"/>
  <c r="F7" i="48"/>
  <c r="Q8" i="48"/>
  <c r="C8" i="48" s="1"/>
  <c r="Q7" i="48"/>
  <c r="C7" i="48" s="1"/>
  <c r="Q6" i="48"/>
  <c r="C6" i="48" s="1"/>
  <c r="R8" i="48"/>
  <c r="D8" i="48" s="1"/>
  <c r="R7" i="48"/>
  <c r="D7" i="48" s="1"/>
  <c r="R6" i="48"/>
  <c r="D6" i="48" s="1"/>
  <c r="P6" i="48"/>
  <c r="P7" i="48"/>
  <c r="D5" i="3" l="1"/>
  <c r="E5" i="3"/>
  <c r="K5" i="3"/>
  <c r="J5" i="3"/>
  <c r="I5" i="3"/>
  <c r="H5" i="3"/>
  <c r="G5" i="3"/>
  <c r="F5" i="3"/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E21" i="46"/>
  <c r="AG21" i="46"/>
  <c r="AE22" i="46"/>
  <c r="AG22" i="46"/>
  <c r="AE23" i="46"/>
  <c r="AG23" i="46"/>
  <c r="AE24" i="46"/>
  <c r="AG24" i="46"/>
  <c r="AE25" i="46"/>
  <c r="AG25" i="46"/>
  <c r="AE26" i="46"/>
  <c r="AG26" i="46"/>
  <c r="AE27" i="46"/>
  <c r="AG27" i="46"/>
  <c r="AE28" i="46"/>
  <c r="AG28" i="46"/>
  <c r="AE29" i="46"/>
  <c r="AG29" i="46"/>
  <c r="AE30" i="46"/>
  <c r="AG30" i="46"/>
  <c r="AE31" i="46"/>
  <c r="AG31" i="46"/>
  <c r="AE32" i="46"/>
  <c r="AE33" i="46"/>
  <c r="AE34" i="46"/>
  <c r="AE35" i="46"/>
  <c r="AE36" i="46"/>
  <c r="AE37" i="46"/>
  <c r="AG37" i="46"/>
  <c r="AE38" i="46"/>
  <c r="AG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R13" i="48" s="1"/>
  <c r="F37" i="9"/>
  <c r="R12" i="48" s="1"/>
  <c r="F36" i="9"/>
  <c r="R11" i="48" s="1"/>
  <c r="F35" i="9"/>
  <c r="R10" i="48" s="1"/>
  <c r="F34" i="9"/>
  <c r="R9" i="48" s="1"/>
  <c r="F33" i="9"/>
  <c r="F32" i="9"/>
  <c r="R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Q13" i="48" s="1"/>
  <c r="E34" i="9"/>
  <c r="Q9" i="48" s="1"/>
  <c r="E35" i="9"/>
  <c r="Q10" i="48" s="1"/>
  <c r="E36" i="9"/>
  <c r="Q11" i="48" s="1"/>
  <c r="E37" i="9"/>
  <c r="Q12" i="48" s="1"/>
  <c r="E33" i="9"/>
  <c r="E32" i="9"/>
  <c r="Q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O7" i="46"/>
  <c r="B24" i="48"/>
  <c r="B13" i="48"/>
  <c r="P12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P10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O8" i="46"/>
  <c r="B25" i="48"/>
  <c r="B5" i="48"/>
  <c r="P13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P8" i="48"/>
  <c r="D13" i="9"/>
  <c r="N12" i="9"/>
  <c r="L8" i="28"/>
  <c r="D7" i="9"/>
  <c r="N14" i="9"/>
  <c r="AD46" i="52"/>
  <c r="L13" i="52"/>
  <c r="AD41" i="51"/>
  <c r="AD21" i="28"/>
  <c r="L41" i="28"/>
  <c r="O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P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P11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P9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O15" i="28" s="1"/>
  <c r="M15" i="28" s="1"/>
  <c r="B10" i="43"/>
  <c r="E8" i="9" s="1"/>
  <c r="O10" i="52" s="1"/>
  <c r="M10" i="52" s="1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M8" i="48"/>
  <c r="M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F30" i="46" s="1"/>
  <c r="C8" i="43"/>
  <c r="F6" i="9" s="1"/>
  <c r="AF3" i="46" s="1"/>
  <c r="B27" i="22"/>
  <c r="C27" i="43" s="1"/>
  <c r="F25" i="9" s="1"/>
  <c r="AF38" i="46" s="1"/>
  <c r="B19" i="22"/>
  <c r="C18" i="43" s="1"/>
  <c r="F16" i="9" s="1"/>
  <c r="F23" i="9"/>
  <c r="B10" i="22"/>
  <c r="C9" i="43" s="1"/>
  <c r="F7" i="9" s="1"/>
  <c r="B17" i="22"/>
  <c r="C16" i="43" s="1"/>
  <c r="F14" i="9" s="1"/>
  <c r="AF21" i="46" s="1"/>
  <c r="B13" i="22"/>
  <c r="C12" i="43" s="1"/>
  <c r="F10" i="9" s="1"/>
  <c r="B26" i="22"/>
  <c r="C26" i="43" s="1"/>
  <c r="F24" i="9" s="1"/>
  <c r="AF37" i="46" s="1"/>
  <c r="B11" i="22"/>
  <c r="C10" i="43" s="1"/>
  <c r="F8" i="9" s="1"/>
  <c r="C22" i="43"/>
  <c r="F20" i="9" s="1"/>
  <c r="AF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F31" i="46" s="1"/>
  <c r="B22" i="22"/>
  <c r="C21" i="43" s="1"/>
  <c r="F19" i="9" s="1"/>
  <c r="B21" i="22"/>
  <c r="C20" i="43" s="1"/>
  <c r="F18" i="9" s="1"/>
  <c r="AF27" i="46" s="1"/>
  <c r="B20" i="22"/>
  <c r="C19" i="43" s="1"/>
  <c r="F17" i="9" s="1"/>
  <c r="AF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F12" i="46"/>
  <c r="AF13" i="46"/>
  <c r="AR36" i="45"/>
  <c r="N131" i="27"/>
  <c r="N19" i="28"/>
  <c r="AF35" i="46"/>
  <c r="AF32" i="46"/>
  <c r="AF36" i="46"/>
  <c r="AF33" i="46"/>
  <c r="AF34" i="46"/>
  <c r="AU48" i="45"/>
  <c r="N11" i="54"/>
  <c r="AF22" i="46"/>
  <c r="AF23" i="46"/>
  <c r="AF24" i="46"/>
  <c r="AF25" i="46"/>
  <c r="AF15" i="46"/>
  <c r="AF14" i="46"/>
  <c r="AS36" i="45"/>
  <c r="N13" i="54"/>
  <c r="AF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L9" i="46" s="1"/>
  <c r="R59" i="51"/>
  <c r="S59" i="51" s="1"/>
  <c r="R58" i="51"/>
  <c r="S58" i="51" s="1"/>
  <c r="AA58" i="51" s="1"/>
  <c r="Z58" i="51" s="1"/>
  <c r="L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L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L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9" i="48"/>
  <c r="G11" i="48"/>
  <c r="G12" i="48"/>
  <c r="G13" i="48"/>
  <c r="I13" i="48" s="1"/>
  <c r="S26" i="22"/>
  <c r="T26" i="22"/>
  <c r="U26" i="22"/>
  <c r="M10" i="48" s="1"/>
  <c r="L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L19" i="46"/>
  <c r="U59" i="28"/>
  <c r="L10" i="46"/>
  <c r="U58" i="28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I10" i="48"/>
  <c r="I17" i="22"/>
  <c r="U41" i="28"/>
  <c r="U43" i="28"/>
  <c r="U37" i="52"/>
  <c r="K26" i="22"/>
  <c r="U37" i="51"/>
  <c r="J26" i="22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M9" i="48"/>
  <c r="L9" i="48" s="1"/>
  <c r="F23" i="48" s="1"/>
  <c r="AO11" i="22"/>
  <c r="M11" i="48"/>
  <c r="AO13" i="22"/>
  <c r="M5" i="48"/>
  <c r="L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L18" i="46" s="1"/>
  <c r="U33" i="52"/>
  <c r="Z27" i="51"/>
  <c r="L11" i="46" s="1"/>
  <c r="U7" i="51"/>
  <c r="U7" i="52"/>
  <c r="Y11" i="22"/>
  <c r="AA9" i="22" l="1"/>
  <c r="AC9" i="22"/>
  <c r="F21" i="48"/>
  <c r="I9" i="48"/>
  <c r="Y28" i="22"/>
  <c r="Z35" i="22"/>
  <c r="AK25" i="22"/>
  <c r="Z36" i="22"/>
  <c r="AL25" i="22"/>
  <c r="Z27" i="28"/>
  <c r="L6" i="46" s="1"/>
  <c r="Z27" i="52"/>
  <c r="L16" i="46" s="1"/>
  <c r="F29" i="22"/>
  <c r="Z53" i="51"/>
  <c r="L13" i="46" s="1"/>
  <c r="H29" i="22"/>
  <c r="H31" i="22"/>
  <c r="Y19" i="22"/>
  <c r="U19" i="52"/>
  <c r="U19" i="28"/>
  <c r="I29" i="22"/>
  <c r="J29" i="22"/>
  <c r="Y10" i="22"/>
  <c r="Z53" i="28"/>
  <c r="L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M12" i="48" l="1"/>
  <c r="L12" i="48" s="1"/>
  <c r="W29" i="22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L11" i="48" l="1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I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Q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<sst xmlns="http://schemas.openxmlformats.org/spreadsheetml/2006/main" count="68819" uniqueCount="1013">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</sst>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81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31" fillId="35" borderId="0" xfId="0" applyFont="1" applyFill="1"/>
    <xf numFmtId="0" fontId="14" fillId="36" borderId="0" xfId="0" applyFont="1" applyFill="1" applyAlignment="1">
      <alignment horizontal="left"/>
    </xf>
    <xf numFmtId="2" fontId="0" fillId="6" borderId="0" xfId="0" applyNumberFormat="1" applyFill="1" applyAlignment="1">
      <alignment horizontal="left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I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5" t="s">
        <v>896</v>
      </c>
      <c r="B17" s="1025"/>
      <c r="C17" s="1025"/>
      <c r="D17" s="1025"/>
      <c r="E17" s="1025"/>
      <c r="F17" s="1025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6" t="s">
        <v>658</v>
      </c>
      <c r="C20" s="1026"/>
      <c r="D20" s="1026"/>
      <c r="E20" s="1026"/>
      <c r="F20" s="1026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7" t="s">
        <v>1</v>
      </c>
      <c r="C21" s="1027"/>
      <c r="D21" s="1027"/>
      <c r="E21" s="1027"/>
      <c r="F21" s="1027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7" t="s">
        <v>660</v>
      </c>
      <c r="C22" s="1027"/>
      <c r="D22" s="1027"/>
      <c r="E22" s="1027"/>
      <c r="F22" s="1027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897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8"/>
      <c r="B25" s="1028"/>
      <c r="C25" s="1028"/>
      <c r="D25" s="1028"/>
      <c r="E25" s="1028"/>
      <c r="F25" s="1028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4"/>
      <c r="B26" s="1024"/>
      <c r="C26" s="1024"/>
      <c r="D26" s="1024"/>
      <c r="E26" s="1024"/>
      <c r="F26" s="1024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9" t="s">
        <v>4</v>
      </c>
      <c r="C2" s="1030"/>
      <c r="D2" s="1030"/>
      <c r="E2" s="1031"/>
      <c r="G2" s="1029" t="s">
        <v>5</v>
      </c>
      <c r="H2" s="1031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900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898</v>
      </c>
      <c r="C4" s="660" t="s">
        <v>899</v>
      </c>
      <c r="D4" s="661">
        <v>44136</v>
      </c>
      <c r="E4" s="662" t="s">
        <v>901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902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903</v>
      </c>
      <c r="C6" s="635" t="s">
        <v>904</v>
      </c>
      <c r="D6" s="639">
        <v>44166</v>
      </c>
      <c r="E6" s="664" t="s">
        <v>902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906</v>
      </c>
      <c r="C7" s="635" t="s">
        <v>667</v>
      </c>
      <c r="D7" s="636">
        <v>43862</v>
      </c>
      <c r="E7" s="664" t="s">
        <v>902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905</v>
      </c>
      <c r="D8" s="636">
        <v>44166</v>
      </c>
      <c r="E8" s="664" t="s">
        <v>902</v>
      </c>
      <c r="G8" s="643"/>
      <c r="H8" s="691" t="s">
        <v>930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907</v>
      </c>
      <c r="C9" s="635" t="s">
        <v>908</v>
      </c>
      <c r="D9" s="636">
        <v>44044</v>
      </c>
      <c r="E9" s="664" t="s">
        <v>902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909</v>
      </c>
      <c r="C10" s="635" t="s">
        <v>671</v>
      </c>
      <c r="D10" s="636">
        <v>44136</v>
      </c>
      <c r="E10" s="664" t="s">
        <v>902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910</v>
      </c>
      <c r="C11" s="635" t="s">
        <v>673</v>
      </c>
      <c r="D11" s="636">
        <v>44013</v>
      </c>
      <c r="E11" s="664" t="s">
        <v>902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911</v>
      </c>
      <c r="C12" s="635" t="s">
        <v>674</v>
      </c>
      <c r="D12" s="636">
        <v>44136</v>
      </c>
      <c r="E12" s="664" t="s">
        <v>901</v>
      </c>
    </row>
    <row r="13" spans="2:20">
      <c r="B13" s="663" t="s">
        <v>912</v>
      </c>
      <c r="C13" s="635" t="s">
        <v>914</v>
      </c>
      <c r="D13" s="636">
        <v>44136</v>
      </c>
      <c r="E13" s="664" t="s">
        <v>902</v>
      </c>
    </row>
    <row r="14" spans="2:20">
      <c r="B14" s="663" t="s">
        <v>913</v>
      </c>
      <c r="C14" s="635" t="s">
        <v>915</v>
      </c>
      <c r="D14" s="636">
        <v>44105</v>
      </c>
      <c r="E14" s="664" t="s">
        <v>902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902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902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902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902</v>
      </c>
    </row>
    <row r="19" spans="2:8" ht="15" thickBot="1"/>
    <row r="20" spans="2:8" ht="19.5" thickBot="1">
      <c r="B20" s="1032" t="s">
        <v>683</v>
      </c>
      <c r="C20" s="1033"/>
      <c r="D20" s="1033"/>
      <c r="E20" s="1034"/>
      <c r="G20" s="1029" t="s">
        <v>14</v>
      </c>
      <c r="H20" s="1031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900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916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902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902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902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902</v>
      </c>
    </row>
    <row r="28" spans="2:8" ht="15" customHeight="1">
      <c r="B28" s="681" t="s">
        <v>918</v>
      </c>
      <c r="C28" s="679" t="s">
        <v>921</v>
      </c>
      <c r="D28" s="678">
        <v>43983</v>
      </c>
      <c r="E28" s="664" t="s">
        <v>902</v>
      </c>
    </row>
    <row r="29" spans="2:8" ht="15" customHeight="1">
      <c r="B29" s="681" t="s">
        <v>919</v>
      </c>
      <c r="C29" s="679" t="s">
        <v>920</v>
      </c>
      <c r="D29" s="678">
        <v>43983</v>
      </c>
      <c r="E29" s="664" t="s">
        <v>902</v>
      </c>
    </row>
    <row r="30" spans="2:8" ht="15">
      <c r="B30" s="681" t="s">
        <v>922</v>
      </c>
      <c r="C30" s="680" t="s">
        <v>654</v>
      </c>
      <c r="D30" s="678">
        <v>43983</v>
      </c>
      <c r="E30" s="664" t="s">
        <v>902</v>
      </c>
    </row>
    <row r="31" spans="2:8" ht="15">
      <c r="B31" s="681" t="s">
        <v>923</v>
      </c>
      <c r="C31" s="679" t="s">
        <v>654</v>
      </c>
      <c r="D31" s="678">
        <v>43983</v>
      </c>
      <c r="E31" s="664" t="s">
        <v>902</v>
      </c>
    </row>
    <row r="32" spans="2:8" ht="15">
      <c r="B32" s="681" t="s">
        <v>925</v>
      </c>
      <c r="C32" s="679" t="s">
        <v>655</v>
      </c>
      <c r="D32" s="678">
        <v>43983</v>
      </c>
      <c r="E32" s="664" t="s">
        <v>902</v>
      </c>
    </row>
    <row r="33" spans="1:8" ht="17.25" customHeight="1">
      <c r="B33" s="681" t="s">
        <v>924</v>
      </c>
      <c r="C33" s="680" t="s">
        <v>653</v>
      </c>
      <c r="D33" s="678">
        <v>43983</v>
      </c>
      <c r="E33" s="664" t="s">
        <v>902</v>
      </c>
    </row>
    <row r="34" spans="1:8" ht="15">
      <c r="B34" s="681" t="s">
        <v>926</v>
      </c>
      <c r="C34" s="680" t="s">
        <v>927</v>
      </c>
      <c r="D34" s="678">
        <v>44044</v>
      </c>
      <c r="E34" s="664" t="s">
        <v>902</v>
      </c>
    </row>
    <row r="35" spans="1:8" ht="15">
      <c r="B35" s="681" t="s">
        <v>929</v>
      </c>
      <c r="C35" s="679" t="s">
        <v>928</v>
      </c>
      <c r="D35" s="678">
        <v>44044</v>
      </c>
      <c r="E35" s="664" t="s">
        <v>902</v>
      </c>
    </row>
    <row r="36" spans="1:8" ht="15.75" thickBot="1">
      <c r="B36" s="683" t="s">
        <v>929</v>
      </c>
      <c r="C36" s="685" t="s">
        <v>928</v>
      </c>
      <c r="D36" s="684">
        <v>44044</v>
      </c>
      <c r="E36" s="668" t="s">
        <v>902</v>
      </c>
    </row>
    <row r="37" spans="1:8" ht="15" thickBot="1"/>
    <row r="38" spans="1:8" ht="19.5" thickBot="1">
      <c r="B38" s="1029" t="s">
        <v>691</v>
      </c>
      <c r="C38" s="1030"/>
      <c r="D38" s="1030"/>
      <c r="E38" s="1031"/>
      <c r="G38" s="1035" t="s">
        <v>685</v>
      </c>
      <c r="H38" s="1036"/>
    </row>
    <row r="39" spans="1:8" ht="15">
      <c r="B39" s="653" t="s">
        <v>692</v>
      </c>
      <c r="C39" s="654" t="s">
        <v>6</v>
      </c>
      <c r="D39" s="633" t="s">
        <v>7</v>
      </c>
      <c r="E39" s="633" t="s">
        <v>900</v>
      </c>
      <c r="G39" s="674" t="s">
        <v>20</v>
      </c>
      <c r="H39" s="674" t="s">
        <v>931</v>
      </c>
    </row>
    <row r="40" spans="1:8" ht="15">
      <c r="B40" s="674" t="s">
        <v>26</v>
      </c>
      <c r="C40" s="675" t="s">
        <v>917</v>
      </c>
      <c r="D40" s="688">
        <v>44166</v>
      </c>
      <c r="E40" s="689" t="s">
        <v>902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C43" sqref="C43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40" t="s">
        <v>27</v>
      </c>
      <c r="B1" s="1041"/>
      <c r="C1" s="1041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7" t="s">
        <v>29</v>
      </c>
      <c r="B7" s="1038"/>
      <c r="C7" s="1039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7" t="s">
        <v>30</v>
      </c>
      <c r="B28" s="1038"/>
      <c r="C28" s="1039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7" t="s">
        <v>43</v>
      </c>
      <c r="B35" s="1038"/>
      <c r="C35" s="1039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7" t="s">
        <v>51</v>
      </c>
      <c r="B39" s="1038"/>
      <c r="C39" s="1039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7" t="s">
        <v>70</v>
      </c>
      <c r="B49" s="1038"/>
      <c r="C49" s="1039"/>
    </row>
    <row r="50" spans="1:3">
      <c r="A50" s="315"/>
      <c r="B50" s="294" t="s">
        <v>881</v>
      </c>
      <c r="C50" s="293" t="s">
        <v>224</v>
      </c>
    </row>
    <row r="51" spans="1:3">
      <c r="A51" s="577" t="s">
        <v>261</v>
      </c>
      <c r="B51" s="294" t="s">
        <v>882</v>
      </c>
      <c r="C51" s="293" t="s">
        <v>892</v>
      </c>
    </row>
    <row r="52" spans="1:3">
      <c r="A52" s="315"/>
      <c r="B52" s="294" t="s">
        <v>883</v>
      </c>
      <c r="C52" s="293" t="s">
        <v>225</v>
      </c>
    </row>
    <row r="53" spans="1:3">
      <c r="A53" s="315"/>
      <c r="B53" s="294" t="s">
        <v>885</v>
      </c>
      <c r="C53" s="293" t="s">
        <v>226</v>
      </c>
    </row>
    <row r="54" spans="1:3">
      <c r="A54" s="315"/>
      <c r="B54" s="294" t="s">
        <v>884</v>
      </c>
      <c r="C54" s="293" t="s">
        <v>227</v>
      </c>
    </row>
    <row r="55" spans="1:3">
      <c r="A55" s="315"/>
      <c r="B55" s="294" t="s">
        <v>886</v>
      </c>
      <c r="C55" s="293" t="s">
        <v>229</v>
      </c>
    </row>
    <row r="56" spans="1:3">
      <c r="A56" s="315"/>
      <c r="B56" s="294" t="s">
        <v>887</v>
      </c>
      <c r="C56" s="293" t="s">
        <v>228</v>
      </c>
    </row>
    <row r="57" spans="1:3">
      <c r="A57" s="315"/>
      <c r="B57" s="294" t="s">
        <v>888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889</v>
      </c>
      <c r="C59" s="293" t="s">
        <v>232</v>
      </c>
    </row>
    <row r="60" spans="1:3">
      <c r="A60" s="315"/>
      <c r="B60" s="294" t="s">
        <v>890</v>
      </c>
      <c r="C60" s="293" t="s">
        <v>893</v>
      </c>
    </row>
    <row r="61" spans="1:3">
      <c r="A61" s="577" t="s">
        <v>261</v>
      </c>
      <c r="B61" s="294" t="s">
        <v>891</v>
      </c>
      <c r="C61" s="293" t="s">
        <v>894</v>
      </c>
    </row>
    <row r="62" spans="1:3">
      <c r="A62" s="1037" t="s">
        <v>72</v>
      </c>
      <c r="B62" s="1038"/>
      <c r="C62" s="1039"/>
    </row>
    <row r="63" spans="1:3">
      <c r="A63" s="1037" t="s">
        <v>73</v>
      </c>
      <c r="B63" s="1038"/>
      <c r="C63" s="1039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7" t="s">
        <v>80</v>
      </c>
      <c r="B70" s="1038"/>
      <c r="C70" s="1039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7" t="s">
        <v>535</v>
      </c>
      <c r="B76" s="1038"/>
      <c r="C76" s="1039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7" t="s">
        <v>878</v>
      </c>
      <c r="B84" s="1038"/>
      <c r="C84" s="1039"/>
    </row>
    <row r="85" spans="1:3">
      <c r="B85" s="81" t="s">
        <v>879</v>
      </c>
      <c r="C85" s="81" t="s">
        <v>880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971</v>
      </c>
      <c r="B1" s="745" t="s">
        <v>972</v>
      </c>
      <c r="C1" s="1013" t="s">
        <v>92</v>
      </c>
      <c r="D1" s="1016" t="s">
        <v>93</v>
      </c>
      <c r="E1" s="1017" t="s">
        <v>973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974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975</v>
      </c>
      <c r="AF1" s="1017" t="s">
        <v>976</v>
      </c>
      <c r="AG1" s="1017" t="s">
        <v>118</v>
      </c>
      <c r="AH1" s="1017" t="s">
        <v>119</v>
      </c>
      <c r="AI1" s="1017" t="s">
        <v>977</v>
      </c>
      <c r="AJ1" s="1017" t="s">
        <v>978</v>
      </c>
      <c r="AK1" s="1017" t="s">
        <v>979</v>
      </c>
      <c r="AL1" s="1017" t="s">
        <v>980</v>
      </c>
      <c r="AM1" s="1018" t="s">
        <v>981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982</v>
      </c>
      <c r="B44" s="913" t="s">
        <v>983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984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985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986</v>
      </c>
      <c r="B59" s="950" t="s">
        <v>987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988</v>
      </c>
      <c r="B60" s="950" t="s">
        <v>989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990</v>
      </c>
      <c r="B61" s="950" t="s">
        <v>991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992</v>
      </c>
      <c r="B62" s="950" t="s">
        <v>993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994</v>
      </c>
      <c r="B63" s="950" t="s">
        <v>995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996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997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998</v>
      </c>
      <c r="B66" s="977" t="s">
        <v>999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1000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1001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1002</v>
      </c>
      <c r="B69" s="968" t="s">
        <v>1003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1004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1005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B1"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8" t="s">
        <v>808</v>
      </c>
      <c r="G1" s="1049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55" t="s">
        <v>792</v>
      </c>
      <c r="G2" s="1056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7" t="s">
        <v>542</v>
      </c>
      <c r="G3" s="1058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957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9" t="s">
        <v>213</v>
      </c>
      <c r="G4" s="1060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953</v>
      </c>
    </row>
    <row r="5" spans="1:45" ht="13.5" thickBot="1">
      <c r="A5" s="55"/>
      <c r="B5" s="55"/>
      <c r="C5" s="64"/>
      <c r="D5" s="64"/>
      <c r="E5" s="64"/>
      <c r="F5" s="1061" t="s">
        <v>550</v>
      </c>
      <c r="G5" s="1062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951</v>
      </c>
      <c r="AF6" s="718" t="s">
        <v>949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54" t="s">
        <v>225</v>
      </c>
      <c r="J7" s="1052"/>
      <c r="K7" s="1053"/>
      <c r="L7" s="1054" t="s">
        <v>226</v>
      </c>
      <c r="M7" s="1052"/>
      <c r="N7" s="1053"/>
      <c r="O7" s="1054" t="s">
        <v>227</v>
      </c>
      <c r="P7" s="1052"/>
      <c r="Q7" s="1052"/>
      <c r="R7" s="1050" t="s">
        <v>228</v>
      </c>
      <c r="S7" s="1052" t="s">
        <v>807</v>
      </c>
      <c r="T7" s="1052"/>
      <c r="U7" s="1052"/>
      <c r="V7" s="1052"/>
      <c r="W7" s="1052"/>
      <c r="X7" s="1053"/>
      <c r="Y7" s="1042" t="s">
        <v>875</v>
      </c>
      <c r="Z7" s="1042" t="s">
        <v>552</v>
      </c>
      <c r="AA7" s="1044" t="s">
        <v>942</v>
      </c>
      <c r="AB7" s="1044" t="s">
        <v>941</v>
      </c>
      <c r="AC7" s="1044" t="s">
        <v>943</v>
      </c>
      <c r="AE7" s="1044" t="s">
        <v>947</v>
      </c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51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43"/>
      <c r="Z8" s="1043"/>
      <c r="AA8" s="1046" t="s">
        <v>816</v>
      </c>
      <c r="AB8" s="1046"/>
      <c r="AC8" s="1046" t="s">
        <v>816</v>
      </c>
      <c r="AE8" s="1046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950</v>
      </c>
      <c r="AG9" s="704" t="s">
        <v>946</v>
      </c>
      <c r="AH9" s="704" t="s">
        <v>955</v>
      </c>
      <c r="AI9" s="704" t="s">
        <v>228</v>
      </c>
      <c r="AK9" s="704" t="s">
        <v>944</v>
      </c>
      <c r="AL9" s="704" t="s">
        <v>945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957</v>
      </c>
      <c r="AS10" s="81" t="s">
        <v>956</v>
      </c>
    </row>
    <row r="11" spans="1:45" s="81" customFormat="1" ht="12" customHeight="1">
      <c r="A11" s="305" t="s">
        <v>959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958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960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895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961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962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963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20">
        <v>0.245097802600691</v>
      </c>
      <c r="AG16" s="1020">
        <v>1.357E-2</v>
      </c>
      <c r="AH16" s="102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964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965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966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967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968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969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970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63" t="s">
        <v>608</v>
      </c>
      <c r="C4" s="1063"/>
      <c r="D4" s="1063"/>
      <c r="E4" s="1063"/>
      <c r="F4" s="1063"/>
      <c r="G4" s="1063"/>
      <c r="H4" s="1063"/>
      <c r="I4" s="1063"/>
      <c r="J4" s="1063"/>
      <c r="K4" s="1063"/>
      <c r="L4" s="1063"/>
      <c r="M4" s="373"/>
      <c r="O4" s="1063" t="s">
        <v>610</v>
      </c>
      <c r="P4" s="1063"/>
      <c r="Q4" s="1063"/>
      <c r="R4" s="1063"/>
      <c r="S4" s="1063"/>
      <c r="T4" s="1063"/>
      <c r="U4" s="1063"/>
      <c r="V4" s="1063"/>
      <c r="W4" s="1063"/>
      <c r="X4" s="1063"/>
      <c r="Y4" s="1063"/>
      <c r="Z4" s="1063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4" t="s">
        <v>617</v>
      </c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L18" s="1064" t="s">
        <v>618</v>
      </c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  <c r="BX18" s="1064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63" t="s">
        <v>609</v>
      </c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373"/>
      <c r="O19" s="1063" t="s">
        <v>610</v>
      </c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B19" s="1063" t="s">
        <v>611</v>
      </c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N19" s="1063" t="s">
        <v>612</v>
      </c>
      <c r="AO19" s="1063"/>
      <c r="AP19" s="1063"/>
      <c r="AQ19" s="1063"/>
      <c r="AR19" s="1063"/>
      <c r="AS19" s="1063"/>
      <c r="AT19" s="1063"/>
      <c r="AU19" s="1063"/>
      <c r="AV19" s="1063"/>
      <c r="AW19" s="1063"/>
      <c r="AY19" s="1063" t="s">
        <v>613</v>
      </c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L19" s="1063" t="s">
        <v>619</v>
      </c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  <c r="BX19" s="1063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R9" sqref="R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934</v>
      </c>
      <c r="D3" s="34"/>
      <c r="E3" s="701"/>
      <c r="F3" s="701"/>
      <c r="G3" s="701"/>
      <c r="H3" s="701"/>
      <c r="I3" s="701"/>
      <c r="J3" s="701"/>
      <c r="K3" s="700"/>
      <c r="M3" s="34" t="s">
        <v>934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935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935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936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936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 t="s">
        <v>1012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 t="s">
        <v>1012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 t="s">
        <v>1012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937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935</v>
      </c>
      <c r="C5" s="349" t="s">
        <v>238</v>
      </c>
      <c r="D5" s="62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1021" t="s">
        <v>1010</v>
      </c>
      <c r="H25" s="102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22" sqref="D22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939</v>
      </c>
      <c r="F2" s="557"/>
      <c r="H2" s="557"/>
      <c r="K2" s="558" t="s">
        <v>938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935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933</v>
      </c>
      <c r="H3" s="562" t="s">
        <v>932</v>
      </c>
      <c r="I3" s="562" t="s">
        <v>853</v>
      </c>
      <c r="K3" s="563" t="s">
        <v>268</v>
      </c>
      <c r="L3" s="563" t="s">
        <v>935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936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936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1007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870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871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1006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1008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opLeftCell="E1" zoomScaleNormal="100" workbookViewId="0">
      <selection activeCell="M35" sqref="M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940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2" ht="21">
      <c r="B3" s="70" t="s">
        <v>819</v>
      </c>
      <c r="C3" s="70"/>
      <c r="D3" s="70"/>
      <c r="E3" s="70"/>
      <c r="F3" s="43" t="s">
        <v>939</v>
      </c>
      <c r="G3" s="43"/>
      <c r="H3" s="43"/>
      <c r="I3" s="43"/>
      <c r="J3" s="43"/>
      <c r="K3" s="43"/>
      <c r="L3" s="43"/>
      <c r="M3" s="32"/>
      <c r="N3" s="34" t="s">
        <v>938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634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458</v>
      </c>
    </row>
    <row r="4" spans="2:72" ht="12" customHeight="1">
      <c r="B4" s="36" t="s">
        <v>935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952</v>
      </c>
      <c r="I4" s="44" t="s">
        <v>1009</v>
      </c>
      <c r="J4" s="44" t="s">
        <v>276</v>
      </c>
      <c r="K4" s="44" t="s">
        <v>277</v>
      </c>
      <c r="L4" s="44" t="s">
        <v>876</v>
      </c>
      <c r="M4" s="32"/>
      <c r="N4" s="36" t="s">
        <v>268</v>
      </c>
      <c r="O4" s="36" t="s">
        <v>935</v>
      </c>
      <c r="P4" s="36" t="s">
        <v>262</v>
      </c>
      <c r="Q4" s="36" t="s">
        <v>263</v>
      </c>
      <c r="R4" s="36" t="s">
        <v>269</v>
      </c>
      <c r="S4" s="36" t="s">
        <v>270</v>
      </c>
      <c r="T4" s="36" t="s">
        <v>271</v>
      </c>
      <c r="U4" s="36" t="s">
        <v>272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635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458</v>
      </c>
    </row>
    <row r="5" spans="2:72" ht="26.25" thickBot="1">
      <c r="B5" s="37" t="s">
        <v>948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6"/>
      <c r="J5" s="45"/>
      <c r="K5" s="45"/>
      <c r="L5" s="45" t="s">
        <v>877</v>
      </c>
      <c r="M5" s="32"/>
      <c r="N5" s="38" t="s">
        <v>261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635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458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737">
        <v>1</v>
      </c>
      <c r="J6" s="360">
        <v>100</v>
      </c>
      <c r="K6" s="360">
        <v>1</v>
      </c>
      <c r="L6" s="624">
        <f>'SHWLP-Apt'!$Z$27/$G$6</f>
        <v>1.6534164675637491E-2</v>
      </c>
      <c r="M6" s="556"/>
      <c r="N6" s="360" t="s">
        <v>283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282</v>
      </c>
      <c r="S6" s="362" t="s">
        <v>282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636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458</v>
      </c>
    </row>
    <row r="7" spans="2:72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738"/>
      <c r="J7" s="622"/>
      <c r="K7" s="622"/>
      <c r="L7" s="625">
        <v>0</v>
      </c>
      <c r="M7" s="556"/>
      <c r="N7" s="622" t="s">
        <v>283</v>
      </c>
      <c r="O7" s="622" t="str">
        <f>_xlfn.TEXTJOIN(",",TRUE,IF(LEFT(Regions!$C$3,1)&lt;&gt;"*",Regions!$C$3,""),IF(LEFT(Regions!$D$3,1)&lt;&gt;"*",Regions!$D$3,""))</f>
        <v>IE,National</v>
      </c>
      <c r="P7" s="622" t="str">
        <f>_xlfn.TEXTJOIN("",TRUE,LEFT(SETUP!B$3,1),"-",SETUP!B$85,"_",SETUP!B$37)</f>
        <v>R-BLD_Att</v>
      </c>
      <c r="Q7" s="622" t="str">
        <f>_xlfn.TEXTJOIN(" ",TRUE,SETUP!C$3,SETUP!C$85,SETUP!C$37)</f>
        <v>Residential Building Attached</v>
      </c>
      <c r="R7" s="623" t="s">
        <v>282</v>
      </c>
      <c r="S7" s="622" t="s">
        <v>282</v>
      </c>
      <c r="T7" s="623"/>
      <c r="U7" s="622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737"/>
      <c r="J8" s="360"/>
      <c r="K8" s="360"/>
      <c r="L8" s="624">
        <f>'SHWLP-Apt'!$Z$53/$G$6</f>
        <v>1.3128101846771158E-2</v>
      </c>
      <c r="M8" s="556"/>
      <c r="N8" s="360" t="s">
        <v>283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282</v>
      </c>
      <c r="S8" s="362" t="s">
        <v>282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738"/>
      <c r="J9" s="622"/>
      <c r="K9" s="622"/>
      <c r="L9" s="625">
        <f>'SHWLP-Apt'!$Z$58/$G$6</f>
        <v>6.4458708104453747E-4</v>
      </c>
      <c r="M9" s="55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737"/>
      <c r="J10" s="360"/>
      <c r="K10" s="360"/>
      <c r="L10" s="624">
        <f>'SHWLP-Apt'!$Z$59/$G$6</f>
        <v>1.9923424990874787E-4</v>
      </c>
      <c r="M10" s="55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P7</f>
        <v>R-BLD_Att</v>
      </c>
      <c r="D11" s="622" t="str">
        <f>Q7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738">
        <v>1</v>
      </c>
      <c r="J11" s="622">
        <v>100</v>
      </c>
      <c r="K11" s="622">
        <v>1</v>
      </c>
      <c r="L11" s="625">
        <f>'SHWLP-Att'!$Z$27/$G$11</f>
        <v>2.9990596485367418E-2</v>
      </c>
      <c r="M11" s="556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637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458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737"/>
      <c r="J12" s="360"/>
      <c r="K12" s="360"/>
      <c r="L12" s="624">
        <v>0</v>
      </c>
      <c r="M12" s="556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460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458</v>
      </c>
    </row>
    <row r="13" spans="2:72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738"/>
      <c r="J13" s="622"/>
      <c r="K13" s="622"/>
      <c r="L13" s="625">
        <f>'SHWLP-Att'!$Z$53/$G$11</f>
        <v>1.0994534987992988E-2</v>
      </c>
      <c r="M13" s="556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460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458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737"/>
      <c r="J14" s="360"/>
      <c r="K14" s="360"/>
      <c r="L14" s="624">
        <f>'SHWLP-Att'!Z58/$G$11</f>
        <v>9.1487081392159866E-4</v>
      </c>
      <c r="M14" s="556"/>
      <c r="P14" s="556"/>
      <c r="Q14" s="556"/>
      <c r="R14" s="556"/>
      <c r="S14" s="556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638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458</v>
      </c>
    </row>
    <row r="15" spans="2:72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738"/>
      <c r="J15" s="622"/>
      <c r="K15" s="622"/>
      <c r="L15" s="625">
        <f>'SHWLP-Att'!Z59/$G$11</f>
        <v>3.8001436556751221E-4</v>
      </c>
      <c r="M15" s="556"/>
      <c r="P15" s="556"/>
      <c r="Q15" s="556"/>
      <c r="R15" s="556"/>
      <c r="S15" s="556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638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458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737">
        <v>1</v>
      </c>
      <c r="J16" s="360">
        <v>100</v>
      </c>
      <c r="K16" s="360">
        <v>1</v>
      </c>
      <c r="L16" s="624">
        <f>'SHWLP-Det'!$Z$27/$G$16</f>
        <v>5.2849616307060754E-2</v>
      </c>
      <c r="M16" s="556"/>
      <c r="P16" s="556"/>
      <c r="Q16" s="556"/>
      <c r="R16" s="556"/>
      <c r="S16" s="556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639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458</v>
      </c>
    </row>
    <row r="17" spans="2:72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3"/>
      <c r="J17" s="622"/>
      <c r="K17" s="622"/>
      <c r="L17" s="625">
        <v>0</v>
      </c>
      <c r="M17" s="290"/>
      <c r="P17" s="556"/>
      <c r="Q17" s="556"/>
      <c r="R17" s="556"/>
      <c r="S17" s="556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640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458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24">
        <f>'SHWLP-Det'!Z53/$G$16</f>
        <v>1.4648486376153701E-2</v>
      </c>
      <c r="M18" s="290"/>
      <c r="P18" s="556"/>
      <c r="Q18" s="556"/>
      <c r="R18" s="556"/>
      <c r="S18" s="556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641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458</v>
      </c>
    </row>
    <row r="19" spans="2:72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3"/>
      <c r="J19" s="622"/>
      <c r="K19" s="622"/>
      <c r="L19" s="625">
        <f>'SHWLP-Det'!Z58/$G$16</f>
        <v>1.5069837916185766E-3</v>
      </c>
      <c r="M19" s="290"/>
      <c r="P19" s="556"/>
      <c r="Q19" s="556"/>
      <c r="R19" s="556"/>
      <c r="S19" s="556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642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458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24">
        <f>'SHWLP-Det'!Z59/G16</f>
        <v>4.7050395502371922E-4</v>
      </c>
      <c r="M20" s="290"/>
      <c r="P20" s="556"/>
      <c r="Q20" s="556"/>
      <c r="R20" s="556"/>
      <c r="S20" s="556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643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458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466" t="str">
        <f>"*H_"&amp;"*"&amp;RIGHT(AH21,LEN(AH21)-3)&amp;"_"&amp;SETUP!B64</f>
        <v>*H_*GASNAT_X0</v>
      </c>
      <c r="AF21" s="466" t="str">
        <f>COMM!F14&amp;"_"&amp;SETUP!C64</f>
        <v>Natural Gas to Residential_Existing 00</v>
      </c>
      <c r="AG21" s="466" t="str">
        <f>RSD_Balance!A17</f>
        <v>GAS</v>
      </c>
      <c r="AH21" s="466" t="s">
        <v>644</v>
      </c>
      <c r="AI21" s="466">
        <v>1</v>
      </c>
      <c r="AJ21" s="466"/>
      <c r="AK21" s="466"/>
      <c r="AL21" s="466"/>
      <c r="AM21" s="466">
        <v>5.2909653443917494E-2</v>
      </c>
      <c r="AN21" s="466">
        <v>0.1130595111768057</v>
      </c>
      <c r="AO21" s="466">
        <v>0.18480169736713609</v>
      </c>
      <c r="AP21" s="466">
        <v>9.1980608893918028E-2</v>
      </c>
      <c r="AQ21" s="466">
        <v>4.0248445684114405E-2</v>
      </c>
      <c r="AR21" s="466">
        <v>6.6194646918417144E-2</v>
      </c>
      <c r="AS21" s="466">
        <v>0.12021532312122017</v>
      </c>
      <c r="AT21" s="466">
        <v>5.2154967135292975E-2</v>
      </c>
      <c r="AU21" s="466">
        <v>1.3178805351752886E-2</v>
      </c>
      <c r="AV21" s="466">
        <v>1.4108453121111133E-2</v>
      </c>
      <c r="AW21" s="466">
        <v>2.1205986611954164E-2</v>
      </c>
      <c r="AX21" s="466">
        <v>7.1491504124769718E-3</v>
      </c>
      <c r="AY21" s="466">
        <v>3.4589279795612465E-2</v>
      </c>
      <c r="AZ21" s="466">
        <v>5.5365584468802055E-2</v>
      </c>
      <c r="BA21" s="466">
        <v>9.9766180708504015E-2</v>
      </c>
      <c r="BB21" s="466">
        <v>4.2243948847130071E-2</v>
      </c>
      <c r="BC21" s="464"/>
      <c r="BD21" s="466">
        <v>5.0264170771721614E-2</v>
      </c>
      <c r="BE21" s="466">
        <v>0.10740653561796541</v>
      </c>
      <c r="BF21" s="466">
        <v>0.17556161249877927</v>
      </c>
      <c r="BG21" s="466">
        <v>8.7381578449222119E-2</v>
      </c>
      <c r="BH21" s="466">
        <v>3.8236023399908683E-2</v>
      </c>
      <c r="BI21" s="466">
        <v>6.2884914572496287E-2</v>
      </c>
      <c r="BJ21" s="466">
        <v>0.11420455696515916</v>
      </c>
      <c r="BK21" s="466">
        <v>4.9547218778528322E-2</v>
      </c>
      <c r="BL21" s="466">
        <v>1.2519865084165241E-2</v>
      </c>
      <c r="BM21" s="466">
        <v>1.3403030465055575E-2</v>
      </c>
      <c r="BN21" s="466">
        <v>2.0145687281356454E-2</v>
      </c>
      <c r="BO21" s="466">
        <v>6.7916928918531228E-3</v>
      </c>
      <c r="BP21" s="466">
        <v>3.2859815805831839E-2</v>
      </c>
      <c r="BQ21" s="466">
        <v>5.259730524536195E-2</v>
      </c>
      <c r="BR21" s="466">
        <v>9.4777871673078815E-2</v>
      </c>
      <c r="BS21" s="466">
        <v>4.0131751404773562E-2</v>
      </c>
      <c r="BT21" s="458" t="s">
        <v>458</v>
      </c>
    </row>
    <row r="22" spans="2:72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467" t="str">
        <f>"*H_"&amp;"*"&amp;RIGHT(AH22,LEN(AH22)-3)&amp;"_"&amp;SETUP!B64</f>
        <v>*H_*RENSOL_X0</v>
      </c>
      <c r="AF22" s="467" t="str">
        <f>COMM!F15&amp;"_"&amp;SETUP!C64</f>
        <v>Solar Thermal to Residential_Existing 00</v>
      </c>
      <c r="AG22" s="467" t="str">
        <f>RSD_Balance!A18</f>
        <v>SOL</v>
      </c>
      <c r="AH22" s="467" t="s">
        <v>645</v>
      </c>
      <c r="AI22" s="467">
        <v>1</v>
      </c>
      <c r="AJ22" s="467"/>
      <c r="AK22" s="467"/>
      <c r="AL22" s="467"/>
      <c r="AM22" s="467">
        <v>0.34623779937084581</v>
      </c>
      <c r="AN22" s="467">
        <v>0.36219925443872714</v>
      </c>
      <c r="AO22" s="467">
        <v>0.57741154264418526</v>
      </c>
      <c r="AP22" s="467">
        <v>0.18318787048379334</v>
      </c>
      <c r="AQ22" s="467">
        <v>0.344526432974474</v>
      </c>
      <c r="AR22" s="467">
        <v>0.36219925443872714</v>
      </c>
      <c r="AS22" s="467">
        <v>0.57741154264418526</v>
      </c>
      <c r="AT22" s="467">
        <v>0.18130815007141382</v>
      </c>
      <c r="AU22" s="467">
        <v>0.30478910007079352</v>
      </c>
      <c r="AV22" s="467">
        <v>0.31505748679387902</v>
      </c>
      <c r="AW22" s="467">
        <v>0.52902041831780355</v>
      </c>
      <c r="AX22" s="467">
        <v>0.1451125372768769</v>
      </c>
      <c r="AY22" s="467">
        <v>0.34060248205914861</v>
      </c>
      <c r="AZ22" s="467">
        <v>0.35978640094448372</v>
      </c>
      <c r="BA22" s="467">
        <v>0.57741154264418526</v>
      </c>
      <c r="BB22" s="467">
        <v>0.17777162205246544</v>
      </c>
      <c r="BC22" s="464"/>
      <c r="BD22" s="467">
        <v>0.32892590940230348</v>
      </c>
      <c r="BE22" s="467">
        <v>0.34408929171679076</v>
      </c>
      <c r="BF22" s="467">
        <v>0.54854096551197595</v>
      </c>
      <c r="BG22" s="467">
        <v>0.17402847695960366</v>
      </c>
      <c r="BH22" s="467">
        <v>0.32730011132575026</v>
      </c>
      <c r="BI22" s="467">
        <v>0.34408929171679076</v>
      </c>
      <c r="BJ22" s="467">
        <v>0.54854096551197595</v>
      </c>
      <c r="BK22" s="467">
        <v>0.17224274256784311</v>
      </c>
      <c r="BL22" s="467">
        <v>0.28954964506725384</v>
      </c>
      <c r="BM22" s="467">
        <v>0.29930461245418505</v>
      </c>
      <c r="BN22" s="467">
        <v>0.50256939740191331</v>
      </c>
      <c r="BO22" s="467">
        <v>0.13785691041303305</v>
      </c>
      <c r="BP22" s="467">
        <v>0.32357235795619116</v>
      </c>
      <c r="BQ22" s="467">
        <v>0.34179708089725952</v>
      </c>
      <c r="BR22" s="467">
        <v>0.54854096551197595</v>
      </c>
      <c r="BS22" s="467">
        <v>0.16888304094984216</v>
      </c>
      <c r="BT22" s="458" t="s">
        <v>458</v>
      </c>
    </row>
    <row r="23" spans="2:72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466" t="str">
        <f>"*H_"&amp;"*"&amp;RIGHT(AH23,LEN(AH23)-3)&amp;"_"&amp;SETUP!B64</f>
        <v>*H_*BIOWOO_X0</v>
      </c>
      <c r="AF23" s="466" t="str">
        <f>COMM!F16&amp;"_"&amp;SETUP!C64</f>
        <v>Biomass to Residential_Existing 00</v>
      </c>
      <c r="AG23" s="466" t="str">
        <f>RSD_Balance!A19</f>
        <v>WOO</v>
      </c>
      <c r="AH23" s="466" t="s">
        <v>646</v>
      </c>
      <c r="AI23" s="466">
        <v>1</v>
      </c>
      <c r="AJ23" s="466"/>
      <c r="AK23" s="466"/>
      <c r="AL23" s="466"/>
      <c r="AM23" s="466">
        <v>5.2909653443917494E-2</v>
      </c>
      <c r="AN23" s="466">
        <v>0.1130595111768057</v>
      </c>
      <c r="AO23" s="466">
        <v>0.18480169736713609</v>
      </c>
      <c r="AP23" s="466">
        <v>9.1980608893918028E-2</v>
      </c>
      <c r="AQ23" s="466">
        <v>4.0248445684114405E-2</v>
      </c>
      <c r="AR23" s="466">
        <v>6.6194646918417144E-2</v>
      </c>
      <c r="AS23" s="466">
        <v>0.12021532312122017</v>
      </c>
      <c r="AT23" s="466">
        <v>5.2154967135292975E-2</v>
      </c>
      <c r="AU23" s="466">
        <v>1.3178805351752886E-2</v>
      </c>
      <c r="AV23" s="466">
        <v>1.4108453121111133E-2</v>
      </c>
      <c r="AW23" s="466">
        <v>2.1205986611954164E-2</v>
      </c>
      <c r="AX23" s="466">
        <v>7.1491504124769718E-3</v>
      </c>
      <c r="AY23" s="466">
        <v>3.4589279795612465E-2</v>
      </c>
      <c r="AZ23" s="466">
        <v>5.5365584468802055E-2</v>
      </c>
      <c r="BA23" s="466">
        <v>9.9766180708504015E-2</v>
      </c>
      <c r="BB23" s="466">
        <v>4.2243948847130071E-2</v>
      </c>
      <c r="BC23" s="464"/>
      <c r="BD23" s="466">
        <v>5.0264170771721614E-2</v>
      </c>
      <c r="BE23" s="466">
        <v>0.10740653561796541</v>
      </c>
      <c r="BF23" s="466">
        <v>0.17556161249877927</v>
      </c>
      <c r="BG23" s="466">
        <v>8.7381578449222119E-2</v>
      </c>
      <c r="BH23" s="466">
        <v>3.8236023399908683E-2</v>
      </c>
      <c r="BI23" s="466">
        <v>6.2884914572496287E-2</v>
      </c>
      <c r="BJ23" s="466">
        <v>0.11420455696515916</v>
      </c>
      <c r="BK23" s="466">
        <v>4.9547218778528322E-2</v>
      </c>
      <c r="BL23" s="466">
        <v>1.2519865084165241E-2</v>
      </c>
      <c r="BM23" s="466">
        <v>1.3403030465055575E-2</v>
      </c>
      <c r="BN23" s="466">
        <v>2.0145687281356454E-2</v>
      </c>
      <c r="BO23" s="466">
        <v>6.7916928918531228E-3</v>
      </c>
      <c r="BP23" s="466">
        <v>3.2859815805831839E-2</v>
      </c>
      <c r="BQ23" s="466">
        <v>5.259730524536195E-2</v>
      </c>
      <c r="BR23" s="466">
        <v>9.4777871673078815E-2</v>
      </c>
      <c r="BS23" s="466">
        <v>4.0131751404773562E-2</v>
      </c>
      <c r="BT23" s="458" t="s">
        <v>458</v>
      </c>
    </row>
    <row r="24" spans="2:72" ht="18.75">
      <c r="B24" s="1065" t="s">
        <v>770</v>
      </c>
      <c r="C24" s="1065"/>
      <c r="D24" s="1065"/>
      <c r="E24" s="1065"/>
      <c r="F24" s="1065"/>
      <c r="G24" s="1065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467" t="str">
        <f>"*H_"&amp;"*"&amp;RIGHT(AH24,LEN(AH24)-3)&amp;"_"&amp;SETUP!B65</f>
        <v>*H_*BIOWOO_X1</v>
      </c>
      <c r="AF24" s="467" t="str">
        <f>COMM!F16&amp;"_"&amp;SETUP!C65</f>
        <v>Biomass to Residential_Existing 01</v>
      </c>
      <c r="AG24" s="467" t="str">
        <f>RSD_Balance!A19</f>
        <v>WOO</v>
      </c>
      <c r="AH24" s="467" t="s">
        <v>646</v>
      </c>
      <c r="AI24" s="467">
        <v>1</v>
      </c>
      <c r="AJ24" s="467"/>
      <c r="AK24" s="467"/>
      <c r="AL24" s="467"/>
      <c r="AM24" s="467">
        <v>5.2909653443917494E-2</v>
      </c>
      <c r="AN24" s="467">
        <v>0.1130595111768057</v>
      </c>
      <c r="AO24" s="467">
        <v>0.18480169736713609</v>
      </c>
      <c r="AP24" s="467">
        <v>9.1980608893918028E-2</v>
      </c>
      <c r="AQ24" s="467">
        <v>4.0248445684114405E-2</v>
      </c>
      <c r="AR24" s="467">
        <v>6.6194646918417144E-2</v>
      </c>
      <c r="AS24" s="467">
        <v>0.12021532312122017</v>
      </c>
      <c r="AT24" s="467">
        <v>5.2154967135292975E-2</v>
      </c>
      <c r="AU24" s="467">
        <v>1.3178805351752886E-2</v>
      </c>
      <c r="AV24" s="467">
        <v>1.4108453121111133E-2</v>
      </c>
      <c r="AW24" s="467">
        <v>2.1205986611954164E-2</v>
      </c>
      <c r="AX24" s="467">
        <v>7.1491504124769718E-3</v>
      </c>
      <c r="AY24" s="467">
        <v>3.4589279795612465E-2</v>
      </c>
      <c r="AZ24" s="467">
        <v>5.5365584468802055E-2</v>
      </c>
      <c r="BA24" s="467">
        <v>9.9766180708504015E-2</v>
      </c>
      <c r="BB24" s="467">
        <v>4.2243948847130071E-2</v>
      </c>
      <c r="BC24" s="464"/>
      <c r="BD24" s="467">
        <v>5.0264170771721614E-2</v>
      </c>
      <c r="BE24" s="467">
        <v>0.10740653561796541</v>
      </c>
      <c r="BF24" s="467">
        <v>0.17556161249877927</v>
      </c>
      <c r="BG24" s="467">
        <v>8.7381578449222119E-2</v>
      </c>
      <c r="BH24" s="467">
        <v>3.8236023399908683E-2</v>
      </c>
      <c r="BI24" s="467">
        <v>6.2884914572496287E-2</v>
      </c>
      <c r="BJ24" s="467">
        <v>0.11420455696515916</v>
      </c>
      <c r="BK24" s="467">
        <v>4.9547218778528322E-2</v>
      </c>
      <c r="BL24" s="467">
        <v>1.2519865084165241E-2</v>
      </c>
      <c r="BM24" s="467">
        <v>1.3403030465055575E-2</v>
      </c>
      <c r="BN24" s="467">
        <v>2.0145687281356454E-2</v>
      </c>
      <c r="BO24" s="467">
        <v>6.7916928918531228E-3</v>
      </c>
      <c r="BP24" s="467">
        <v>3.2859815805831839E-2</v>
      </c>
      <c r="BQ24" s="467">
        <v>5.259730524536195E-2</v>
      </c>
      <c r="BR24" s="467">
        <v>9.4777871673078815E-2</v>
      </c>
      <c r="BS24" s="467">
        <v>4.0131751404773562E-2</v>
      </c>
      <c r="BT24" s="458" t="s">
        <v>458</v>
      </c>
    </row>
    <row r="25" spans="2:72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466" t="str">
        <f>"*H_"&amp;"*"&amp;RIGHT(AH25,LEN(AH25)-3)&amp;"_"&amp;SETUP!B66</f>
        <v>*H_*BIOWOO_X2</v>
      </c>
      <c r="AF25" s="466" t="str">
        <f>COMM!F16&amp;"_"&amp;SETUP!C66</f>
        <v>Biomass to Residential_Existing 02</v>
      </c>
      <c r="AG25" s="466" t="str">
        <f>RSD_Balance!A19</f>
        <v>WOO</v>
      </c>
      <c r="AH25" s="466" t="s">
        <v>646</v>
      </c>
      <c r="AI25" s="466">
        <v>1</v>
      </c>
      <c r="AJ25" s="466"/>
      <c r="AK25" s="466"/>
      <c r="AL25" s="466"/>
      <c r="AM25" s="466">
        <v>5.2909653443917494E-2</v>
      </c>
      <c r="AN25" s="466">
        <v>0.1130595111768057</v>
      </c>
      <c r="AO25" s="466">
        <v>0.18480169736713609</v>
      </c>
      <c r="AP25" s="466">
        <v>9.1980608893918028E-2</v>
      </c>
      <c r="AQ25" s="466">
        <v>4.0248445684114405E-2</v>
      </c>
      <c r="AR25" s="466">
        <v>6.6194646918417144E-2</v>
      </c>
      <c r="AS25" s="466">
        <v>0.12021532312122017</v>
      </c>
      <c r="AT25" s="466">
        <v>5.2154967135292975E-2</v>
      </c>
      <c r="AU25" s="466">
        <v>1.3178805351752886E-2</v>
      </c>
      <c r="AV25" s="466">
        <v>1.4108453121111133E-2</v>
      </c>
      <c r="AW25" s="466">
        <v>2.1205986611954164E-2</v>
      </c>
      <c r="AX25" s="466">
        <v>7.1491504124769718E-3</v>
      </c>
      <c r="AY25" s="466">
        <v>3.4589279795612465E-2</v>
      </c>
      <c r="AZ25" s="466">
        <v>5.5365584468802055E-2</v>
      </c>
      <c r="BA25" s="466">
        <v>9.9766180708504015E-2</v>
      </c>
      <c r="BB25" s="466">
        <v>4.2243948847130071E-2</v>
      </c>
      <c r="BC25" s="464"/>
      <c r="BD25" s="466">
        <v>5.0264170771721614E-2</v>
      </c>
      <c r="BE25" s="466">
        <v>0.10740653561796541</v>
      </c>
      <c r="BF25" s="466">
        <v>0.17556161249877927</v>
      </c>
      <c r="BG25" s="466">
        <v>8.7381578449222119E-2</v>
      </c>
      <c r="BH25" s="466">
        <v>3.8236023399908683E-2</v>
      </c>
      <c r="BI25" s="466">
        <v>6.2884914572496287E-2</v>
      </c>
      <c r="BJ25" s="466">
        <v>0.11420455696515916</v>
      </c>
      <c r="BK25" s="466">
        <v>4.9547218778528322E-2</v>
      </c>
      <c r="BL25" s="466">
        <v>1.2519865084165241E-2</v>
      </c>
      <c r="BM25" s="466">
        <v>1.3403030465055575E-2</v>
      </c>
      <c r="BN25" s="466">
        <v>2.0145687281356454E-2</v>
      </c>
      <c r="BO25" s="466">
        <v>6.7916928918531228E-3</v>
      </c>
      <c r="BP25" s="466">
        <v>3.2859815805831839E-2</v>
      </c>
      <c r="BQ25" s="466">
        <v>5.259730524536195E-2</v>
      </c>
      <c r="BR25" s="466">
        <v>9.4777871673078815E-2</v>
      </c>
      <c r="BS25" s="466">
        <v>4.0131751404773562E-2</v>
      </c>
      <c r="BT25" s="458" t="s">
        <v>458</v>
      </c>
    </row>
    <row r="26" spans="2:72" ht="21">
      <c r="B26" s="70" t="s">
        <v>284</v>
      </c>
      <c r="C26" s="70"/>
      <c r="D26" s="70"/>
      <c r="E26" s="67" t="s">
        <v>939</v>
      </c>
      <c r="F26" s="67"/>
      <c r="G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B26" s="556"/>
      <c r="AC26" s="556"/>
      <c r="AD26" s="290"/>
      <c r="AE26" s="467" t="str">
        <f>"*H_"&amp;"*"&amp;RIGHT(AH26,LEN(AH26)-3)&amp;"_"&amp;SETUP!B64</f>
        <v>*H_*BIOGAS_X0</v>
      </c>
      <c r="AF26" s="467" t="str">
        <f>COMM!F17&amp;"_"&amp;SETUP!C64</f>
        <v>Biogas to Residential_Existing 00</v>
      </c>
      <c r="AG26" s="467" t="str">
        <f>RSD_Balance!A20</f>
        <v>BGS</v>
      </c>
      <c r="AH26" s="467" t="s">
        <v>647</v>
      </c>
      <c r="AI26" s="467">
        <v>1</v>
      </c>
      <c r="AJ26" s="467"/>
      <c r="AK26" s="467"/>
      <c r="AL26" s="467"/>
      <c r="AM26" s="467">
        <v>5.2909653443917494E-2</v>
      </c>
      <c r="AN26" s="467">
        <v>0.1130595111768057</v>
      </c>
      <c r="AO26" s="467">
        <v>0.18480169736713609</v>
      </c>
      <c r="AP26" s="467">
        <v>9.1980608893918028E-2</v>
      </c>
      <c r="AQ26" s="467">
        <v>4.0248445684114405E-2</v>
      </c>
      <c r="AR26" s="467">
        <v>6.6194646918417144E-2</v>
      </c>
      <c r="AS26" s="467">
        <v>0.12021532312122017</v>
      </c>
      <c r="AT26" s="467">
        <v>5.2154967135292975E-2</v>
      </c>
      <c r="AU26" s="467">
        <v>1.3178805351752886E-2</v>
      </c>
      <c r="AV26" s="467">
        <v>1.4108453121111133E-2</v>
      </c>
      <c r="AW26" s="467">
        <v>2.1205986611954164E-2</v>
      </c>
      <c r="AX26" s="467">
        <v>7.1491504124769718E-3</v>
      </c>
      <c r="AY26" s="467">
        <v>3.4589279795612465E-2</v>
      </c>
      <c r="AZ26" s="467">
        <v>5.5365584468802055E-2</v>
      </c>
      <c r="BA26" s="467">
        <v>9.9766180708504015E-2</v>
      </c>
      <c r="BB26" s="467">
        <v>4.2243948847130071E-2</v>
      </c>
      <c r="BC26" s="464"/>
      <c r="BD26" s="467">
        <v>5.0264170771721614E-2</v>
      </c>
      <c r="BE26" s="467">
        <v>0.10740653561796541</v>
      </c>
      <c r="BF26" s="467">
        <v>0.17556161249877927</v>
      </c>
      <c r="BG26" s="467">
        <v>8.7381578449222119E-2</v>
      </c>
      <c r="BH26" s="467">
        <v>3.8236023399908683E-2</v>
      </c>
      <c r="BI26" s="467">
        <v>6.2884914572496287E-2</v>
      </c>
      <c r="BJ26" s="467">
        <v>0.11420455696515916</v>
      </c>
      <c r="BK26" s="467">
        <v>4.9547218778528322E-2</v>
      </c>
      <c r="BL26" s="467">
        <v>1.2519865084165241E-2</v>
      </c>
      <c r="BM26" s="467">
        <v>1.3403030465055575E-2</v>
      </c>
      <c r="BN26" s="467">
        <v>2.0145687281356454E-2</v>
      </c>
      <c r="BO26" s="467">
        <v>6.7916928918531228E-3</v>
      </c>
      <c r="BP26" s="467">
        <v>3.2859815805831839E-2</v>
      </c>
      <c r="BQ26" s="467">
        <v>5.259730524536195E-2</v>
      </c>
      <c r="BR26" s="467">
        <v>9.4777871673078815E-2</v>
      </c>
      <c r="BS26" s="467">
        <v>4.0131751404773562E-2</v>
      </c>
      <c r="BT26" s="458" t="s">
        <v>458</v>
      </c>
    </row>
    <row r="27" spans="2:72" ht="15">
      <c r="B27" s="320" t="s">
        <v>935</v>
      </c>
      <c r="C27" s="320" t="s">
        <v>238</v>
      </c>
      <c r="D27" s="320" t="s">
        <v>285</v>
      </c>
      <c r="E27" s="320" t="s">
        <v>286</v>
      </c>
      <c r="F27" s="468">
        <v>2018</v>
      </c>
      <c r="G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B27" s="556"/>
      <c r="AC27" s="556"/>
      <c r="AD27" s="290"/>
      <c r="AE27" s="466" t="str">
        <f>"*H_"&amp;"*"&amp;RIGHT(AH27,LEN(AH27)-3)&amp;"_"&amp;SETUP!B64</f>
        <v>*H_*BIOMUN_X0</v>
      </c>
      <c r="AF27" s="466" t="str">
        <f>COMM!F18&amp;"_"&amp;SETUP!C64</f>
        <v>Landfill Gas to Residential_Existing 00</v>
      </c>
      <c r="AG27" s="466" t="str">
        <f>RSD_Balance!A21</f>
        <v>BIOMUN</v>
      </c>
      <c r="AH27" s="466" t="s">
        <v>648</v>
      </c>
      <c r="AI27" s="466">
        <v>1</v>
      </c>
      <c r="AJ27" s="466"/>
      <c r="AK27" s="466"/>
      <c r="AL27" s="466"/>
      <c r="AM27" s="466">
        <v>5.2909653443917494E-2</v>
      </c>
      <c r="AN27" s="466">
        <v>0.1130595111768057</v>
      </c>
      <c r="AO27" s="466">
        <v>0.18480169736713609</v>
      </c>
      <c r="AP27" s="466">
        <v>9.1980608893918028E-2</v>
      </c>
      <c r="AQ27" s="466">
        <v>4.0248445684114405E-2</v>
      </c>
      <c r="AR27" s="466">
        <v>6.6194646918417144E-2</v>
      </c>
      <c r="AS27" s="466">
        <v>0.12021532312122017</v>
      </c>
      <c r="AT27" s="466">
        <v>5.2154967135292975E-2</v>
      </c>
      <c r="AU27" s="466">
        <v>1.3178805351752886E-2</v>
      </c>
      <c r="AV27" s="466">
        <v>1.4108453121111133E-2</v>
      </c>
      <c r="AW27" s="466">
        <v>2.1205986611954164E-2</v>
      </c>
      <c r="AX27" s="466">
        <v>7.1491504124769718E-3</v>
      </c>
      <c r="AY27" s="466">
        <v>3.4589279795612465E-2</v>
      </c>
      <c r="AZ27" s="466">
        <v>5.5365584468802055E-2</v>
      </c>
      <c r="BA27" s="466">
        <v>9.9766180708504015E-2</v>
      </c>
      <c r="BB27" s="466">
        <v>4.2243948847130071E-2</v>
      </c>
      <c r="BC27" s="464"/>
      <c r="BD27" s="466">
        <v>5.0264170771721614E-2</v>
      </c>
      <c r="BE27" s="466">
        <v>0.10740653561796541</v>
      </c>
      <c r="BF27" s="466">
        <v>0.17556161249877927</v>
      </c>
      <c r="BG27" s="466">
        <v>8.7381578449222119E-2</v>
      </c>
      <c r="BH27" s="466">
        <v>3.8236023399908683E-2</v>
      </c>
      <c r="BI27" s="466">
        <v>6.2884914572496287E-2</v>
      </c>
      <c r="BJ27" s="466">
        <v>0.11420455696515916</v>
      </c>
      <c r="BK27" s="466">
        <v>4.9547218778528322E-2</v>
      </c>
      <c r="BL27" s="466">
        <v>1.2519865084165241E-2</v>
      </c>
      <c r="BM27" s="466">
        <v>1.3403030465055575E-2</v>
      </c>
      <c r="BN27" s="466">
        <v>2.0145687281356454E-2</v>
      </c>
      <c r="BO27" s="466">
        <v>6.7916928918531228E-3</v>
      </c>
      <c r="BP27" s="466">
        <v>3.2859815805831839E-2</v>
      </c>
      <c r="BQ27" s="466">
        <v>5.259730524536195E-2</v>
      </c>
      <c r="BR27" s="466">
        <v>9.4777871673078815E-2</v>
      </c>
      <c r="BS27" s="466">
        <v>4.0131751404773562E-2</v>
      </c>
      <c r="BT27" s="458" t="s">
        <v>458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B28" s="556"/>
      <c r="AC28" s="556"/>
      <c r="AD28" s="290"/>
      <c r="AE28" s="467" t="str">
        <f>"*H_"&amp;"*"&amp;RIGHT(AH28,LEN(AH28)-3)&amp;"_"&amp;SETUP!B64</f>
        <v>*H_*RENGEO_X0</v>
      </c>
      <c r="AF28" s="467" t="str">
        <f>COMM!F19&amp;"_"&amp;SETUP!C64</f>
        <v>Ambient Heat to Residential_Existing 00</v>
      </c>
      <c r="AG28" s="467" t="str">
        <f>RSD_Balance!A22</f>
        <v>GEO</v>
      </c>
      <c r="AH28" s="467" t="s">
        <v>649</v>
      </c>
      <c r="AI28" s="467">
        <v>1</v>
      </c>
      <c r="AJ28" s="467"/>
      <c r="AK28" s="467"/>
      <c r="AL28" s="467"/>
      <c r="AM28" s="467">
        <v>5.2909653443917494E-2</v>
      </c>
      <c r="AN28" s="467">
        <v>0.1130595111768057</v>
      </c>
      <c r="AO28" s="467">
        <v>0.18480169736713609</v>
      </c>
      <c r="AP28" s="467">
        <v>9.1980608893918028E-2</v>
      </c>
      <c r="AQ28" s="467">
        <v>4.0248445684114405E-2</v>
      </c>
      <c r="AR28" s="467">
        <v>6.6194646918417144E-2</v>
      </c>
      <c r="AS28" s="467">
        <v>0.12021532312122017</v>
      </c>
      <c r="AT28" s="467">
        <v>5.2154967135292975E-2</v>
      </c>
      <c r="AU28" s="467">
        <v>1.3178805351752886E-2</v>
      </c>
      <c r="AV28" s="467">
        <v>1.4108453121111133E-2</v>
      </c>
      <c r="AW28" s="467">
        <v>2.1205986611954164E-2</v>
      </c>
      <c r="AX28" s="467">
        <v>7.1491504124769718E-3</v>
      </c>
      <c r="AY28" s="467">
        <v>3.4589279795612465E-2</v>
      </c>
      <c r="AZ28" s="467">
        <v>5.5365584468802055E-2</v>
      </c>
      <c r="BA28" s="467">
        <v>9.9766180708504015E-2</v>
      </c>
      <c r="BB28" s="467">
        <v>4.2243948847130071E-2</v>
      </c>
      <c r="BC28" s="464"/>
      <c r="BD28" s="467">
        <v>5.0264170771721614E-2</v>
      </c>
      <c r="BE28" s="467">
        <v>0.10740653561796541</v>
      </c>
      <c r="BF28" s="467">
        <v>0.17556161249877927</v>
      </c>
      <c r="BG28" s="467">
        <v>8.7381578449222119E-2</v>
      </c>
      <c r="BH28" s="467">
        <v>3.8236023399908683E-2</v>
      </c>
      <c r="BI28" s="467">
        <v>6.2884914572496287E-2</v>
      </c>
      <c r="BJ28" s="467">
        <v>0.11420455696515916</v>
      </c>
      <c r="BK28" s="467">
        <v>4.9547218778528322E-2</v>
      </c>
      <c r="BL28" s="467">
        <v>1.2519865084165241E-2</v>
      </c>
      <c r="BM28" s="467">
        <v>1.3403030465055575E-2</v>
      </c>
      <c r="BN28" s="467">
        <v>2.0145687281356454E-2</v>
      </c>
      <c r="BO28" s="467">
        <v>6.7916928918531228E-3</v>
      </c>
      <c r="BP28" s="467">
        <v>3.2859815805831839E-2</v>
      </c>
      <c r="BQ28" s="467">
        <v>5.259730524536195E-2</v>
      </c>
      <c r="BR28" s="467">
        <v>9.4777871673078815E-2</v>
      </c>
      <c r="BS28" s="467">
        <v>4.0131751404773562E-2</v>
      </c>
      <c r="BT28" s="458" t="s">
        <v>458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B29" s="556"/>
      <c r="AC29" s="556"/>
      <c r="AD29" s="290"/>
      <c r="AE29" s="466" t="str">
        <f>"*H_"&amp;"*"&amp;RIGHT(AH29,LEN(AH29)-3)&amp;"_"&amp;SETUP!B64</f>
        <v>*H_*BIOETH_X0</v>
      </c>
      <c r="AF29" s="466" t="str">
        <f>COMM!F20&amp;"_"&amp;SETUP!C64</f>
        <v>Ethanol to Residential_Existing 00</v>
      </c>
      <c r="AG29" s="466" t="str">
        <f>RSD_Balance!A23</f>
        <v>ETH</v>
      </c>
      <c r="AH29" s="466" t="s">
        <v>650</v>
      </c>
      <c r="AI29" s="466">
        <v>1</v>
      </c>
      <c r="AJ29" s="466"/>
      <c r="AK29" s="466"/>
      <c r="AL29" s="466"/>
      <c r="AM29" s="466">
        <v>5.2909653443917494E-2</v>
      </c>
      <c r="AN29" s="466">
        <v>0.1130595111768057</v>
      </c>
      <c r="AO29" s="466">
        <v>0.18480169736713609</v>
      </c>
      <c r="AP29" s="466">
        <v>9.1980608893918028E-2</v>
      </c>
      <c r="AQ29" s="466">
        <v>4.0248445684114405E-2</v>
      </c>
      <c r="AR29" s="466">
        <v>6.6194646918417144E-2</v>
      </c>
      <c r="AS29" s="466">
        <v>0.12021532312122017</v>
      </c>
      <c r="AT29" s="466">
        <v>5.2154967135292975E-2</v>
      </c>
      <c r="AU29" s="466">
        <v>1.3178805351752886E-2</v>
      </c>
      <c r="AV29" s="466">
        <v>1.4108453121111133E-2</v>
      </c>
      <c r="AW29" s="466">
        <v>2.1205986611954164E-2</v>
      </c>
      <c r="AX29" s="466">
        <v>7.1491504124769718E-3</v>
      </c>
      <c r="AY29" s="466">
        <v>3.4589279795612465E-2</v>
      </c>
      <c r="AZ29" s="466">
        <v>5.5365584468802055E-2</v>
      </c>
      <c r="BA29" s="466">
        <v>9.9766180708504015E-2</v>
      </c>
      <c r="BB29" s="466">
        <v>4.2243948847130071E-2</v>
      </c>
      <c r="BC29" s="464"/>
      <c r="BD29" s="466">
        <v>5.0264170771721614E-2</v>
      </c>
      <c r="BE29" s="466">
        <v>0.10740653561796541</v>
      </c>
      <c r="BF29" s="466">
        <v>0.17556161249877927</v>
      </c>
      <c r="BG29" s="466">
        <v>8.7381578449222119E-2</v>
      </c>
      <c r="BH29" s="466">
        <v>3.8236023399908683E-2</v>
      </c>
      <c r="BI29" s="466">
        <v>6.2884914572496287E-2</v>
      </c>
      <c r="BJ29" s="466">
        <v>0.11420455696515916</v>
      </c>
      <c r="BK29" s="466">
        <v>4.9547218778528322E-2</v>
      </c>
      <c r="BL29" s="466">
        <v>1.2519865084165241E-2</v>
      </c>
      <c r="BM29" s="466">
        <v>1.3403030465055575E-2</v>
      </c>
      <c r="BN29" s="466">
        <v>2.0145687281356454E-2</v>
      </c>
      <c r="BO29" s="466">
        <v>6.7916928918531228E-3</v>
      </c>
      <c r="BP29" s="466">
        <v>3.2859815805831839E-2</v>
      </c>
      <c r="BQ29" s="466">
        <v>5.259730524536195E-2</v>
      </c>
      <c r="BR29" s="466">
        <v>9.4777871673078815E-2</v>
      </c>
      <c r="BS29" s="466">
        <v>4.0131751404773562E-2</v>
      </c>
      <c r="BT29" s="458" t="s">
        <v>458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B30" s="556"/>
      <c r="AC30" s="556"/>
      <c r="AD30" s="290"/>
      <c r="AE30" s="467" t="str">
        <f>"*H_"&amp;"*"&amp;RIGHT(AH30,LEN(AH30)-3)&amp;"_"&amp;SETUP!B64</f>
        <v>*H_*BIODST_X0</v>
      </c>
      <c r="AF30" s="467" t="str">
        <f>COMM!F21&amp;"_"&amp;SETUP!C64</f>
        <v>Biodiesel to Residential_Existing 00</v>
      </c>
      <c r="AG30" s="467" t="str">
        <f>RSD_Balance!A24</f>
        <v>BDL</v>
      </c>
      <c r="AH30" s="467" t="s">
        <v>651</v>
      </c>
      <c r="AI30" s="467">
        <v>1</v>
      </c>
      <c r="AJ30" s="467"/>
      <c r="AK30" s="467"/>
      <c r="AL30" s="467"/>
      <c r="AM30" s="467">
        <v>5.2909653443917494E-2</v>
      </c>
      <c r="AN30" s="467">
        <v>0.1130595111768057</v>
      </c>
      <c r="AO30" s="467">
        <v>0.18480169736713609</v>
      </c>
      <c r="AP30" s="467">
        <v>9.1980608893918028E-2</v>
      </c>
      <c r="AQ30" s="467">
        <v>4.0248445684114405E-2</v>
      </c>
      <c r="AR30" s="467">
        <v>6.6194646918417144E-2</v>
      </c>
      <c r="AS30" s="467">
        <v>0.12021532312122017</v>
      </c>
      <c r="AT30" s="467">
        <v>5.2154967135292975E-2</v>
      </c>
      <c r="AU30" s="467">
        <v>1.3178805351752886E-2</v>
      </c>
      <c r="AV30" s="467">
        <v>1.4108453121111133E-2</v>
      </c>
      <c r="AW30" s="467">
        <v>2.1205986611954164E-2</v>
      </c>
      <c r="AX30" s="467">
        <v>7.1491504124769718E-3</v>
      </c>
      <c r="AY30" s="467">
        <v>3.4589279795612465E-2</v>
      </c>
      <c r="AZ30" s="467">
        <v>5.5365584468802055E-2</v>
      </c>
      <c r="BA30" s="467">
        <v>9.9766180708504015E-2</v>
      </c>
      <c r="BB30" s="467">
        <v>4.2243948847130071E-2</v>
      </c>
      <c r="BC30" s="464"/>
      <c r="BD30" s="467">
        <v>5.0264170771721614E-2</v>
      </c>
      <c r="BE30" s="467">
        <v>0.10740653561796541</v>
      </c>
      <c r="BF30" s="467">
        <v>0.17556161249877927</v>
      </c>
      <c r="BG30" s="467">
        <v>8.7381578449222119E-2</v>
      </c>
      <c r="BH30" s="467">
        <v>3.8236023399908683E-2</v>
      </c>
      <c r="BI30" s="467">
        <v>6.2884914572496287E-2</v>
      </c>
      <c r="BJ30" s="467">
        <v>0.11420455696515916</v>
      </c>
      <c r="BK30" s="467">
        <v>4.9547218778528322E-2</v>
      </c>
      <c r="BL30" s="467">
        <v>1.2519865084165241E-2</v>
      </c>
      <c r="BM30" s="467">
        <v>1.3403030465055575E-2</v>
      </c>
      <c r="BN30" s="467">
        <v>2.0145687281356454E-2</v>
      </c>
      <c r="BO30" s="467">
        <v>6.7916928918531228E-3</v>
      </c>
      <c r="BP30" s="467">
        <v>3.2859815805831839E-2</v>
      </c>
      <c r="BQ30" s="467">
        <v>5.259730524536195E-2</v>
      </c>
      <c r="BR30" s="467">
        <v>9.4777871673078815E-2</v>
      </c>
      <c r="BS30" s="467">
        <v>4.0131751404773562E-2</v>
      </c>
      <c r="BT30" s="458" t="s">
        <v>458</v>
      </c>
    </row>
    <row r="31" spans="2:72" ht="15">
      <c r="B31" s="36" t="s">
        <v>288</v>
      </c>
      <c r="C31" s="36" t="s">
        <v>741</v>
      </c>
      <c r="D31" s="36"/>
      <c r="E31" s="36"/>
      <c r="F31" s="36"/>
      <c r="G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466" t="str">
        <f>"*H_"&amp;"*"&amp;RIGHT(AH31,LEN(AH31)-3)&amp;"_"&amp;SETUP!B64</f>
        <v>*H_*BIOSLU_X0</v>
      </c>
      <c r="AF31" s="466" t="str">
        <f>COMM!F22&amp;"_"&amp;SETUP!C64</f>
        <v>Non-Renewable Waste to Residential_Existing 00</v>
      </c>
      <c r="AG31" s="466" t="str">
        <f>RSD_Balance!A25</f>
        <v>BIOSLU</v>
      </c>
      <c r="AH31" s="466" t="s">
        <v>652</v>
      </c>
      <c r="AI31" s="466">
        <v>1</v>
      </c>
      <c r="AJ31" s="466"/>
      <c r="AK31" s="466"/>
      <c r="AL31" s="466"/>
      <c r="AM31" s="466">
        <v>5.2909653443917494E-2</v>
      </c>
      <c r="AN31" s="466">
        <v>0.1130595111768057</v>
      </c>
      <c r="AO31" s="466">
        <v>0.18480169736713609</v>
      </c>
      <c r="AP31" s="466">
        <v>9.1980608893918028E-2</v>
      </c>
      <c r="AQ31" s="466">
        <v>4.0248445684114405E-2</v>
      </c>
      <c r="AR31" s="466">
        <v>6.6194646918417144E-2</v>
      </c>
      <c r="AS31" s="466">
        <v>0.12021532312122017</v>
      </c>
      <c r="AT31" s="466">
        <v>5.2154967135292975E-2</v>
      </c>
      <c r="AU31" s="466">
        <v>1.3178805351752886E-2</v>
      </c>
      <c r="AV31" s="466">
        <v>1.4108453121111133E-2</v>
      </c>
      <c r="AW31" s="466">
        <v>2.1205986611954164E-2</v>
      </c>
      <c r="AX31" s="466">
        <v>7.1491504124769718E-3</v>
      </c>
      <c r="AY31" s="466">
        <v>3.4589279795612465E-2</v>
      </c>
      <c r="AZ31" s="466">
        <v>5.5365584468802055E-2</v>
      </c>
      <c r="BA31" s="466">
        <v>9.9766180708504015E-2</v>
      </c>
      <c r="BB31" s="466">
        <v>4.2243948847130071E-2</v>
      </c>
      <c r="BC31" s="464"/>
      <c r="BD31" s="466">
        <v>5.0264170771721614E-2</v>
      </c>
      <c r="BE31" s="466">
        <v>0.10740653561796541</v>
      </c>
      <c r="BF31" s="466">
        <v>0.17556161249877927</v>
      </c>
      <c r="BG31" s="466">
        <v>8.7381578449222119E-2</v>
      </c>
      <c r="BH31" s="466">
        <v>3.8236023399908683E-2</v>
      </c>
      <c r="BI31" s="466">
        <v>6.2884914572496287E-2</v>
      </c>
      <c r="BJ31" s="466">
        <v>0.11420455696515916</v>
      </c>
      <c r="BK31" s="466">
        <v>4.9547218778528322E-2</v>
      </c>
      <c r="BL31" s="466">
        <v>1.2519865084165241E-2</v>
      </c>
      <c r="BM31" s="466">
        <v>1.3403030465055575E-2</v>
      </c>
      <c r="BN31" s="466">
        <v>2.0145687281356454E-2</v>
      </c>
      <c r="BO31" s="466">
        <v>6.7916928918531228E-3</v>
      </c>
      <c r="BP31" s="466">
        <v>3.2859815805831839E-2</v>
      </c>
      <c r="BQ31" s="466">
        <v>5.259730524536195E-2</v>
      </c>
      <c r="BR31" s="466">
        <v>9.4777871673078815E-2</v>
      </c>
      <c r="BS31" s="466">
        <v>4.0131751404773562E-2</v>
      </c>
      <c r="BT31" s="458" t="s">
        <v>458</v>
      </c>
    </row>
    <row r="32" spans="2:72">
      <c r="B32" s="476" t="s">
        <v>740</v>
      </c>
      <c r="C32" s="476"/>
      <c r="D32" s="476"/>
      <c r="E32" s="476"/>
      <c r="F32" s="741">
        <f>SUM(F28:F30)</f>
        <v>1697.5803349999996</v>
      </c>
      <c r="G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467" t="str">
        <f>"*H_"&amp;"*"&amp;"SMF"&amp;"_"&amp;SETUP!B64</f>
        <v>*H_*SMF_X0</v>
      </c>
      <c r="AF32" s="467" t="str">
        <f>COMM!F23&amp;"_"&amp;SETUP!C64</f>
        <v>Solid Multi-Fuel_Existing 00</v>
      </c>
      <c r="AG32" s="467" t="s">
        <v>550</v>
      </c>
      <c r="AH32" s="467" t="s">
        <v>634</v>
      </c>
      <c r="AI32" s="467">
        <v>0.09</v>
      </c>
      <c r="AJ32" s="467"/>
      <c r="AK32" s="467"/>
      <c r="AL32" s="467"/>
      <c r="AM32" s="467">
        <v>5.2909653443917494E-2</v>
      </c>
      <c r="AN32" s="467">
        <v>0.1130595111768057</v>
      </c>
      <c r="AO32" s="467">
        <v>0.18480169736713609</v>
      </c>
      <c r="AP32" s="467">
        <v>9.1980608893918028E-2</v>
      </c>
      <c r="AQ32" s="467">
        <v>4.0248445684114405E-2</v>
      </c>
      <c r="AR32" s="467">
        <v>6.6194646918417144E-2</v>
      </c>
      <c r="AS32" s="467">
        <v>0.12021532312122017</v>
      </c>
      <c r="AT32" s="467">
        <v>5.2154967135292975E-2</v>
      </c>
      <c r="AU32" s="467">
        <v>1.3178805351752886E-2</v>
      </c>
      <c r="AV32" s="467">
        <v>1.4108453121111133E-2</v>
      </c>
      <c r="AW32" s="467">
        <v>2.1205986611954164E-2</v>
      </c>
      <c r="AX32" s="467">
        <v>7.1491504124769718E-3</v>
      </c>
      <c r="AY32" s="467">
        <v>3.4589279795612465E-2</v>
      </c>
      <c r="AZ32" s="467">
        <v>5.5365584468802055E-2</v>
      </c>
      <c r="BA32" s="467">
        <v>9.9766180708504015E-2</v>
      </c>
      <c r="BB32" s="467">
        <v>4.2243948847130071E-2</v>
      </c>
      <c r="BC32" s="464"/>
      <c r="BD32" s="467">
        <v>5.0264170771721614E-2</v>
      </c>
      <c r="BE32" s="467">
        <v>0.10740653561796541</v>
      </c>
      <c r="BF32" s="467">
        <v>0.17556161249877927</v>
      </c>
      <c r="BG32" s="467">
        <v>8.7381578449222119E-2</v>
      </c>
      <c r="BH32" s="467">
        <v>3.8236023399908683E-2</v>
      </c>
      <c r="BI32" s="467">
        <v>6.2884914572496287E-2</v>
      </c>
      <c r="BJ32" s="467">
        <v>0.11420455696515916</v>
      </c>
      <c r="BK32" s="467">
        <v>4.9547218778528322E-2</v>
      </c>
      <c r="BL32" s="467">
        <v>1.2519865084165241E-2</v>
      </c>
      <c r="BM32" s="467">
        <v>1.3403030465055575E-2</v>
      </c>
      <c r="BN32" s="467">
        <v>2.0145687281356454E-2</v>
      </c>
      <c r="BO32" s="467">
        <v>6.7916928918531228E-3</v>
      </c>
      <c r="BP32" s="467">
        <v>3.2859815805831839E-2</v>
      </c>
      <c r="BQ32" s="467">
        <v>5.259730524536195E-2</v>
      </c>
      <c r="BR32" s="467">
        <v>9.4777871673078815E-2</v>
      </c>
      <c r="BS32" s="467">
        <v>4.0131751404773562E-2</v>
      </c>
      <c r="BT32" s="458" t="s">
        <v>458</v>
      </c>
    </row>
    <row r="33" spans="3:72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466" t="str">
        <f>"*H_"&amp;"*"&amp;"SMF"&amp;"_"&amp;SETUP!B64</f>
        <v>*H_*SMF_X0</v>
      </c>
      <c r="AF33" s="466" t="str">
        <f>COMM!F23&amp;"_"&amp;SETUP!C64</f>
        <v>Solid Multi-Fuel_Existing 00</v>
      </c>
      <c r="AG33" s="466"/>
      <c r="AH33" s="466" t="s">
        <v>635</v>
      </c>
      <c r="AI33" s="466">
        <v>0.04</v>
      </c>
      <c r="AJ33" s="466"/>
      <c r="AK33" s="466"/>
      <c r="AL33" s="466"/>
      <c r="AM33" s="466">
        <v>5.2909653443917494E-2</v>
      </c>
      <c r="AN33" s="466">
        <v>0.1130595111768057</v>
      </c>
      <c r="AO33" s="466">
        <v>0.18480169736713609</v>
      </c>
      <c r="AP33" s="466">
        <v>9.1980608893918028E-2</v>
      </c>
      <c r="AQ33" s="466">
        <v>4.0248445684114405E-2</v>
      </c>
      <c r="AR33" s="466">
        <v>6.6194646918417144E-2</v>
      </c>
      <c r="AS33" s="466">
        <v>0.12021532312122017</v>
      </c>
      <c r="AT33" s="466">
        <v>5.2154967135292975E-2</v>
      </c>
      <c r="AU33" s="466">
        <v>1.3178805351752886E-2</v>
      </c>
      <c r="AV33" s="466">
        <v>1.4108453121111133E-2</v>
      </c>
      <c r="AW33" s="466">
        <v>2.1205986611954164E-2</v>
      </c>
      <c r="AX33" s="466">
        <v>7.1491504124769718E-3</v>
      </c>
      <c r="AY33" s="466">
        <v>3.4589279795612465E-2</v>
      </c>
      <c r="AZ33" s="466">
        <v>5.5365584468802055E-2</v>
      </c>
      <c r="BA33" s="466">
        <v>9.9766180708504015E-2</v>
      </c>
      <c r="BB33" s="466">
        <v>4.2243948847130071E-2</v>
      </c>
      <c r="BC33" s="464"/>
      <c r="BD33" s="466">
        <v>5.0264170771721614E-2</v>
      </c>
      <c r="BE33" s="466">
        <v>0.10740653561796541</v>
      </c>
      <c r="BF33" s="466">
        <v>0.17556161249877927</v>
      </c>
      <c r="BG33" s="466">
        <v>8.7381578449222119E-2</v>
      </c>
      <c r="BH33" s="466">
        <v>3.8236023399908683E-2</v>
      </c>
      <c r="BI33" s="466">
        <v>6.2884914572496287E-2</v>
      </c>
      <c r="BJ33" s="466">
        <v>0.11420455696515916</v>
      </c>
      <c r="BK33" s="466">
        <v>4.9547218778528322E-2</v>
      </c>
      <c r="BL33" s="466">
        <v>1.2519865084165241E-2</v>
      </c>
      <c r="BM33" s="466">
        <v>1.3403030465055575E-2</v>
      </c>
      <c r="BN33" s="466">
        <v>2.0145687281356454E-2</v>
      </c>
      <c r="BO33" s="466">
        <v>6.7916928918531228E-3</v>
      </c>
      <c r="BP33" s="466">
        <v>3.2859815805831839E-2</v>
      </c>
      <c r="BQ33" s="466">
        <v>5.259730524536195E-2</v>
      </c>
      <c r="BR33" s="466">
        <v>9.4777871673078815E-2</v>
      </c>
      <c r="BS33" s="466">
        <v>4.0131751404773562E-2</v>
      </c>
      <c r="BT33" s="458" t="s">
        <v>458</v>
      </c>
    </row>
    <row r="34" spans="3:72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467" t="str">
        <f>"*H_"&amp;"*"&amp;"SMF"&amp;"_"&amp;SETUP!B64</f>
        <v>*H_*SMF_X0</v>
      </c>
      <c r="AF34" s="467" t="str">
        <f>COMM!F23&amp;"_"&amp;SETUP!C64</f>
        <v>Solid Multi-Fuel_Existing 00</v>
      </c>
      <c r="AG34" s="467"/>
      <c r="AH34" s="467" t="s">
        <v>637</v>
      </c>
      <c r="AI34" s="467">
        <v>0.02</v>
      </c>
      <c r="AJ34" s="467"/>
      <c r="AK34" s="467"/>
      <c r="AL34" s="467"/>
      <c r="AM34" s="467">
        <v>5.2909653443917494E-2</v>
      </c>
      <c r="AN34" s="467">
        <v>0.1130595111768057</v>
      </c>
      <c r="AO34" s="467">
        <v>0.18480169736713609</v>
      </c>
      <c r="AP34" s="467">
        <v>9.1980608893918028E-2</v>
      </c>
      <c r="AQ34" s="467">
        <v>4.0248445684114405E-2</v>
      </c>
      <c r="AR34" s="467">
        <v>6.6194646918417144E-2</v>
      </c>
      <c r="AS34" s="467">
        <v>0.12021532312122017</v>
      </c>
      <c r="AT34" s="467">
        <v>5.2154967135292975E-2</v>
      </c>
      <c r="AU34" s="467">
        <v>1.3178805351752886E-2</v>
      </c>
      <c r="AV34" s="467">
        <v>1.4108453121111133E-2</v>
      </c>
      <c r="AW34" s="467">
        <v>2.1205986611954164E-2</v>
      </c>
      <c r="AX34" s="467">
        <v>7.1491504124769718E-3</v>
      </c>
      <c r="AY34" s="467">
        <v>3.4589279795612465E-2</v>
      </c>
      <c r="AZ34" s="467">
        <v>5.5365584468802055E-2</v>
      </c>
      <c r="BA34" s="467">
        <v>9.9766180708504015E-2</v>
      </c>
      <c r="BB34" s="467">
        <v>4.2243948847130071E-2</v>
      </c>
      <c r="BC34" s="464"/>
      <c r="BD34" s="467">
        <v>5.0264170771721614E-2</v>
      </c>
      <c r="BE34" s="467">
        <v>0.10740653561796541</v>
      </c>
      <c r="BF34" s="467">
        <v>0.17556161249877927</v>
      </c>
      <c r="BG34" s="467">
        <v>8.7381578449222119E-2</v>
      </c>
      <c r="BH34" s="467">
        <v>3.8236023399908683E-2</v>
      </c>
      <c r="BI34" s="467">
        <v>6.2884914572496287E-2</v>
      </c>
      <c r="BJ34" s="467">
        <v>0.11420455696515916</v>
      </c>
      <c r="BK34" s="467">
        <v>4.9547218778528322E-2</v>
      </c>
      <c r="BL34" s="467">
        <v>1.2519865084165241E-2</v>
      </c>
      <c r="BM34" s="467">
        <v>1.3403030465055575E-2</v>
      </c>
      <c r="BN34" s="467">
        <v>2.0145687281356454E-2</v>
      </c>
      <c r="BO34" s="467">
        <v>6.7916928918531228E-3</v>
      </c>
      <c r="BP34" s="467">
        <v>3.2859815805831839E-2</v>
      </c>
      <c r="BQ34" s="467">
        <v>5.259730524536195E-2</v>
      </c>
      <c r="BR34" s="467">
        <v>9.4777871673078815E-2</v>
      </c>
      <c r="BS34" s="467">
        <v>4.0131751404773562E-2</v>
      </c>
      <c r="BT34" s="458" t="s">
        <v>458</v>
      </c>
    </row>
    <row r="35" spans="3:72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466" t="str">
        <f>"*H_"&amp;"*"&amp;"SMF"&amp;"_"&amp;SETUP!B64</f>
        <v>*H_*SMF_X0</v>
      </c>
      <c r="AF35" s="466" t="str">
        <f>COMM!F23&amp;"_"&amp;SETUP!C64</f>
        <v>Solid Multi-Fuel_Existing 00</v>
      </c>
      <c r="AG35" s="466"/>
      <c r="AH35" s="466" t="s">
        <v>460</v>
      </c>
      <c r="AI35" s="466">
        <v>0.75</v>
      </c>
      <c r="AJ35" s="466"/>
      <c r="AK35" s="466"/>
      <c r="AL35" s="466"/>
      <c r="AM35" s="466">
        <v>5.2909653443917494E-2</v>
      </c>
      <c r="AN35" s="466">
        <v>0.1130595111768057</v>
      </c>
      <c r="AO35" s="466">
        <v>0.18480169736713609</v>
      </c>
      <c r="AP35" s="466">
        <v>9.1980608893918028E-2</v>
      </c>
      <c r="AQ35" s="466">
        <v>4.0248445684114405E-2</v>
      </c>
      <c r="AR35" s="466">
        <v>6.6194646918417144E-2</v>
      </c>
      <c r="AS35" s="466">
        <v>0.12021532312122017</v>
      </c>
      <c r="AT35" s="466">
        <v>5.2154967135292975E-2</v>
      </c>
      <c r="AU35" s="466">
        <v>1.3178805351752886E-2</v>
      </c>
      <c r="AV35" s="466">
        <v>1.4108453121111133E-2</v>
      </c>
      <c r="AW35" s="466">
        <v>2.1205986611954164E-2</v>
      </c>
      <c r="AX35" s="466">
        <v>7.1491504124769718E-3</v>
      </c>
      <c r="AY35" s="466">
        <v>3.4589279795612465E-2</v>
      </c>
      <c r="AZ35" s="466">
        <v>5.5365584468802055E-2</v>
      </c>
      <c r="BA35" s="466">
        <v>9.9766180708504015E-2</v>
      </c>
      <c r="BB35" s="466">
        <v>4.2243948847130071E-2</v>
      </c>
      <c r="BC35" s="464"/>
      <c r="BD35" s="466">
        <v>5.0264170771721614E-2</v>
      </c>
      <c r="BE35" s="466">
        <v>0.10740653561796541</v>
      </c>
      <c r="BF35" s="466">
        <v>0.17556161249877927</v>
      </c>
      <c r="BG35" s="466">
        <v>8.7381578449222119E-2</v>
      </c>
      <c r="BH35" s="466">
        <v>3.8236023399908683E-2</v>
      </c>
      <c r="BI35" s="466">
        <v>6.2884914572496287E-2</v>
      </c>
      <c r="BJ35" s="466">
        <v>0.11420455696515916</v>
      </c>
      <c r="BK35" s="466">
        <v>4.9547218778528322E-2</v>
      </c>
      <c r="BL35" s="466">
        <v>1.2519865084165241E-2</v>
      </c>
      <c r="BM35" s="466">
        <v>1.3403030465055575E-2</v>
      </c>
      <c r="BN35" s="466">
        <v>2.0145687281356454E-2</v>
      </c>
      <c r="BO35" s="466">
        <v>6.7916928918531228E-3</v>
      </c>
      <c r="BP35" s="466">
        <v>3.2859815805831839E-2</v>
      </c>
      <c r="BQ35" s="466">
        <v>5.259730524536195E-2</v>
      </c>
      <c r="BR35" s="466">
        <v>9.4777871673078815E-2</v>
      </c>
      <c r="BS35" s="466">
        <v>4.0131751404773562E-2</v>
      </c>
      <c r="BT35" s="458" t="s">
        <v>458</v>
      </c>
    </row>
    <row r="36" spans="3:7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467" t="str">
        <f>"*H_"&amp;"*"&amp;"SMF"&amp;"_"&amp;SETUP!B64</f>
        <v>*H_*SMF_X0</v>
      </c>
      <c r="AF36" s="467" t="str">
        <f>COMM!F23&amp;"_"&amp;SETUP!C64</f>
        <v>Solid Multi-Fuel_Existing 00</v>
      </c>
      <c r="AG36" s="467"/>
      <c r="AH36" s="467" t="s">
        <v>646</v>
      </c>
      <c r="AI36" s="467">
        <v>0.1</v>
      </c>
      <c r="AJ36" s="467"/>
      <c r="AK36" s="467"/>
      <c r="AL36" s="467"/>
      <c r="AM36" s="467">
        <v>5.2909653443917494E-2</v>
      </c>
      <c r="AN36" s="467">
        <v>0.1130595111768057</v>
      </c>
      <c r="AO36" s="467">
        <v>0.18480169736713609</v>
      </c>
      <c r="AP36" s="467">
        <v>9.1980608893918028E-2</v>
      </c>
      <c r="AQ36" s="467">
        <v>4.0248445684114405E-2</v>
      </c>
      <c r="AR36" s="467">
        <v>6.6194646918417144E-2</v>
      </c>
      <c r="AS36" s="467">
        <v>0.12021532312122017</v>
      </c>
      <c r="AT36" s="467">
        <v>5.2154967135292975E-2</v>
      </c>
      <c r="AU36" s="467">
        <v>1.3178805351752886E-2</v>
      </c>
      <c r="AV36" s="467">
        <v>1.4108453121111133E-2</v>
      </c>
      <c r="AW36" s="467">
        <v>2.1205986611954164E-2</v>
      </c>
      <c r="AX36" s="467">
        <v>7.1491504124769718E-3</v>
      </c>
      <c r="AY36" s="467">
        <v>3.4589279795612465E-2</v>
      </c>
      <c r="AZ36" s="467">
        <v>5.5365584468802055E-2</v>
      </c>
      <c r="BA36" s="467">
        <v>9.9766180708504015E-2</v>
      </c>
      <c r="BB36" s="467">
        <v>4.2243948847130071E-2</v>
      </c>
      <c r="BC36" s="464"/>
      <c r="BD36" s="467">
        <v>5.0264170771721614E-2</v>
      </c>
      <c r="BE36" s="467">
        <v>0.10740653561796541</v>
      </c>
      <c r="BF36" s="467">
        <v>0.17556161249877927</v>
      </c>
      <c r="BG36" s="467">
        <v>8.7381578449222119E-2</v>
      </c>
      <c r="BH36" s="467">
        <v>3.8236023399908683E-2</v>
      </c>
      <c r="BI36" s="467">
        <v>6.2884914572496287E-2</v>
      </c>
      <c r="BJ36" s="467">
        <v>0.11420455696515916</v>
      </c>
      <c r="BK36" s="467">
        <v>4.9547218778528322E-2</v>
      </c>
      <c r="BL36" s="467">
        <v>1.2519865084165241E-2</v>
      </c>
      <c r="BM36" s="467">
        <v>1.3403030465055575E-2</v>
      </c>
      <c r="BN36" s="467">
        <v>2.0145687281356454E-2</v>
      </c>
      <c r="BO36" s="467">
        <v>6.7916928918531228E-3</v>
      </c>
      <c r="BP36" s="467">
        <v>3.2859815805831839E-2</v>
      </c>
      <c r="BQ36" s="467">
        <v>5.259730524536195E-2</v>
      </c>
      <c r="BR36" s="467">
        <v>9.4777871673078815E-2</v>
      </c>
      <c r="BS36" s="467">
        <v>4.0131751404773562E-2</v>
      </c>
      <c r="BT36" s="458" t="s">
        <v>458</v>
      </c>
    </row>
    <row r="37" spans="3:72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466" t="str">
        <f>"*H_"&amp;"*"&amp;RIGHT(AH37,LEN(AH37)-3)&amp;"_"&amp;SETUP!B64</f>
        <v>*H_*ELC_X0</v>
      </c>
      <c r="AF37" s="466" t="str">
        <f>COMM!F24&amp;"_"&amp;SETUP!C64</f>
        <v>Electricity to Residential_Existing 00</v>
      </c>
      <c r="AG37" s="466" t="str">
        <f>RSD_Balance!A26</f>
        <v>ELC</v>
      </c>
      <c r="AH37" s="466" t="s">
        <v>459</v>
      </c>
      <c r="AI37" s="466">
        <v>1</v>
      </c>
      <c r="AJ37" s="466"/>
      <c r="AK37" s="466"/>
      <c r="AL37" s="466"/>
      <c r="AM37" s="466">
        <v>5.2909653443917494E-2</v>
      </c>
      <c r="AN37" s="466">
        <v>0.1130595111768057</v>
      </c>
      <c r="AO37" s="466">
        <v>0.18480169736713609</v>
      </c>
      <c r="AP37" s="466">
        <v>9.1980608893918028E-2</v>
      </c>
      <c r="AQ37" s="466">
        <v>4.0248445684114405E-2</v>
      </c>
      <c r="AR37" s="466">
        <v>6.6194646918417144E-2</v>
      </c>
      <c r="AS37" s="466">
        <v>0.12021532312122017</v>
      </c>
      <c r="AT37" s="466">
        <v>5.2154967135292975E-2</v>
      </c>
      <c r="AU37" s="466">
        <v>1.3178805351752886E-2</v>
      </c>
      <c r="AV37" s="466">
        <v>1.4108453121111133E-2</v>
      </c>
      <c r="AW37" s="466">
        <v>2.1205986611954164E-2</v>
      </c>
      <c r="AX37" s="466">
        <v>7.1491504124769718E-3</v>
      </c>
      <c r="AY37" s="466">
        <v>3.4589279795612465E-2</v>
      </c>
      <c r="AZ37" s="466">
        <v>5.5365584468802055E-2</v>
      </c>
      <c r="BA37" s="466">
        <v>9.9766180708504015E-2</v>
      </c>
      <c r="BB37" s="466">
        <v>4.2243948847130071E-2</v>
      </c>
      <c r="BC37" s="464"/>
      <c r="BD37" s="466">
        <v>5.0264170771721614E-2</v>
      </c>
      <c r="BE37" s="466">
        <v>0.10740653561796541</v>
      </c>
      <c r="BF37" s="466">
        <v>0.17556161249877927</v>
      </c>
      <c r="BG37" s="466">
        <v>8.7381578449222119E-2</v>
      </c>
      <c r="BH37" s="466">
        <v>3.8236023399908683E-2</v>
      </c>
      <c r="BI37" s="466">
        <v>6.2884914572496287E-2</v>
      </c>
      <c r="BJ37" s="466">
        <v>0.11420455696515916</v>
      </c>
      <c r="BK37" s="466">
        <v>4.9547218778528322E-2</v>
      </c>
      <c r="BL37" s="466">
        <v>1.2519865084165241E-2</v>
      </c>
      <c r="BM37" s="466">
        <v>1.3403030465055575E-2</v>
      </c>
      <c r="BN37" s="466">
        <v>2.0145687281356454E-2</v>
      </c>
      <c r="BO37" s="466">
        <v>6.7916928918531228E-3</v>
      </c>
      <c r="BP37" s="466">
        <v>3.2859815805831839E-2</v>
      </c>
      <c r="BQ37" s="466">
        <v>5.259730524536195E-2</v>
      </c>
      <c r="BR37" s="466">
        <v>9.4777871673078815E-2</v>
      </c>
      <c r="BS37" s="466">
        <v>4.0131751404773562E-2</v>
      </c>
      <c r="BT37" s="458" t="s">
        <v>458</v>
      </c>
    </row>
    <row r="38" spans="3:72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467" t="str">
        <f>"*H_"&amp;"*"&amp;RIGHT(AH38,LEN(AH38)-3)&amp;"_"&amp;SETUP!B64</f>
        <v>*H_*HET_X0</v>
      </c>
      <c r="AF38" s="467" t="str">
        <f>COMM!F25&amp;"_"&amp;SETUP!C64</f>
        <v>Heat to Residential_Existing 00</v>
      </c>
      <c r="AG38" s="467" t="str">
        <f>RSD_Balance!A27</f>
        <v>HET</v>
      </c>
      <c r="AH38" s="467" t="s">
        <v>456</v>
      </c>
      <c r="AI38" s="467">
        <v>1</v>
      </c>
      <c r="AJ38" s="467"/>
      <c r="AK38" s="467"/>
      <c r="AL38" s="467"/>
      <c r="AM38" s="467">
        <v>5.2909653443917494E-2</v>
      </c>
      <c r="AN38" s="467">
        <v>0.1130595111768057</v>
      </c>
      <c r="AO38" s="467">
        <v>0.18480169736713609</v>
      </c>
      <c r="AP38" s="467">
        <v>9.1980608893918028E-2</v>
      </c>
      <c r="AQ38" s="467">
        <v>4.0248445684114405E-2</v>
      </c>
      <c r="AR38" s="467">
        <v>6.6194646918417144E-2</v>
      </c>
      <c r="AS38" s="467">
        <v>0.12021532312122017</v>
      </c>
      <c r="AT38" s="467">
        <v>5.2154967135292975E-2</v>
      </c>
      <c r="AU38" s="467">
        <v>1.3178805351752886E-2</v>
      </c>
      <c r="AV38" s="467">
        <v>1.4108453121111133E-2</v>
      </c>
      <c r="AW38" s="467">
        <v>2.1205986611954164E-2</v>
      </c>
      <c r="AX38" s="467">
        <v>7.1491504124769718E-3</v>
      </c>
      <c r="AY38" s="467">
        <v>3.4589279795612465E-2</v>
      </c>
      <c r="AZ38" s="467">
        <v>5.5365584468802055E-2</v>
      </c>
      <c r="BA38" s="467">
        <v>9.9766180708504015E-2</v>
      </c>
      <c r="BB38" s="467">
        <v>4.2243948847130071E-2</v>
      </c>
      <c r="BC38" s="465"/>
      <c r="BD38" s="467">
        <v>5.0264170771721614E-2</v>
      </c>
      <c r="BE38" s="467">
        <v>0.10740653561796541</v>
      </c>
      <c r="BF38" s="467">
        <v>0.17556161249877927</v>
      </c>
      <c r="BG38" s="467">
        <v>8.7381578449222119E-2</v>
      </c>
      <c r="BH38" s="467">
        <v>3.8236023399908683E-2</v>
      </c>
      <c r="BI38" s="467">
        <v>6.2884914572496287E-2</v>
      </c>
      <c r="BJ38" s="467">
        <v>0.11420455696515916</v>
      </c>
      <c r="BK38" s="467">
        <v>4.9547218778528322E-2</v>
      </c>
      <c r="BL38" s="467">
        <v>1.2519865084165241E-2</v>
      </c>
      <c r="BM38" s="467">
        <v>1.3403030465055575E-2</v>
      </c>
      <c r="BN38" s="467">
        <v>2.0145687281356454E-2</v>
      </c>
      <c r="BO38" s="467">
        <v>6.7916928918531228E-3</v>
      </c>
      <c r="BP38" s="467">
        <v>3.2859815805831839E-2</v>
      </c>
      <c r="BQ38" s="467">
        <v>5.259730524536195E-2</v>
      </c>
      <c r="BR38" s="467">
        <v>9.4777871673078815E-2</v>
      </c>
      <c r="BS38" s="467">
        <v>4.0131751404773562E-2</v>
      </c>
      <c r="BT38" s="458" t="s">
        <v>458</v>
      </c>
    </row>
    <row r="39" spans="3:72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3:72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2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2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2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2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2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2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2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G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V113"/>
  <sheetViews>
    <sheetView zoomScaleNormal="100" workbookViewId="0">
      <selection activeCell="I12" sqref="I12"/>
    </sheetView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9.28515625" bestFit="1" customWidth="1"/>
    <col min="15" max="16" width="22.85546875" bestFit="1" customWidth="1"/>
    <col min="17" max="17" width="21.140625" customWidth="1"/>
    <col min="18" max="18" width="45.85546875" customWidth="1"/>
    <col min="19" max="19" width="10" style="290" bestFit="1" customWidth="1"/>
    <col min="20" max="20" width="18.7109375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2" s="290" customFormat="1"/>
    <row r="2" spans="2:22" ht="21">
      <c r="B2" s="70" t="s">
        <v>811</v>
      </c>
      <c r="C2" s="70"/>
      <c r="D2" s="70"/>
      <c r="E2" s="70"/>
      <c r="F2" s="74" t="s">
        <v>939</v>
      </c>
      <c r="G2" s="694"/>
      <c r="H2" s="694"/>
      <c r="I2" s="694"/>
      <c r="J2" s="694"/>
      <c r="K2" s="694"/>
      <c r="L2" s="694"/>
      <c r="M2" s="694"/>
      <c r="N2" s="47"/>
      <c r="O2" s="34" t="s">
        <v>938</v>
      </c>
      <c r="P2" s="34"/>
      <c r="Q2" s="34"/>
      <c r="R2" s="34"/>
      <c r="S2" s="34"/>
      <c r="T2" s="34"/>
      <c r="U2" s="34"/>
      <c r="V2" s="34"/>
    </row>
    <row r="3" spans="2:22" ht="15">
      <c r="B3" s="36" t="s">
        <v>935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795</v>
      </c>
      <c r="J3" s="44" t="s">
        <v>276</v>
      </c>
      <c r="K3" s="44" t="s">
        <v>277</v>
      </c>
      <c r="L3" s="44" t="s">
        <v>794</v>
      </c>
      <c r="M3" s="48" t="s">
        <v>793</v>
      </c>
      <c r="O3" s="36" t="s">
        <v>268</v>
      </c>
      <c r="P3" s="36" t="s">
        <v>935</v>
      </c>
      <c r="Q3" s="36" t="s">
        <v>262</v>
      </c>
      <c r="R3" s="36" t="s">
        <v>263</v>
      </c>
      <c r="S3" s="36" t="s">
        <v>269</v>
      </c>
      <c r="T3" s="36" t="s">
        <v>270</v>
      </c>
      <c r="U3" s="36" t="s">
        <v>271</v>
      </c>
      <c r="V3" s="36" t="s">
        <v>272</v>
      </c>
    </row>
    <row r="4" spans="2:22" ht="26.25" thickBot="1">
      <c r="B4" s="37" t="s">
        <v>948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45"/>
      <c r="K4" s="45"/>
      <c r="L4" s="45" t="s">
        <v>16</v>
      </c>
      <c r="M4" s="268" t="s">
        <v>16</v>
      </c>
      <c r="O4" s="38" t="s">
        <v>261</v>
      </c>
      <c r="P4" s="38"/>
      <c r="Q4" s="38"/>
      <c r="R4" s="37"/>
      <c r="S4" s="38"/>
      <c r="T4" s="38"/>
      <c r="U4" s="38"/>
      <c r="V4" s="38"/>
    </row>
    <row r="5" spans="2:22" ht="14.25">
      <c r="B5" s="1022" t="str">
        <f>_xlfn.TEXTJOIN(",",TRUE,IF(LEFT(Regions!$C$3,1)&lt;&gt;"*",Regions!$C$3,""),IF(LEFT(Regions!$D$3,1)&lt;&gt;"*",Regions!$D$3,""))</f>
        <v>IE,National</v>
      </c>
      <c r="C5" s="723" t="str">
        <f>Q5</f>
        <v>R-RSDRF_X0</v>
      </c>
      <c r="D5" s="723" t="str">
        <f>R5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5">
        <f>L5/G5/K5</f>
        <v>6.6527999999999997E-4</v>
      </c>
      <c r="J5" s="724">
        <v>10</v>
      </c>
      <c r="K5" s="726">
        <v>1</v>
      </c>
      <c r="L5" s="727">
        <f t="shared" ref="L5:L13" si="0">M5*H5</f>
        <v>1.1293662452687998</v>
      </c>
      <c r="M5" s="728">
        <f>RSD_Balance!S29</f>
        <v>1.4117078065859998</v>
      </c>
      <c r="N5" s="556"/>
      <c r="O5" s="496" t="s">
        <v>273</v>
      </c>
      <c r="P5" s="360" t="str">
        <f>_xlfn.TEXTJOIN(",",TRUE,IF(LEFT(Regions!$C$3,1)&lt;&gt;"*",Regions!$C$3,""),IF(LEFT(Regions!$D$3,1)&lt;&gt;"*",Regions!$D$3,""))</f>
        <v>IE,National</v>
      </c>
      <c r="Q5" s="496" t="str">
        <f>_xlfn.TEXTJOIN("",TRUE,,LEFT(SETUP!B$3,1),"-",COMM!E32,"_",SETUP!$B$64)</f>
        <v>R-RSDRF_X0</v>
      </c>
      <c r="R5" s="496" t="str">
        <f>_xlfn.TEXTJOIN(" ",TRUE,COMM!F32,"Technology")</f>
        <v>Residential Refrigeration Demand Technology</v>
      </c>
      <c r="S5" s="360" t="s">
        <v>16</v>
      </c>
      <c r="T5" s="360" t="s">
        <v>282</v>
      </c>
      <c r="U5" s="360"/>
      <c r="V5" s="360"/>
    </row>
    <row r="6" spans="2:22">
      <c r="B6" s="1023" t="str">
        <f>_xlfn.TEXTJOIN(",",TRUE,IF(LEFT(Regions!$C$3,1)&lt;&gt;"*",Regions!$C$3,""),IF(LEFT(Regions!$D$3,1)&lt;&gt;"*",Regions!$D$3,""))</f>
        <v>IE,National</v>
      </c>
      <c r="C6" s="729" t="str">
        <f>Q6</f>
        <v>R-RSDCK_ELC_X0</v>
      </c>
      <c r="D6" s="730" t="str">
        <f>R6</f>
        <v>Residential Cooking Demand Electrical Technology</v>
      </c>
      <c r="E6" s="730" t="str">
        <f>COMM!E24</f>
        <v>RSDELC</v>
      </c>
      <c r="F6" s="729" t="str">
        <f>COMM!$E$33</f>
        <v>RSDCK</v>
      </c>
      <c r="G6" s="735">
        <f>DwellingStocks!$L$38/1000*Q20</f>
        <v>1288.2597646247998</v>
      </c>
      <c r="H6" s="730">
        <v>0.74</v>
      </c>
      <c r="I6" s="731">
        <f>(SUM(L6))/G6/K6</f>
        <v>1.1785536452629222E-3</v>
      </c>
      <c r="J6" s="730">
        <v>15</v>
      </c>
      <c r="K6" s="730">
        <v>1</v>
      </c>
      <c r="L6" s="729">
        <f>M6*H6</f>
        <v>1.5182832416441119</v>
      </c>
      <c r="M6" s="732">
        <f>RSD_Balance!R26</f>
        <v>2.051734110329881</v>
      </c>
      <c r="O6" s="499" t="s">
        <v>273</v>
      </c>
      <c r="P6" s="622" t="str">
        <f>_xlfn.TEXTJOIN(",",TRUE,IF(LEFT(Regions!$C$3,1)&lt;&gt;"*",Regions!$C$3,""),IF(LEFT(Regions!$D$3,1)&lt;&gt;"*",Regions!$D$3,""))</f>
        <v>IE,National</v>
      </c>
      <c r="Q6" s="622" t="str">
        <f>_xlfn.TEXTJOIN("",TRUE,,LEFT(SETUP!B$3,1),"-",COMM!E33,"_",RSD_Balance!A26,"_",SETUP!$B$64)</f>
        <v>R-RSDCK_ELC_X0</v>
      </c>
      <c r="R6" s="622" t="str">
        <f>_xlfn.TEXTJOIN(" ",TRUE,COMM!F33,"Electrical Technology")</f>
        <v>Residential Cooking Demand Electrical Technology</v>
      </c>
      <c r="S6" s="623" t="s">
        <v>16</v>
      </c>
      <c r="T6" s="622" t="s">
        <v>282</v>
      </c>
      <c r="U6" s="623"/>
      <c r="V6" s="622"/>
    </row>
    <row r="7" spans="2:22" ht="14.25">
      <c r="B7" s="1022" t="str">
        <f>_xlfn.TEXTJOIN(",",TRUE,IF(LEFT(Regions!$C$3,1)&lt;&gt;"*",Regions!$C$3,""),IF(LEFT(Regions!$D$3,1)&lt;&gt;"*",Regions!$D$3,""))</f>
        <v>IE,National</v>
      </c>
      <c r="C7" s="723" t="str">
        <f t="shared" ref="C7:C8" si="1">Q7</f>
        <v>R-RSDCK_GAS_X0</v>
      </c>
      <c r="D7" s="723" t="str">
        <f t="shared" ref="D7:D8" si="2">R7</f>
        <v>Residential Cooking Demand Gas Technology</v>
      </c>
      <c r="E7" s="723" t="str">
        <f>COMM!E14</f>
        <v>RSDGAS</v>
      </c>
      <c r="F7" s="723" t="str">
        <f>COMM!$E$33</f>
        <v>RSDCK</v>
      </c>
      <c r="G7" s="734">
        <f>DwellingStocks!$L$38/1000*Q21</f>
        <v>386.53394953849494</v>
      </c>
      <c r="H7" s="723">
        <v>0.68</v>
      </c>
      <c r="I7" s="725">
        <f>(SUM(L7))/G7/K7</f>
        <v>1.1785554053782487E-3</v>
      </c>
      <c r="J7" s="724">
        <v>15</v>
      </c>
      <c r="K7" s="726">
        <v>1</v>
      </c>
      <c r="L7" s="727">
        <f>M7*H7</f>
        <v>0.45555167559079646</v>
      </c>
      <c r="M7" s="728">
        <f>RSD_Balance!R17</f>
        <v>0.66992893469234771</v>
      </c>
      <c r="O7" s="496" t="s">
        <v>273</v>
      </c>
      <c r="P7" s="360" t="str">
        <f>_xlfn.TEXTJOIN(",",TRUE,IF(LEFT(Regions!$C$3,1)&lt;&gt;"*",Regions!$C$3,""),IF(LEFT(Regions!$D$3,1)&lt;&gt;"*",Regions!$D$3,""))</f>
        <v>IE,National</v>
      </c>
      <c r="Q7" s="496" t="str">
        <f>_xlfn.TEXTJOIN("",TRUE,,LEFT(SETUP!B$3,1),"-",COMM!E33,"_",RSD_Balance!A17,"_",SETUP!$B$64)</f>
        <v>R-RSDCK_GAS_X0</v>
      </c>
      <c r="R7" s="496" t="str">
        <f>_xlfn.TEXTJOIN(" ",TRUE,COMM!F33,"Gas Technology")</f>
        <v>Residential Cooking Demand Gas Technology</v>
      </c>
      <c r="S7" s="360" t="s">
        <v>16</v>
      </c>
      <c r="T7" s="360" t="s">
        <v>282</v>
      </c>
      <c r="U7" s="360"/>
      <c r="V7" s="360"/>
    </row>
    <row r="8" spans="2:22" s="290" customFormat="1">
      <c r="B8" s="1023" t="str">
        <f>_xlfn.TEXTJOIN(",",TRUE,IF(LEFT(Regions!$C$3,1)&lt;&gt;"*",Regions!$C$3,""),IF(LEFT(Regions!$D$3,1)&lt;&gt;"*",Regions!$D$3,""))</f>
        <v>IE,National</v>
      </c>
      <c r="C8" s="729" t="str">
        <f t="shared" si="1"/>
        <v>R-RSDCK_LPG_X0</v>
      </c>
      <c r="D8" s="730" t="str">
        <f t="shared" si="2"/>
        <v>Residential Cooking Demand LPG Technology</v>
      </c>
      <c r="E8" s="730" t="str">
        <f>COMM!E8</f>
        <v>RSDLPG</v>
      </c>
      <c r="F8" s="729" t="str">
        <f>COMM!$E$33</f>
        <v>RSDCK</v>
      </c>
      <c r="G8" s="735">
        <f>DwellingStocks!$L$38/1000*Q22</f>
        <v>22.786262647254308</v>
      </c>
      <c r="H8" s="730">
        <v>0.68</v>
      </c>
      <c r="I8" s="731">
        <f t="shared" ref="I8" si="3">(SUM(L8))/G8/K8</f>
        <v>1.1785537949259141E-3</v>
      </c>
      <c r="J8" s="730">
        <v>15</v>
      </c>
      <c r="K8" s="730">
        <v>1</v>
      </c>
      <c r="L8" s="729">
        <f>M8*H8</f>
        <v>2.6854836315100172E-2</v>
      </c>
      <c r="M8" s="732">
        <f>RSD_Balance!R11</f>
        <v>3.9492406345735545E-2</v>
      </c>
      <c r="O8" s="499" t="s">
        <v>273</v>
      </c>
      <c r="P8" s="622" t="str">
        <f>_xlfn.TEXTJOIN(",",TRUE,IF(LEFT(Regions!$C$3,1)&lt;&gt;"*",Regions!$C$3,""),IF(LEFT(Regions!$D$3,1)&lt;&gt;"*",Regions!$D$3,""))</f>
        <v>IE,National</v>
      </c>
      <c r="Q8" s="622" t="str">
        <f>_xlfn.TEXTJOIN("",TRUE,,LEFT(SETUP!B$3,1),"-",COMM!E33,"_",RSD_Balance!A11,"_",SETUP!$B$64)</f>
        <v>R-RSDCK_LPG_X0</v>
      </c>
      <c r="R8" s="622" t="str">
        <f>_xlfn.TEXTJOIN(" ",TRUE,COMM!F33,"LPG Technology")</f>
        <v>Residential Cooking Demand LPG Technology</v>
      </c>
      <c r="S8" s="623" t="s">
        <v>16</v>
      </c>
      <c r="T8" s="622" t="s">
        <v>282</v>
      </c>
      <c r="U8" s="623"/>
      <c r="V8" s="622"/>
    </row>
    <row r="9" spans="2:22" s="290" customFormat="1" ht="14.25">
      <c r="B9" s="1022" t="str">
        <f>_xlfn.TEXTJOIN(",",TRUE,IF(LEFT(Regions!$C$3,1)&lt;&gt;"*",Regions!$C$3,""),IF(LEFT(Regions!$D$3,1)&lt;&gt;"*",Regions!$D$3,""))</f>
        <v>IE,National</v>
      </c>
      <c r="C9" s="723" t="str">
        <f t="shared" ref="C9:D13" si="4">Q9</f>
        <v>R-RSDCW_X0</v>
      </c>
      <c r="D9" s="723" t="str">
        <f t="shared" si="4"/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5">
        <f>L9/G9/K9</f>
        <v>4.662E-4</v>
      </c>
      <c r="J9" s="724">
        <v>10</v>
      </c>
      <c r="K9" s="726">
        <v>1</v>
      </c>
      <c r="L9" s="727">
        <f t="shared" si="0"/>
        <v>0.77162665337257486</v>
      </c>
      <c r="M9" s="728">
        <f>RSD_Balance!T29</f>
        <v>1.1023237905322498</v>
      </c>
      <c r="O9" s="496" t="s">
        <v>273</v>
      </c>
      <c r="P9" s="360" t="str">
        <f>_xlfn.TEXTJOIN(",",TRUE,IF(LEFT(Regions!$C$3,1)&lt;&gt;"*",Regions!$C$3,""),IF(LEFT(Regions!$D$3,1)&lt;&gt;"*",Regions!$D$3,""))</f>
        <v>IE,National</v>
      </c>
      <c r="Q9" s="496" t="str">
        <f>_xlfn.TEXTJOIN("",TRUE,,LEFT(SETUP!B$3,1),"-",COMM!E34,"_",SETUP!$B$64)</f>
        <v>R-RSDCW_X0</v>
      </c>
      <c r="R9" s="496" t="str">
        <f>_xlfn.TEXTJOIN(" ",TRUE,COMM!F34,"Technology")</f>
        <v>Residential Cloth Washing Demand Technology</v>
      </c>
      <c r="S9" s="360" t="s">
        <v>16</v>
      </c>
      <c r="T9" s="360" t="s">
        <v>282</v>
      </c>
      <c r="U9" s="360"/>
      <c r="V9" s="360"/>
    </row>
    <row r="10" spans="2:22" s="290" customFormat="1">
      <c r="B10" s="1023" t="str">
        <f>_xlfn.TEXTJOIN(",",TRUE,IF(LEFT(Regions!$C$3,1)&lt;&gt;"*",Regions!$C$3,""),IF(LEFT(Regions!$D$3,1)&lt;&gt;"*",Regions!$D$3,""))</f>
        <v>IE,National</v>
      </c>
      <c r="C10" s="729" t="str">
        <f t="shared" si="4"/>
        <v>R-RSDCD_X0</v>
      </c>
      <c r="D10" s="730" t="str">
        <f t="shared" si="4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1">
        <f>L10/G10/K10</f>
        <v>9.3528000000000014E-4</v>
      </c>
      <c r="J10" s="730">
        <v>10</v>
      </c>
      <c r="K10" s="730">
        <v>1</v>
      </c>
      <c r="L10" s="729">
        <f t="shared" si="0"/>
        <v>1.0288379823457823</v>
      </c>
      <c r="M10" s="732">
        <f>RSD_Balance!U26</f>
        <v>1.7147299705763039</v>
      </c>
      <c r="O10" s="499" t="s">
        <v>273</v>
      </c>
      <c r="P10" s="622" t="str">
        <f>_xlfn.TEXTJOIN(",",TRUE,IF(LEFT(Regions!$C$3,1)&lt;&gt;"*",Regions!$C$3,""),IF(LEFT(Regions!$D$3,1)&lt;&gt;"*",Regions!$D$3,""))</f>
        <v>IE,National</v>
      </c>
      <c r="Q10" s="622" t="str">
        <f>_xlfn.TEXTJOIN("",TRUE,,LEFT(SETUP!B$3,1),"-",COMM!E35,"_",SETUP!$B$64)</f>
        <v>R-RSDCD_X0</v>
      </c>
      <c r="R10" s="622" t="str">
        <f>_xlfn.TEXTJOIN(" ",TRUE,COMM!F35,"Technology")</f>
        <v>Residential Cloth Drying Demand Technology</v>
      </c>
      <c r="S10" s="623" t="s">
        <v>16</v>
      </c>
      <c r="T10" s="622" t="s">
        <v>282</v>
      </c>
      <c r="U10" s="623"/>
      <c r="V10" s="622"/>
    </row>
    <row r="11" spans="2:22" ht="14.25">
      <c r="B11" s="1022" t="str">
        <f>_xlfn.TEXTJOIN(",",TRUE,IF(LEFT(Regions!$C$3,1)&lt;&gt;"*",Regions!$C$3,""),IF(LEFT(Regions!$D$3,1)&lt;&gt;"*",Regions!$D$3,""))</f>
        <v>IE,National</v>
      </c>
      <c r="C11" s="723" t="str">
        <f t="shared" si="4"/>
        <v>R-RSDDW_X0</v>
      </c>
      <c r="D11" s="723" t="str">
        <f t="shared" si="4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5">
        <f>L11/G11/K11</f>
        <v>7.5599999999999994E-4</v>
      </c>
      <c r="J11" s="724">
        <v>10</v>
      </c>
      <c r="K11" s="726">
        <v>1</v>
      </c>
      <c r="L11" s="727">
        <f t="shared" si="0"/>
        <v>0.83034086441921984</v>
      </c>
      <c r="M11" s="728">
        <f>RSD_Balance!V29</f>
        <v>1.1862012348845998</v>
      </c>
      <c r="O11" s="496" t="s">
        <v>273</v>
      </c>
      <c r="P11" s="360" t="str">
        <f>_xlfn.TEXTJOIN(",",TRUE,IF(LEFT(Regions!$C$3,1)&lt;&gt;"*",Regions!$C$3,""),IF(LEFT(Regions!$D$3,1)&lt;&gt;"*",Regions!$D$3,""))</f>
        <v>IE,National</v>
      </c>
      <c r="Q11" s="496" t="str">
        <f>_xlfn.TEXTJOIN("",TRUE,,LEFT(SETUP!B$3,1),"-",COMM!E36,"_",SETUP!$B$64)</f>
        <v>R-RSDDW_X0</v>
      </c>
      <c r="R11" s="496" t="str">
        <f>_xlfn.TEXTJOIN(" ",TRUE,COMM!F36,"Technology")</f>
        <v>Residential Dish Washing Demand Technology</v>
      </c>
      <c r="S11" s="360" t="s">
        <v>16</v>
      </c>
      <c r="T11" s="360" t="s">
        <v>282</v>
      </c>
      <c r="U11" s="360"/>
      <c r="V11" s="360"/>
    </row>
    <row r="12" spans="2:22">
      <c r="B12" s="1023" t="str">
        <f>_xlfn.TEXTJOIN(",",TRUE,IF(LEFT(Regions!$C$3,1)&lt;&gt;"*",Regions!$C$3,""),IF(LEFT(Regions!$D$3,1)&lt;&gt;"*",Regions!$D$3,""))</f>
        <v>IE,National</v>
      </c>
      <c r="C12" s="729" t="str">
        <f t="shared" si="4"/>
        <v>R-RSDOE_X0</v>
      </c>
      <c r="D12" s="730" t="str">
        <f t="shared" si="4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1">
        <f>L12/G12/K12</f>
        <v>5.4294497115100612E-3</v>
      </c>
      <c r="J12" s="730">
        <v>10</v>
      </c>
      <c r="K12" s="730">
        <v>1</v>
      </c>
      <c r="L12" s="729">
        <f t="shared" si="0"/>
        <v>9.2169270601309012</v>
      </c>
      <c r="M12" s="732">
        <f>RSD_Balance!W26</f>
        <v>10.843443600154002</v>
      </c>
      <c r="O12" s="499" t="s">
        <v>273</v>
      </c>
      <c r="P12" s="622" t="str">
        <f>_xlfn.TEXTJOIN(",",TRUE,IF(LEFT(Regions!$C$3,1)&lt;&gt;"*",Regions!$C$3,""),IF(LEFT(Regions!$D$3,1)&lt;&gt;"*",Regions!$D$3,""))</f>
        <v>IE,National</v>
      </c>
      <c r="Q12" s="622" t="str">
        <f>_xlfn.TEXTJOIN("",TRUE,,LEFT(SETUP!B$3,1),"-",COMM!E37,"_",SETUP!$B$64)</f>
        <v>R-RSDOE_X0</v>
      </c>
      <c r="R12" s="622" t="str">
        <f>_xlfn.TEXTJOIN(" ",TRUE,COMM!F37,"Technology")</f>
        <v>Residential ELC Appliances Demand Technology</v>
      </c>
      <c r="S12" s="623" t="s">
        <v>16</v>
      </c>
      <c r="T12" s="622" t="s">
        <v>282</v>
      </c>
      <c r="U12" s="623"/>
      <c r="V12" s="622"/>
    </row>
    <row r="13" spans="2:22" ht="14.25">
      <c r="B13" s="1022" t="str">
        <f>_xlfn.TEXTJOIN(",",TRUE,IF(LEFT(Regions!$C$3,1)&lt;&gt;"*",Regions!$C$3,""),IF(LEFT(Regions!$D$3,1)&lt;&gt;"*",Regions!$D$3,""))</f>
        <v>IE,National</v>
      </c>
      <c r="C13" s="723" t="str">
        <f t="shared" si="4"/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5">
        <f>L13/G13/K13</f>
        <v>0</v>
      </c>
      <c r="J13" s="724">
        <v>10</v>
      </c>
      <c r="K13" s="726">
        <v>1</v>
      </c>
      <c r="L13" s="727">
        <f t="shared" si="0"/>
        <v>0</v>
      </c>
      <c r="M13" s="728">
        <v>0</v>
      </c>
      <c r="O13" s="496" t="s">
        <v>273</v>
      </c>
      <c r="P13" s="360" t="str">
        <f>_xlfn.TEXTJOIN(",",TRUE,IF(LEFT(Regions!$C$3,1)&lt;&gt;"*",Regions!$C$3,""),IF(LEFT(Regions!$D$3,1)&lt;&gt;"*",Regions!$D$3,""))</f>
        <v>IE,National</v>
      </c>
      <c r="Q13" s="496" t="str">
        <f>_xlfn.TEXTJOIN("",TRUE,,LEFT(SETUP!B$3,1),"-",COMM!E38,"_",SETUP!$B$64)</f>
        <v>R-RSDOA_X0</v>
      </c>
      <c r="R13" s="496" t="str">
        <f>_xlfn.TEXTJOIN(" ",TRUE,COMM!F38,"Technology")</f>
        <v>Residential Other Applications Demand Technology</v>
      </c>
      <c r="S13" s="360" t="s">
        <v>16</v>
      </c>
      <c r="T13" s="360" t="s">
        <v>282</v>
      </c>
      <c r="U13" s="360"/>
      <c r="V13" s="360"/>
    </row>
    <row r="14" spans="2:22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2" ht="15">
      <c r="N15" s="474"/>
      <c r="O15" s="474"/>
      <c r="P15" s="474"/>
      <c r="Q15" s="474"/>
      <c r="R15" s="474"/>
      <c r="S15" s="474"/>
    </row>
    <row r="16" spans="2:22" ht="15">
      <c r="M16" s="94"/>
      <c r="N16" s="474"/>
      <c r="O16" s="474"/>
      <c r="P16" s="474"/>
      <c r="Q16" s="474"/>
    </row>
    <row r="17" spans="2:17" ht="18.75">
      <c r="B17" s="1065" t="s">
        <v>769</v>
      </c>
      <c r="C17" s="1065"/>
      <c r="D17" s="1065"/>
      <c r="E17" s="1065"/>
      <c r="F17" s="1065"/>
      <c r="G17" s="1065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939</v>
      </c>
      <c r="F19" s="67"/>
      <c r="G19" s="67"/>
      <c r="M19" s="474"/>
      <c r="N19" s="474"/>
      <c r="O19" s="474"/>
      <c r="P19" s="474"/>
      <c r="Q19" t="s">
        <v>1011</v>
      </c>
    </row>
    <row r="20" spans="2:17" ht="15">
      <c r="B20" s="320" t="s">
        <v>935</v>
      </c>
      <c r="C20" s="320" t="s">
        <v>238</v>
      </c>
      <c r="D20" s="320" t="s">
        <v>285</v>
      </c>
      <c r="E20" s="320" t="s">
        <v>286</v>
      </c>
      <c r="F20" s="468">
        <v>2018</v>
      </c>
      <c r="G20" s="320" t="s">
        <v>287</v>
      </c>
      <c r="M20" s="474"/>
      <c r="N20" s="474"/>
      <c r="O20" s="474"/>
      <c r="P20" s="474"/>
      <c r="Q20" s="729">
        <v>0.75888</v>
      </c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L5</f>
        <v>1.1293662452687998</v>
      </c>
      <c r="G21" s="469" t="s">
        <v>282</v>
      </c>
      <c r="M21" s="474"/>
      <c r="N21" s="474"/>
      <c r="O21" s="474"/>
      <c r="P21" s="474"/>
      <c r="Q21" s="733">
        <v>0.22769700000000001</v>
      </c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SUM(L6:L8)</f>
        <v>2.0006897535500086</v>
      </c>
      <c r="G22" s="459" t="s">
        <v>282</v>
      </c>
      <c r="M22" s="474"/>
      <c r="N22" s="474"/>
      <c r="O22" s="474"/>
      <c r="P22" s="474"/>
      <c r="Q22" s="729">
        <v>1.3422788999999999E-2</v>
      </c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L9</f>
        <v>0.77162665337257486</v>
      </c>
      <c r="G23" s="469" t="s">
        <v>282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L10</f>
        <v>1.0288379823457823</v>
      </c>
      <c r="G24" s="459" t="s">
        <v>282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L11</f>
        <v>0.83034086441921984</v>
      </c>
      <c r="G25" s="469" t="s">
        <v>282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L12</f>
        <v>9.2169270601309012</v>
      </c>
      <c r="G26" s="459" t="s">
        <v>282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L13</f>
        <v>0</v>
      </c>
      <c r="G27" s="469" t="s">
        <v>282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E1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4" t="s">
        <v>798</v>
      </c>
      <c r="R26" s="1074"/>
      <c r="S26" s="1074"/>
      <c r="T26" s="1074" t="s">
        <v>799</v>
      </c>
      <c r="U26" s="1074"/>
      <c r="V26" s="1074"/>
    </row>
    <row r="27" spans="1:22" ht="21.75" thickBot="1">
      <c r="A27" s="33"/>
      <c r="B27" s="33"/>
      <c r="C27" s="33"/>
      <c r="D27" s="33"/>
      <c r="E27" s="33"/>
      <c r="F27" s="33"/>
      <c r="H27" s="1074" t="s">
        <v>624</v>
      </c>
      <c r="I27" s="1074"/>
      <c r="J27" s="1074"/>
      <c r="K27" s="1074"/>
      <c r="L27" s="107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71" t="s">
        <v>295</v>
      </c>
      <c r="C58" s="1072"/>
      <c r="D58" s="1072"/>
      <c r="E58" s="1072"/>
      <c r="F58" s="1072"/>
      <c r="G58" s="1072"/>
      <c r="H58" s="1072"/>
      <c r="I58" s="1072"/>
      <c r="J58" s="1072"/>
      <c r="K58" s="1072"/>
      <c r="L58" s="1073"/>
      <c r="M58" s="1068" t="s">
        <v>296</v>
      </c>
      <c r="N58" s="1069"/>
      <c r="O58" s="1070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5" t="s">
        <v>361</v>
      </c>
      <c r="T92" s="1076"/>
      <c r="U92" s="1076"/>
      <c r="V92" s="1076"/>
      <c r="W92" s="1076"/>
      <c r="X92" s="1076"/>
      <c r="Y92" s="1076"/>
      <c r="Z92" s="1077"/>
      <c r="AB92" s="1066" t="s">
        <v>362</v>
      </c>
      <c r="AC92" s="1066"/>
      <c r="AD92" s="1066"/>
      <c r="AE92" s="1066"/>
      <c r="AF92" s="1067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6"/>
      <c r="AC93" s="1066"/>
      <c r="AD93" s="1066"/>
      <c r="AE93" s="1066"/>
      <c r="AF93" s="1067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O1" zoomScale="90" zoomScaleNormal="90" workbookViewId="0">
      <selection activeCell="K24" sqref="K2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940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872</v>
      </c>
      <c r="Y30" s="48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954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O13" sqref="O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940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872</v>
      </c>
      <c r="Y30" s="36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940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872</v>
      </c>
      <c r="Y30" s="36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tabSelected="1"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3" t="s">
        <v>461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528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530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2021-03-09T13:05:30Z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123897731304168</vt:r8>
  </property>
</Properties>
</file>