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261462F-206E-43DC-8A05-DAB7EB0C85EA}" xr6:coauthVersionLast="45" xr6:coauthVersionMax="45" xr10:uidLastSave="{00000000-0000-0000-0000-000000000000}"/>
  <bookViews>
    <workbookView xWindow="-120" yWindow="-16320" windowWidth="29040" windowHeight="15840" firstSheet="8" activeTab="11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9" i="46" l="1"/>
  <c r="K18" i="46"/>
  <c r="K16" i="46"/>
  <c r="K15" i="46"/>
  <c r="K14" i="46"/>
  <c r="K13" i="46"/>
  <c r="K11" i="46"/>
  <c r="K10" i="46"/>
  <c r="K8" i="46"/>
  <c r="K6" i="46"/>
  <c r="K9" i="46"/>
  <c r="H16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9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T58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T59" i="28" s="1"/>
  <c r="C54" i="28"/>
  <c r="T58" i="28" s="1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T59" i="51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T58" i="51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U58" i="28" s="1"/>
  <c r="Z59" i="28"/>
  <c r="U59" i="28" s="1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U58" i="52" s="1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9" i="51" l="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K20" i="46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U33" i="52"/>
  <c r="Z27" i="5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<sst xmlns="http://schemas.openxmlformats.org/spreadsheetml/2006/main" count="68813" uniqueCount="985">
  <si>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</si>
  <si>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</si>
  <si>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</si>
  <si>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</si>
  <si>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</si>
  <si>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</si>
  <si>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</si>
  <si>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</si>
  <si>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</si>
  <si>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</si>
  <si>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</si>
  <si>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</si>
  <si>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</si>
  <si>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</si>
  <si>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</si>
  <si>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</si>
  <si>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</si>
  <si>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</si>
  <si>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</si>
  <si>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</si>
  <si>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</si>
  <si>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</si>
  <si>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</si>
  <si>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</si>
  <si>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</si>
  <si>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</si>
  <si>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</si>
  <si>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</si>
  <si>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</si>
  <si>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</si>
  <si>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</si>
  <si>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</si>
  <si>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</si>
  <si>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</si>
  <si>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</si>
  <si>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</si>
  <si>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</si>
  <si>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</si>
  <si>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</si>
  <si>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</si>
  <si>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</si>
  <si>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</si>
  <si>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</si>
  <si>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</si>
  <si>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</si>
  <si>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</si>
  <si>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</si>
  <si>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</si>
  <si>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</si>
  <si>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</si>
  <si>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</si>
  <si>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</si>
  <si>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</si>
  <si>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</si>
  <si>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</si>
  <si>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</si>
  <si>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</si>
  <si>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</si>
  <si>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</si>
  <si>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</si>
  <si>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</si>
  <si>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</si>
  <si>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</si>
  <si>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</si>
  <si>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</si>
  <si>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</si>
  <si>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</si>
  <si>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</si>
  <si>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</si>
  <si>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</si>
  <si>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</si>
  <si>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</si>
  <si>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</si>
  <si>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</si>
  <si>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</si>
  <si>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</si>
  <si>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</si>
  <si>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</si>
  <si>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</si>
  <si>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</si>
  <si>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</si>
  <si>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</si>
  <si>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</si>
  <si>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</si>
  <si>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</si>
  <si>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</si>
  <si>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</si>
  <si>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</si>
  <si>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</si>
  <si>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</si>
  <si>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</si>
  <si>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</si>
  <si>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</si>
  <si>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</si>
  <si>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</si>
  <si>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</si>
  <si>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</si>
  <si>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</si>
  <si>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</si>
  <si>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</si>
  <si>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</si>
  <si>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</si>
  <si>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</si>
  <si>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</si>
  <si>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</si>
  <si>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</si>
  <si>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</si>
  <si>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</si>
  <si>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</si>
  <si>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</si>
  <si>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</si>
  <si>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</si>
  <si>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</si>
  <si>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</si>
  <si>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</si>
  <si>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</si>
  <si>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</si>
  <si>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</si>
  <si>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</si>
  <si>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</si>
  <si>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</si>
  <si>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</si>
  <si>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</si>
  <si>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</si>
  <si>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</si>
  <si>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</si>
  <si>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</si>
  <si>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</si>
  <si>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</si>
  <si>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</si>
  <si>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</si>
  <si>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</si>
  <si>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</si>
  <si>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</si>
  <si>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</si>
  <si>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</si>
  <si>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</si>
  <si>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</si>
  <si>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</si>
  <si>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</si>
  <si>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</si>
  <si>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</si>
  <si>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</si>
  <si>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</si>
  <si>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</si>
  <si>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</si>
  <si>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</si>
  <si>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</si>
  <si>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</si>
  <si>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</si>
  <si>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</si>
  <si>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</si>
  <si>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</si>
  <si>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</si>
  <si>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</si>
  <si>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</si>
  <si>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</si>
  <si>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</si>
  <si>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</si>
  <si>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</si>
  <si>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</si>
  <si>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</si>
  <si>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</si>
  <si>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</si>
  <si>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</si>
  <si>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</si>
  <si>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</si>
  <si>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</si>
  <si>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</si>
  <si>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</si>
  <si>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</si>
  <si>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</si>
  <si>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</si>
  <si>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</si>
  <si>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</si>
  <si>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</si>
  <si>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</si>
  <si>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</si>
  <si>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</si>
  <si>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</si>
  <si>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</si>
  <si>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</si>
  <si>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</si>
  <si>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</si>
  <si>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</si>
  <si>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</si>
  <si>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</si>
  <si>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</si>
  <si>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</si>
  <si>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</si>
  <si>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</si>
  <si>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</si>
  <si>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</si>
  <si>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</si>
  <si>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</si>
  <si>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</si>
  <si>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</si>
  <si>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</si>
  <si>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</si>
  <si>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</si>
  <si>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</si>
  <si>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</si>
  <si>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</si>
  <si>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</si>
  <si>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</si>
  <si>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</si>
  <si>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</si>
  <si>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</si>
  <si>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</si>
  <si>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</si>
  <si>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</si>
  <si>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</si>
  <si>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</si>
  <si>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</si>
  <si>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</si>
  <si>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</si>
  <si>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</si>
  <si>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</si>
  <si>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</si>
  <si>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</si>
  <si>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</si>
  <si>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</si>
  <si>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</si>
  <si>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</si>
  <si>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</si>
  <si>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</si>
  <si>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</si>
  <si>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</si>
  <si>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</si>
  <si>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</si>
  <si>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</si>
  <si>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</si>
  <si>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</si>
  <si>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</si>
  <si>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</si>
  <si>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</si>
  <si>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</si>
  <si>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</si>
  <si>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</si>
  <si>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</si>
  <si>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</si>
  <si>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</si>
  <si>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</si>
  <si>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</si>
  <si>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</si>
  <si>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</si>
  <si>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</si>
  <si>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</si>
  <si>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</si>
  <si>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</si>
  <si>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</si>
  <si>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</si>
  <si>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</si>
  <si>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</si>
  <si>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</si>
  <si>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</si>
  <si>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</si>
  <si>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</si>
  <si>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</si>
  <si>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</si>
  <si>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</si>
  <si>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</si>
  <si>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</si>
  <si>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</si>
  <si>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</si>
  <si>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</si>
  <si>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</si>
  <si>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</si>
  <si>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</si>
  <si>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</si>
  <si>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</si>
  <si>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</si>
  <si>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</si>
  <si>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</si>
  <si>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</si>
  <si>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</si>
  <si>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</si>
  <si>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</si>
  <si>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</si>
  <si>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</si>
  <si>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</si>
  <si>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</si>
  <si>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</si>
  <si>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</si>
  <si>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</si>
  <si>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</si>
  <si>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</si>
  <si>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</si>
  <si>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</si>
  <si>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</si>
  <si>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</si>
  <si>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</si>
  <si>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</si>
  <si>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</si>
  <si>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</si>
  <si>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</si>
  <si>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</si>
  <si>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</si>
  <si>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</si>
  <si>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</si>
  <si>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</si>
  <si>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</si>
  <si>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</si>
  <si>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</si>
  <si>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</si>
  <si>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</si>
  <si>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</si>
  <si>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</si>
  <si>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</si>
  <si>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</si>
  <si>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</si>
  <si>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</si>
  <si>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</si>
  <si>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</si>
  <si>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</si>
  <si>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</si>
  <si>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</si>
  <si>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</si>
  <si>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</si>
  <si>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</si>
  <si>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</si>
  <si>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</si>
  <si>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</si>
  <si>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</si>
  <si>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</si>
  <si>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</si>
  <si>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</si>
  <si>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</si>
  <si>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</si>
  <si>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</si>
  <si>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</si>
  <si>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</si>
  <si>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</si>
  <si>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</si>
  <si>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</si>
  <si>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</si>
  <si>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</si>
  <si>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</si>
  <si>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</si>
  <si>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</si>
  <si>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</si>
  <si>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</si>
  <si>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</si>
  <si>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</si>
  <si>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</si>
  <si>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</si>
  <si>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</si>
  <si>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</si>
  <si>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</si>
  <si>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</si>
  <si>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</si>
  <si>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</si>
  <si>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</si>
  <si>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</si>
  <si>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</si>
  <si>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</si>
  <si>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</si>
  <si>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</si>
  <si>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</si>
  <si>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</si>
  <si>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</si>
  <si>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</si>
  <si>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</si>
  <si>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</si>
  <si>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</si>
  <si>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</si>
  <si>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</si>
  <si>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</si>
  <si>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</si>
  <si>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</si>
  <si>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</si>
  <si>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</si>
  <si>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</si>
  <si>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</si>
  <si>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</si>
  <si>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</si>
  <si>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</si>
  <si>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</si>
  <si>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</si>
  <si>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</si>
  <si>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</si>
  <si>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</si>
  <si>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</si>
  <si>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</si>
  <si>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</si>
  <si>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</si>
  <si>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</si>
  <si>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</si>
  <si>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</si>
  <si>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</si>
  <si>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</si>
  <si>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</si>
  <si>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</si>
  <si>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</si>
  <si>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</si>
  <si>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</si>
  <si>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</si>
  <si>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</si>
  <si>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</si>
  <si>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</si>
  <si>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</si>
  <si>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</si>
  <si>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</si>
  <si>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</si>
  <si>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</si>
  <si>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</si>
  <si>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</si>
  <si>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</si>
  <si>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</si>
  <si>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</si>
  <si>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</si>
  <si>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</si>
  <si>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</si>
  <si>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</si>
  <si>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</si>
  <si>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</si>
  <si>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</si>
  <si>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</si>
  <si>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</si>
  <si>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</si>
  <si>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</si>
  <si>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</si>
  <si>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</si>
  <si>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</si>
  <si>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</si>
  <si>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</si>
  <si>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</si>
  <si>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</si>
  <si>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</si>
  <si>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</si>
  <si>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</si>
  <si>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</si>
  <si>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</si>
  <si>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</si>
  <si>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</si>
  <si>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</si>
  <si>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</si>
  <si>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</si>
  <si>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</si>
  <si>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</si>
  <si>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</si>
  <si>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</si>
  <si>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</si>
  <si>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</si>
  <si>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</si>
  <si>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</si>
  <si>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</si>
  <si>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</si>
  <si>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</si>
  <si>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</si>
  <si>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</si>
  <si>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</si>
  <si>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</si>
  <si>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</si>
  <si>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</si>
  <si>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</si>
  <si>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</si>
  <si>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</si>
  <si>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</si>
  <si>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</si>
  <si>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</si>
  <si>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</si>
  <si>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</si>
  <si>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</si>
  <si>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</si>
  <si>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</si>
  <si>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</si>
  <si>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</si>
  <si>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</si>
  <si>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</si>
  <si>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</si>
  <si>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</si>
  <si>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</si>
  <si>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</si>
  <si>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</si>
  <si>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</si>
  <si>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</si>
  <si>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</si>
  <si>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</si>
  <si>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</si>
  <si>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</si>
  <si>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</si>
  <si>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</si>
  <si>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</si>
  <si>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</si>
  <si>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</si>
  <si>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</si>
  <si>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</si>
  <si>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</si>
  <si>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</si>
  <si>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</si>
  <si>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</si>
  <si>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</si>
  <si>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</si>
  <si>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</si>
  <si>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</si>
  <si>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</si>
  <si>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</si>
  <si>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</si>
  <si>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</si>
  <si>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</si>
  <si>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</si>
  <si>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</si>
  <si>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</si>
  <si>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</si>
  <si>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</si>
  <si>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</si>
  <si>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</si>
  <si>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</si>
  <si>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</si>
  <si>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</si>
  <si>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</si>
  <si>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</si>
  <si>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</si>
  <si>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</si>
  <si>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</si>
  <si>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</si>
  <si>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</si>
  <si>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</si>
  <si>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</si>
  <si>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</si>
  <si>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</si>
  <si>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</si>
  <si>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</si>
  <si>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</si>
  <si>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</si>
  <si>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</si>
  <si>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</si>
  <si>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</si>
  <si>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</si>
  <si>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</si>
  <si>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</si>
  <si>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</si>
  <si>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</si>
  <si>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</si>
  <si>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</si>
  <si>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</si>
  <si>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</si>
  <si>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</si>
  <si>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</si>
  <si>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</si>
  <si>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</si>
  <si>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</si>
  <si>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</si>
  <si>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</si>
  <si>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</si>
  <si>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</si>
  <si>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</si>
  <si>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</si>
  <si>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</si>
  <si>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</si>
  <si>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</si>
  <si>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</si>
  <si>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</si>
  <si>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</si>
  <si>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</si>
  <si>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</si>
  <si>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</si>
  <si>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</si>
  <si>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</si>
  <si>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</si>
  <si>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</si>
  <si>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</si>
  <si>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</si>
  <si>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</si>
  <si>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</si>
  <si>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</si>
  <si>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</si>
  <si>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</si>
  <si>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</si>
  <si>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</si>
  <si>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</si>
  <si>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</si>
  <si>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</si>
  <si>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</si>
  <si>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</si>
  <si>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</si>
  <si>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</si>
  <si>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</si>
  <si>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</si>
  <si>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</si>
  <si>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</si>
  <si>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</si>
  <si>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</si>
  <si>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</si>
  <si>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</si>
  <si>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</si>
  <si>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</si>
  <si>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</si>
  <si>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</si>
  <si>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</si>
  <si>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</si>
  <si>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</si>
  <si>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</si>
  <si>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</si>
  <si>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</si>
  <si>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</si>
  <si>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</si>
  <si>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</si>
  <si>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</si>
  <si>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</si>
  <si>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</si>
  <si>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</si>
  <si>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</si>
  <si>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</si>
  <si>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</si>
  <si>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</si>
  <si>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</si>
  <si>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</si>
  <si>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</si>
  <si>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</si>
  <si>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</si>
  <si>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</si>
  <si>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</si>
  <si>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</si>
  <si>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</si>
  <si>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</si>
  <si>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</si>
  <si>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</si>
  <si>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</si>
  <si>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</si>
  <si>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</si>
  <si>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</si>
  <si>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</si>
  <si>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</si>
  <si>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</si>
  <si>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</si>
  <si>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</si>
  <si>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</si>
  <si>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</si>
  <si>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</si>
  <si>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</si>
  <si>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</si>
  <si>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</si>
  <si>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</si>
  <si>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</si>
  <si>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</si>
  <si>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</si>
  <si>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</si>
  <si>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</si>
  <si>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</si>
  <si>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</si>
  <si>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</si>
  <si>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</si>
  <si>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</si>
  <si>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</si>
  <si>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</si>
  <si>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</si>
  <si>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</si>
  <si>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</si>
  <si>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</si>
  <si>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</si>
  <si>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</si>
  <si>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</si>
  <si>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</si>
  <si>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</si>
  <si>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</si>
  <si>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</si>
  <si>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</si>
  <si>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</si>
  <si>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</si>
  <si>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</si>
  <si>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</si>
  <si>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</si>
  <si>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</si>
  <si>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</si>
  <si>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</si>
  <si>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</si>
  <si>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</si>
  <si>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</si>
  <si>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</si>
  <si>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</si>
  <si>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</si>
  <si>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</si>
  <si>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</si>
  <si>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</si>
  <si>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</si>
  <si>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</si>
  <si>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</si>
  <si>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</si>
  <si>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</si>
  <si>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</si>
  <si>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</si>
  <si>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</si>
  <si>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</si>
  <si>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</si>
  <si>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</si>
  <si>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</si>
  <si>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</si>
  <si>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</si>
  <si>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</si>
  <si>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</si>
  <si>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</si>
  <si>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</si>
  <si>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</si>
  <si>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</si>
  <si>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</si>
  <si>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</si>
  <si>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</si>
  <si>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</si>
  <si>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</si>
  <si>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</si>
  <si>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</si>
  <si>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</si>
  <si>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</si>
  <si>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</si>
  <si>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</si>
  <si>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</si>
  <si>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</si>
  <si>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</si>
  <si>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</si>
  <si>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</si>
  <si>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</si>
  <si>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</si>
  <si>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</si>
  <si>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</si>
  <si>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</si>
  <si>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</si>
  <si>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</si>
  <si>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</si>
  <si>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</si>
  <si>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</si>
  <si>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</si>
  <si>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</si>
  <si>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</si>
  <si>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</si>
  <si>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</si>
  <si>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</si>
  <si>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</si>
  <si>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</si>
  <si>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</si>
  <si>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</si>
  <si>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</si>
  <si>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</si>
  <si>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</si>
  <si>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</si>
  <si>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</si>
  <si>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</si>
  <si>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</si>
  <si>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</si>
  <si>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</si>
  <si>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</si>
  <si>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</si>
  <si>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</si>
  <si>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</si>
  <si>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</si>
  <si>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</si>
  <si>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</si>
  <si>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</si>
  <si>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</si>
  <si>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</si>
  <si>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</si>
  <si>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</si>
  <si>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</si>
  <si>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</si>
  <si>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</si>
  <si>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</si>
  <si>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</si>
  <si>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</si>
  <si>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</si>
  <si>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</si>
  <si>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</si>
  <si>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</si>
  <si>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</si>
  <si>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</si>
  <si>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</si>
  <si>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</si>
  <si>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</si>
  <si>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</si>
  <si>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</si>
  <si>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</si>
  <si>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</si>
  <si>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</si>
  <si>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</si>
  <si>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</si>
  <si>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</si>
  <si>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</si>
  <si>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</si>
  <si>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</si>
  <si>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</si>
  <si>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</si>
  <si>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</si>
  <si>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</si>
  <si>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</si>
  <si>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</si>
  <si>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</si>
  <si>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</si>
  <si>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</si>
  <si>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</si>
  <si>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</si>
  <si>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</si>
  <si>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</si>
  <si>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</si>
  <si>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</si>
  <si>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</si>
  <si>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</si>
  <si>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</si>
  <si>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</si>
  <si>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</si>
  <si>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</si>
  <si>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</si>
  <si>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</si>
  <si>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</si>
  <si>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</si>
  <si>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</si>
  <si>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</si>
  <si>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</si>
  <si>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</si>
  <si>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</si>
  <si>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</si>
  <si>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</si>
  <si>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</si>
  <si>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</si>
  <si>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</si>
  <si>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</si>
  <si>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</si>
  <si>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</si>
  <si>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</si>
  <si>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</si>
  <si>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</si>
  <si>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</si>
  <si>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</si>
  <si>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</si>
  <si>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</si>
  <si>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</si>
  <si>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</si>
  <si>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</si>
  <si>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</si>
  <si>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</si>
  <si>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</si>
  <si>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</si>
  <si>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</si>
  <si>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</si>
  <si>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</si>
  <si>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</si>
  <si>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</si>
  <si>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</si>
  <si>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</si>
  <si>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</si>
  <si>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</si>
  <si>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</si>
  <si>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</si>
  <si>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</si>
  <si>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</si>
  <si>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</si>
  <si>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</si>
  <si>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</si>
  <si>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</si>
  <si>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</si>
  <si>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</si>
  <si>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</si>
  <si>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</si>
  <si>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</si>
  <si>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</si>
  <si>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</si>
  <si>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</si>
  <si>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</si>
  <si>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</si>
  <si>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</si>
  <si>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</si>
  <si>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</si>
  <si>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</si>
  <si>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</si>
  <si>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</si>
  <si>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</si>
  <si>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</si>
  <si>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</si>
  <si>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</si>
  <si>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</si>
  <si>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</si>
  <si>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</si>
  <si>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</si>
  <si>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</si>
  <si>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</si>
  <si>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</si>
  <si>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</si>
  <si>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</si>
  <si>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</si>
  <si>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</si>
  <si>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</si>
  <si>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</si>
  <si>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</si>
  <si>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</si>
  <si>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</si>
  <si>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</si>
  <si>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</si>
  <si>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</si>
  <si>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</si>
  <si>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</si>
  <si>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</si>
  <si>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</si>
  <si>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</si>
  <si>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</si>
  <si>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</si>
  <si>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</si>
  <si>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</si>
  <si>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</si>
  <si>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</si>
  <si>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</si>
  <si>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</si>
  <si>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</si>
  <si>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</si>
  <si>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</si>
  <si>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</si>
  <si>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</si>
  <si>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</si>
  <si>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</si>
  <si>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</si>
  <si>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</si>
  <si>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</si>
  <si>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</si>
  <si>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</si>
  <si>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</si>
  <si>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</si>
  <si>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</si>
  <si>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</si>
  <si>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</si>
  <si>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</si>
  <si>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</si>
  <si>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</si>
  <si>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</si>
  <si>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</si>
  <si>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</si>
  <si>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</si>
  <si>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</si>
  <si>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</si>
  <si>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</si>
  <si>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</si>
  <si>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</si>
  <si>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</si>
  <si>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</si>
  <si>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</si>
  <si>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</si>
  <si>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</si>
  <si>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</si>
  <si>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</si>
  <si>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</si>
  <si>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</si>
  <si>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</si>
  <si>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</si>
  <si>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</si>
  <si>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</si>
  <si>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</si>
  <si>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</si>
  <si>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</si>
  <si>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</si>
  <si>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</si>
  <si>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</si>
  <si>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</si>
  <si>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</si>
  <si>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</si>
  <si>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</si>
  <si>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</si>
  <si>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</si>
  <si>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</si>
  <si>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</si>
  <si>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</si>
  <si>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</si>
  <si>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</si>
  <si>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</si>
  <si>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</si>
  <si>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</si>
  <si>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</si>
  <si>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</si>
  <si>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</si>
  <si>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</si>
  <si>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</si>
  <si>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</si>
  <si>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</si>
  <si>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</si>
  <si>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DUMMY IMPZ</t>
  </si>
  <si>
    <t>Sum of Pv</t>
  </si>
  <si>
    <t>Aggregates</t>
  </si>
  <si>
    <t>Commodity</t>
  </si>
  <si>
    <t>GrandTotal</t>
  </si>
  <si>
    <t>RSDCD</t>
  </si>
  <si>
    <t>RSDCK</t>
  </si>
  <si>
    <t>RSDCW</t>
  </si>
  <si>
    <t>RSDDW</t>
  </si>
  <si>
    <t>RSDOE</t>
  </si>
  <si>
    <t>RSDRF</t>
  </si>
  <si>
    <t>*2018</t>
  </si>
  <si>
    <t>* Stock</t>
  </si>
  <si>
    <t>AFA~FX</t>
  </si>
  <si>
    <t>Stock~2070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</si>
</sst>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CCFFF7"/>
        <bgColor rgb="FFCCFFF7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49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4" fontId="68" fillId="12" borderId="0" xfId="0" applyNumberFormat="1" applyFont="1" applyFill="1" applyBorder="1" applyAlignment="1">
      <alignment vertical="center"/>
    </xf>
    <xf numFmtId="4" fontId="68" fillId="6" borderId="0" xfId="0" applyNumberFormat="1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38" borderId="0" xfId="0" applyNumberFormat="1" applyFont="1" applyFill="1" applyBorder="1" applyAlignment="1" applyProtection="1">
      <protection locked="0"/>
    </xf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1" fillId="0" borderId="0" xfId="13" applyNumberFormat="1" applyFont="1" applyFill="1" applyBorder="1" applyAlignment="1" applyProtection="1"/>
    <xf numFmtId="49" fontId="94" fillId="48" borderId="178" xfId="13" applyNumberFormat="1" applyFont="1" applyFill="1" applyBorder="1" applyAlignment="1">
      <alignment horizontal="center" vertical="center"/>
    </xf>
    <xf numFmtId="49" fontId="94" fillId="44" borderId="178" xfId="13" applyNumberFormat="1" applyFont="1" applyFill="1" applyBorder="1" applyAlignment="1">
      <alignment horizontal="left" vertical="center"/>
    </xf>
    <xf numFmtId="0" fontId="94" fillId="49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  <xf numFmtId="0" fontId="61" fillId="2" borderId="2" xfId="3" applyNumberFormat="1" applyFill="1" applyBorder="1" applyAlignment="1" applyProtection="1">
      <alignment horizontal="center"/>
      <protection locked="0"/>
    </xf>
    <xf numFmtId="0" fontId="38" fillId="32" borderId="5" xfId="0" applyFont="1" applyFill="1" applyBorder="1" applyAlignment="1">
      <alignment vertical="center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109536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16087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93" t="s">
        <v>913</v>
      </c>
      <c r="B17" s="1093"/>
      <c r="C17" s="1093"/>
      <c r="D17" s="1093"/>
      <c r="E17" s="1093"/>
      <c r="F17" s="1093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94" t="s">
        <v>671</v>
      </c>
      <c r="C20" s="1094"/>
      <c r="D20" s="1094"/>
      <c r="E20" s="1094"/>
      <c r="F20" s="1094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95" t="s">
        <v>1</v>
      </c>
      <c r="C21" s="1095"/>
      <c r="D21" s="1095"/>
      <c r="E21" s="1095"/>
      <c r="F21" s="1095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95" t="s">
        <v>673</v>
      </c>
      <c r="C22" s="1095"/>
      <c r="D22" s="1095"/>
      <c r="E22" s="1095"/>
      <c r="F22" s="1095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7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96"/>
      <c r="B25" s="1096"/>
      <c r="C25" s="1096"/>
      <c r="D25" s="1096"/>
      <c r="E25" s="1096"/>
      <c r="F25" s="1096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92"/>
      <c r="B26" s="1092"/>
      <c r="C26" s="1092"/>
      <c r="D26" s="1092"/>
      <c r="E26" s="1092"/>
      <c r="F26" s="1092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8" customWidth="1"/>
    <col min="2" max="2" width="19.5703125" style="968" customWidth="1"/>
    <col min="3" max="3" width="93.5703125" style="968" bestFit="1" customWidth="1"/>
    <col min="4" max="4" width="11.28515625" style="968" customWidth="1"/>
    <col min="5" max="5" width="11.42578125" style="968" customWidth="1"/>
    <col min="6" max="6" width="9.140625" style="968"/>
    <col min="7" max="7" width="18.5703125" style="968" customWidth="1"/>
    <col min="8" max="8" width="96.5703125" style="968" customWidth="1"/>
    <col min="9" max="16384" width="9.140625" style="968"/>
  </cols>
  <sheetData>
    <row r="1" spans="2:20" ht="15" thickBot="1"/>
    <row r="2" spans="2:20" ht="19.5" thickBot="1">
      <c r="B2" s="1097" t="s">
        <v>4</v>
      </c>
      <c r="C2" s="1098"/>
      <c r="D2" s="1098"/>
      <c r="E2" s="1099"/>
      <c r="G2" s="1097" t="s">
        <v>5</v>
      </c>
      <c r="H2" s="1099"/>
      <c r="I2" s="969"/>
      <c r="J2" s="969"/>
      <c r="K2" s="970"/>
      <c r="L2" s="970"/>
      <c r="M2" s="970"/>
      <c r="N2" s="970"/>
      <c r="O2" s="970"/>
      <c r="P2" s="970"/>
      <c r="Q2" s="970"/>
      <c r="R2" s="970"/>
      <c r="S2" s="970"/>
      <c r="T2" s="970"/>
    </row>
    <row r="3" spans="2:20" ht="15.75" thickBot="1">
      <c r="B3" s="994" t="s">
        <v>676</v>
      </c>
      <c r="C3" s="995" t="s">
        <v>6</v>
      </c>
      <c r="D3" s="995" t="s">
        <v>7</v>
      </c>
      <c r="E3" s="996" t="s">
        <v>917</v>
      </c>
      <c r="G3" s="972"/>
      <c r="H3" s="1028" t="s">
        <v>677</v>
      </c>
      <c r="I3" s="969"/>
      <c r="J3" s="969"/>
      <c r="K3" s="970"/>
      <c r="L3" s="970"/>
      <c r="M3" s="970"/>
      <c r="N3" s="970"/>
      <c r="O3" s="970"/>
      <c r="P3" s="970"/>
      <c r="Q3" s="970"/>
      <c r="R3" s="970"/>
      <c r="S3" s="970"/>
      <c r="T3" s="970"/>
    </row>
    <row r="4" spans="2:20">
      <c r="B4" s="997" t="s">
        <v>915</v>
      </c>
      <c r="C4" s="998" t="s">
        <v>916</v>
      </c>
      <c r="D4" s="999">
        <v>44136</v>
      </c>
      <c r="E4" s="1000" t="s">
        <v>918</v>
      </c>
      <c r="G4" s="976"/>
      <c r="H4" s="1029" t="s">
        <v>679</v>
      </c>
      <c r="I4" s="969"/>
      <c r="J4" s="969"/>
      <c r="K4" s="970"/>
      <c r="L4" s="970"/>
      <c r="M4" s="970"/>
      <c r="N4" s="970"/>
      <c r="O4" s="970"/>
      <c r="P4" s="970"/>
      <c r="Q4" s="970"/>
      <c r="R4" s="970"/>
      <c r="S4" s="970"/>
      <c r="T4" s="970"/>
    </row>
    <row r="5" spans="2:20">
      <c r="B5" s="1001" t="s">
        <v>8</v>
      </c>
      <c r="C5" s="973" t="s">
        <v>678</v>
      </c>
      <c r="D5" s="977">
        <v>44169</v>
      </c>
      <c r="E5" s="1002" t="s">
        <v>919</v>
      </c>
      <c r="G5" s="978"/>
      <c r="H5" s="1029" t="s">
        <v>681</v>
      </c>
      <c r="I5" s="969"/>
      <c r="J5" s="969"/>
      <c r="K5" s="970"/>
      <c r="L5" s="970"/>
      <c r="M5" s="970"/>
      <c r="N5" s="970"/>
      <c r="O5" s="970"/>
      <c r="P5" s="970"/>
      <c r="Q5" s="970"/>
      <c r="R5" s="970"/>
      <c r="S5" s="970"/>
      <c r="T5" s="970"/>
    </row>
    <row r="6" spans="2:20">
      <c r="B6" s="1001" t="s">
        <v>920</v>
      </c>
      <c r="C6" s="973" t="s">
        <v>921</v>
      </c>
      <c r="D6" s="977">
        <v>44166</v>
      </c>
      <c r="E6" s="1002" t="s">
        <v>919</v>
      </c>
      <c r="G6" s="979" t="s">
        <v>9</v>
      </c>
      <c r="H6" s="1029" t="s">
        <v>683</v>
      </c>
      <c r="I6" s="969"/>
      <c r="J6" s="969"/>
      <c r="K6" s="970"/>
      <c r="L6" s="970"/>
      <c r="M6" s="970"/>
      <c r="N6" s="970"/>
      <c r="O6" s="970"/>
      <c r="P6" s="970"/>
      <c r="Q6" s="970"/>
      <c r="R6" s="970"/>
      <c r="S6" s="970"/>
      <c r="T6" s="970"/>
    </row>
    <row r="7" spans="2:20">
      <c r="B7" s="1001" t="s">
        <v>923</v>
      </c>
      <c r="C7" s="973" t="s">
        <v>680</v>
      </c>
      <c r="D7" s="974">
        <v>43862</v>
      </c>
      <c r="E7" s="1002" t="s">
        <v>919</v>
      </c>
      <c r="G7" s="980"/>
      <c r="H7" s="1029" t="s">
        <v>685</v>
      </c>
      <c r="I7" s="969"/>
      <c r="J7" s="969"/>
      <c r="K7" s="970"/>
      <c r="L7" s="970"/>
      <c r="M7" s="970"/>
      <c r="N7" s="970"/>
      <c r="O7" s="970"/>
      <c r="P7" s="970"/>
      <c r="Q7" s="970"/>
      <c r="R7" s="970"/>
      <c r="S7" s="970"/>
      <c r="T7" s="970"/>
    </row>
    <row r="8" spans="2:20">
      <c r="B8" s="1001" t="s">
        <v>682</v>
      </c>
      <c r="C8" s="973" t="s">
        <v>922</v>
      </c>
      <c r="D8" s="974">
        <v>44166</v>
      </c>
      <c r="E8" s="1002" t="s">
        <v>919</v>
      </c>
      <c r="G8" s="981"/>
      <c r="H8" s="1029" t="s">
        <v>947</v>
      </c>
      <c r="I8" s="982"/>
      <c r="J8" s="982"/>
      <c r="K8" s="982"/>
      <c r="L8" s="982"/>
      <c r="M8" s="982"/>
      <c r="N8" s="982"/>
      <c r="O8" s="982"/>
      <c r="P8" s="982"/>
      <c r="Q8" s="982"/>
      <c r="R8" s="982"/>
      <c r="S8" s="982"/>
      <c r="T8" s="982"/>
    </row>
    <row r="9" spans="2:20" ht="15" thickBot="1">
      <c r="B9" s="1001" t="s">
        <v>924</v>
      </c>
      <c r="C9" s="973" t="s">
        <v>925</v>
      </c>
      <c r="D9" s="974">
        <v>44044</v>
      </c>
      <c r="E9" s="1002" t="s">
        <v>919</v>
      </c>
      <c r="G9" s="983"/>
      <c r="H9" s="1030" t="s">
        <v>10</v>
      </c>
      <c r="I9" s="984"/>
      <c r="J9" s="984"/>
      <c r="K9" s="984"/>
      <c r="L9" s="984"/>
      <c r="M9" s="984"/>
      <c r="N9" s="984"/>
      <c r="O9" s="984"/>
      <c r="P9" s="984"/>
      <c r="Q9" s="984"/>
      <c r="R9" s="984"/>
      <c r="S9" s="984"/>
      <c r="T9" s="984"/>
    </row>
    <row r="10" spans="2:20">
      <c r="B10" s="1001" t="s">
        <v>926</v>
      </c>
      <c r="C10" s="973" t="s">
        <v>684</v>
      </c>
      <c r="D10" s="974">
        <v>44136</v>
      </c>
      <c r="E10" s="1002" t="s">
        <v>919</v>
      </c>
      <c r="I10" s="984"/>
      <c r="J10" s="984"/>
      <c r="K10" s="984"/>
      <c r="L10" s="984"/>
      <c r="M10" s="984"/>
      <c r="N10" s="984"/>
      <c r="O10" s="984"/>
      <c r="P10" s="984"/>
      <c r="Q10" s="984"/>
      <c r="R10" s="984"/>
      <c r="S10" s="984"/>
      <c r="T10" s="984"/>
    </row>
    <row r="11" spans="2:20">
      <c r="B11" s="1001" t="s">
        <v>927</v>
      </c>
      <c r="C11" s="973" t="s">
        <v>686</v>
      </c>
      <c r="D11" s="974">
        <v>44013</v>
      </c>
      <c r="E11" s="1002" t="s">
        <v>919</v>
      </c>
      <c r="I11" s="984"/>
      <c r="J11" s="984"/>
      <c r="K11" s="984"/>
      <c r="L11" s="984"/>
      <c r="M11" s="984"/>
      <c r="N11" s="984"/>
      <c r="O11" s="984"/>
      <c r="P11" s="984"/>
      <c r="Q11" s="984"/>
      <c r="R11" s="984"/>
      <c r="S11" s="984"/>
      <c r="T11" s="984"/>
    </row>
    <row r="12" spans="2:20">
      <c r="B12" s="1001" t="s">
        <v>928</v>
      </c>
      <c r="C12" s="973" t="s">
        <v>687</v>
      </c>
      <c r="D12" s="974">
        <v>44136</v>
      </c>
      <c r="E12" s="1002" t="s">
        <v>918</v>
      </c>
    </row>
    <row r="13" spans="2:20">
      <c r="B13" s="1001" t="s">
        <v>929</v>
      </c>
      <c r="C13" s="973" t="s">
        <v>931</v>
      </c>
      <c r="D13" s="974">
        <v>44136</v>
      </c>
      <c r="E13" s="1002" t="s">
        <v>919</v>
      </c>
    </row>
    <row r="14" spans="2:20">
      <c r="B14" s="1001" t="s">
        <v>930</v>
      </c>
      <c r="C14" s="973" t="s">
        <v>932</v>
      </c>
      <c r="D14" s="974">
        <v>44105</v>
      </c>
      <c r="E14" s="1002" t="s">
        <v>919</v>
      </c>
    </row>
    <row r="15" spans="2:20">
      <c r="B15" s="1001" t="s">
        <v>688</v>
      </c>
      <c r="C15" s="973" t="s">
        <v>689</v>
      </c>
      <c r="D15" s="974">
        <v>44105</v>
      </c>
      <c r="E15" s="1002" t="s">
        <v>919</v>
      </c>
    </row>
    <row r="16" spans="2:20">
      <c r="B16" s="1001" t="s">
        <v>11</v>
      </c>
      <c r="C16" s="973" t="s">
        <v>690</v>
      </c>
      <c r="D16" s="974">
        <v>44166</v>
      </c>
      <c r="E16" s="1002" t="s">
        <v>919</v>
      </c>
    </row>
    <row r="17" spans="2:8">
      <c r="B17" s="1001" t="s">
        <v>12</v>
      </c>
      <c r="C17" s="973" t="s">
        <v>691</v>
      </c>
      <c r="D17" s="974">
        <v>44166</v>
      </c>
      <c r="E17" s="1002" t="s">
        <v>919</v>
      </c>
    </row>
    <row r="18" spans="2:8" ht="15" thickBot="1">
      <c r="B18" s="1003" t="s">
        <v>13</v>
      </c>
      <c r="C18" s="1004" t="s">
        <v>692</v>
      </c>
      <c r="D18" s="1005">
        <v>44166</v>
      </c>
      <c r="E18" s="1006" t="s">
        <v>919</v>
      </c>
    </row>
    <row r="19" spans="2:8" ht="15" thickBot="1"/>
    <row r="20" spans="2:8" ht="19.5" thickBot="1">
      <c r="B20" s="1100" t="s">
        <v>696</v>
      </c>
      <c r="C20" s="1101"/>
      <c r="D20" s="1101"/>
      <c r="E20" s="1102"/>
      <c r="G20" s="1097" t="s">
        <v>14</v>
      </c>
      <c r="H20" s="1099"/>
    </row>
    <row r="21" spans="2:8" ht="15" customHeight="1">
      <c r="B21" s="1008" t="s">
        <v>676</v>
      </c>
      <c r="C21" s="1009" t="s">
        <v>6</v>
      </c>
      <c r="D21" s="1010" t="s">
        <v>7</v>
      </c>
      <c r="E21" s="1011" t="s">
        <v>917</v>
      </c>
      <c r="G21" s="985" t="s">
        <v>15</v>
      </c>
      <c r="H21" s="986" t="s">
        <v>693</v>
      </c>
    </row>
    <row r="22" spans="2:8" ht="15" customHeight="1">
      <c r="B22" s="1019" t="s">
        <v>18</v>
      </c>
      <c r="C22" s="1013" t="s">
        <v>697</v>
      </c>
      <c r="D22" s="1013"/>
      <c r="E22" s="1020"/>
      <c r="G22" s="987" t="s">
        <v>694</v>
      </c>
      <c r="H22" s="988" t="s">
        <v>16</v>
      </c>
    </row>
    <row r="23" spans="2:8" ht="15" customHeight="1">
      <c r="B23" s="1019" t="s">
        <v>19</v>
      </c>
      <c r="C23" s="975" t="s">
        <v>699</v>
      </c>
      <c r="D23" s="975"/>
      <c r="E23" s="1020"/>
      <c r="G23" s="987" t="s">
        <v>17</v>
      </c>
      <c r="H23" s="1031" t="s">
        <v>933</v>
      </c>
    </row>
    <row r="24" spans="2:8" ht="15" customHeight="1">
      <c r="B24" s="1019" t="s">
        <v>21</v>
      </c>
      <c r="C24" s="975" t="s">
        <v>22</v>
      </c>
      <c r="D24" s="1014" t="s">
        <v>23</v>
      </c>
      <c r="E24" s="1002" t="s">
        <v>919</v>
      </c>
      <c r="G24" s="989" t="s">
        <v>695</v>
      </c>
      <c r="H24" s="990">
        <v>2018</v>
      </c>
    </row>
    <row r="25" spans="2:8" ht="15" customHeight="1">
      <c r="B25" s="1019" t="s">
        <v>24</v>
      </c>
      <c r="C25" s="1015" t="s">
        <v>700</v>
      </c>
      <c r="D25" s="1016">
        <v>43466</v>
      </c>
      <c r="E25" s="1002" t="s">
        <v>919</v>
      </c>
    </row>
    <row r="26" spans="2:8" ht="15" customHeight="1">
      <c r="B26" s="1019" t="s">
        <v>701</v>
      </c>
      <c r="C26" s="1017" t="s">
        <v>702</v>
      </c>
      <c r="D26" s="1016">
        <v>43952</v>
      </c>
      <c r="E26" s="1002" t="s">
        <v>919</v>
      </c>
    </row>
    <row r="27" spans="2:8" ht="15" customHeight="1">
      <c r="B27" s="1019" t="s">
        <v>25</v>
      </c>
      <c r="C27" s="1017" t="s">
        <v>703</v>
      </c>
      <c r="D27" s="1016">
        <v>43952</v>
      </c>
      <c r="E27" s="1002" t="s">
        <v>919</v>
      </c>
    </row>
    <row r="28" spans="2:8" ht="15" customHeight="1">
      <c r="B28" s="1019" t="s">
        <v>935</v>
      </c>
      <c r="C28" s="1017" t="s">
        <v>938</v>
      </c>
      <c r="D28" s="1016">
        <v>43983</v>
      </c>
      <c r="E28" s="1002" t="s">
        <v>919</v>
      </c>
    </row>
    <row r="29" spans="2:8" ht="15" customHeight="1">
      <c r="B29" s="1019" t="s">
        <v>936</v>
      </c>
      <c r="C29" s="1017" t="s">
        <v>937</v>
      </c>
      <c r="D29" s="1016">
        <v>43983</v>
      </c>
      <c r="E29" s="1002" t="s">
        <v>919</v>
      </c>
    </row>
    <row r="30" spans="2:8" ht="15">
      <c r="B30" s="1019" t="s">
        <v>939</v>
      </c>
      <c r="C30" s="1018" t="s">
        <v>667</v>
      </c>
      <c r="D30" s="1016">
        <v>43983</v>
      </c>
      <c r="E30" s="1002" t="s">
        <v>919</v>
      </c>
    </row>
    <row r="31" spans="2:8" ht="15">
      <c r="B31" s="1019" t="s">
        <v>940</v>
      </c>
      <c r="C31" s="1017" t="s">
        <v>667</v>
      </c>
      <c r="D31" s="1016">
        <v>43983</v>
      </c>
      <c r="E31" s="1002" t="s">
        <v>919</v>
      </c>
    </row>
    <row r="32" spans="2:8" ht="15">
      <c r="B32" s="1019" t="s">
        <v>942</v>
      </c>
      <c r="C32" s="1017" t="s">
        <v>668</v>
      </c>
      <c r="D32" s="1016">
        <v>43983</v>
      </c>
      <c r="E32" s="1002" t="s">
        <v>919</v>
      </c>
    </row>
    <row r="33" spans="1:8" ht="17.25" customHeight="1">
      <c r="B33" s="1019" t="s">
        <v>941</v>
      </c>
      <c r="C33" s="1018" t="s">
        <v>666</v>
      </c>
      <c r="D33" s="1016">
        <v>43983</v>
      </c>
      <c r="E33" s="1002" t="s">
        <v>919</v>
      </c>
    </row>
    <row r="34" spans="1:8" ht="15">
      <c r="B34" s="1019" t="s">
        <v>943</v>
      </c>
      <c r="C34" s="1018" t="s">
        <v>944</v>
      </c>
      <c r="D34" s="1016">
        <v>44044</v>
      </c>
      <c r="E34" s="1002" t="s">
        <v>919</v>
      </c>
    </row>
    <row r="35" spans="1:8" ht="15">
      <c r="B35" s="1019" t="s">
        <v>946</v>
      </c>
      <c r="C35" s="1017" t="s">
        <v>945</v>
      </c>
      <c r="D35" s="1016">
        <v>44044</v>
      </c>
      <c r="E35" s="1002" t="s">
        <v>919</v>
      </c>
    </row>
    <row r="36" spans="1:8" ht="15.75" thickBot="1">
      <c r="B36" s="1021" t="s">
        <v>946</v>
      </c>
      <c r="C36" s="1023" t="s">
        <v>945</v>
      </c>
      <c r="D36" s="1022">
        <v>44044</v>
      </c>
      <c r="E36" s="1006" t="s">
        <v>919</v>
      </c>
    </row>
    <row r="37" spans="1:8" ht="15" thickBot="1"/>
    <row r="38" spans="1:8" ht="19.5" thickBot="1">
      <c r="B38" s="1097" t="s">
        <v>704</v>
      </c>
      <c r="C38" s="1098"/>
      <c r="D38" s="1098"/>
      <c r="E38" s="1099"/>
      <c r="G38" s="1103" t="s">
        <v>698</v>
      </c>
      <c r="H38" s="1104"/>
    </row>
    <row r="39" spans="1:8" ht="15">
      <c r="B39" s="991" t="s">
        <v>705</v>
      </c>
      <c r="C39" s="992" t="s">
        <v>6</v>
      </c>
      <c r="D39" s="971" t="s">
        <v>7</v>
      </c>
      <c r="E39" s="971" t="s">
        <v>917</v>
      </c>
      <c r="G39" s="1012" t="s">
        <v>20</v>
      </c>
      <c r="H39" s="1012" t="s">
        <v>948</v>
      </c>
    </row>
    <row r="40" spans="1:8" ht="15">
      <c r="B40" s="1012" t="s">
        <v>26</v>
      </c>
      <c r="C40" s="1013" t="s">
        <v>934</v>
      </c>
      <c r="D40" s="1026">
        <v>44166</v>
      </c>
      <c r="E40" s="1027" t="s">
        <v>919</v>
      </c>
      <c r="G40" s="975"/>
      <c r="H40" s="975"/>
    </row>
    <row r="41" spans="1:8" ht="15">
      <c r="B41" s="1012"/>
      <c r="C41" s="975"/>
      <c r="D41" s="975"/>
      <c r="E41" s="1014"/>
      <c r="G41" s="975"/>
      <c r="H41" s="975"/>
    </row>
    <row r="42" spans="1:8" ht="15">
      <c r="A42" s="984"/>
      <c r="B42" s="993"/>
      <c r="C42" s="984"/>
      <c r="D42" s="984"/>
      <c r="E42" s="1024"/>
      <c r="F42" s="984"/>
      <c r="G42" s="975"/>
      <c r="H42" s="975"/>
    </row>
    <row r="43" spans="1:8" ht="15">
      <c r="A43" s="984"/>
      <c r="B43" s="993"/>
      <c r="C43" s="1025"/>
      <c r="D43" s="1025"/>
      <c r="E43" s="1007"/>
      <c r="F43" s="984"/>
      <c r="G43" s="975"/>
      <c r="H43" s="975"/>
    </row>
    <row r="44" spans="1:8" ht="15">
      <c r="A44" s="984"/>
      <c r="B44" s="993"/>
      <c r="C44" s="1025"/>
      <c r="D44" s="1025"/>
      <c r="E44" s="1007"/>
      <c r="F44" s="984"/>
      <c r="G44" s="975"/>
      <c r="H44" s="975"/>
    </row>
    <row r="45" spans="1:8">
      <c r="G45" s="975"/>
      <c r="H45" s="97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8" t="str" cm="1">
        <f t="array" ref="C3">INDEX(C5:C7,$A$4)</f>
        <v>IE</v>
      </c>
      <c r="D3" s="888" t="str" cm="1">
        <f t="array" ref="D3">INDEX(D5:D7,$A$4)</f>
        <v>National</v>
      </c>
      <c r="E3" s="888" t="str" cm="1">
        <f t="array" ref="E3">INDEX(E5:E7,$A$4)</f>
        <v>IE-CW</v>
      </c>
      <c r="F3" s="888" t="str" cm="1">
        <f t="array" ref="F3">INDEX(F5:F7,$A$4)</f>
        <v>IE-D</v>
      </c>
      <c r="G3" s="888" t="str" cm="1">
        <f t="array" ref="G3">INDEX(G5:G7,$A$4)</f>
        <v>IE-KE</v>
      </c>
      <c r="H3" s="888" t="str" cm="1">
        <f t="array" ref="H3">INDEX(H5:H7,$A$4)</f>
        <v>IE-KK</v>
      </c>
      <c r="I3" s="888" t="str" cm="1">
        <f t="array" ref="I3">INDEX(I5:I7,$A$4)</f>
        <v>IE-LS</v>
      </c>
      <c r="J3" s="888" t="str" cm="1">
        <f t="array" ref="J3">INDEX(J5:J7,$A$4)</f>
        <v>IE-LD</v>
      </c>
      <c r="K3" s="888" t="str" cm="1">
        <f t="array" ref="K3">INDEX(K5:K7,$A$4)</f>
        <v>IE-LH</v>
      </c>
      <c r="L3" s="888" t="str" cm="1">
        <f t="array" ref="L3">INDEX(L5:L7,$A$4)</f>
        <v>IE-MH</v>
      </c>
      <c r="M3" s="888" t="str" cm="1">
        <f t="array" ref="M3">INDEX(M5:M7,$A$4)</f>
        <v>IE-OY</v>
      </c>
      <c r="N3" s="888" t="str" cm="1">
        <f t="array" ref="N3">INDEX(N5:N7,$A$4)</f>
        <v>IE-WH</v>
      </c>
      <c r="O3" s="888" t="str" cm="1">
        <f t="array" ref="O3">INDEX(O5:O7,$A$4)</f>
        <v>IE-WX</v>
      </c>
      <c r="P3" s="888" t="str" cm="1">
        <f t="array" ref="P3">INDEX(P5:P7,$A$4)</f>
        <v>IE-WW</v>
      </c>
      <c r="Q3" s="888" t="str" cm="1">
        <f t="array" ref="Q3">INDEX(Q5:Q7,$A$4)</f>
        <v>IE-CE</v>
      </c>
      <c r="R3" s="888" t="str" cm="1">
        <f t="array" ref="R3">INDEX(R5:R7,$A$4)</f>
        <v>IE-CO</v>
      </c>
      <c r="S3" s="888" t="str" cm="1">
        <f t="array" ref="S3">INDEX(S5:S7,$A$4)</f>
        <v>IE-KY</v>
      </c>
      <c r="T3" s="888" t="str" cm="1">
        <f t="array" ref="T3">INDEX(T5:T7,$A$4)</f>
        <v>IE-LK</v>
      </c>
      <c r="U3" s="888" t="str" cm="1">
        <f t="array" ref="U3">INDEX(U5:U7,$A$4)</f>
        <v>IE-TA</v>
      </c>
      <c r="V3" s="888" t="str" cm="1">
        <f t="array" ref="V3">INDEX(V5:V7,$A$4)</f>
        <v>IE-WD</v>
      </c>
      <c r="W3" s="888" t="str" cm="1">
        <f t="array" ref="W3">INDEX(W5:W7,$A$4)</f>
        <v>IE-G</v>
      </c>
      <c r="X3" s="888" t="str" cm="1">
        <f t="array" ref="X3">INDEX(X5:X7,$A$4)</f>
        <v>IE-LM</v>
      </c>
      <c r="Y3" s="888" t="str" cm="1">
        <f t="array" ref="Y3">INDEX(Y5:Y7,$A$4)</f>
        <v>IE-MO</v>
      </c>
      <c r="Z3" s="888" t="str" cm="1">
        <f t="array" ref="Z3">INDEX(Z5:Z7,$A$4)</f>
        <v>IE-RN</v>
      </c>
      <c r="AA3" s="888" t="str" cm="1">
        <f t="array" ref="AA3">INDEX(AA5:AA7,$A$4)</f>
        <v>IE-SO</v>
      </c>
      <c r="AB3" s="888" t="str" cm="1">
        <f t="array" ref="AB3">INDEX(AB5:AB7,$A$4)</f>
        <v>IE-CN</v>
      </c>
      <c r="AC3" s="888" t="str" cm="1">
        <f t="array" ref="AC3">INDEX(AC5:AC7,$A$4)</f>
        <v>IE-DL</v>
      </c>
      <c r="AD3" s="888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9" t="s">
        <v>210</v>
      </c>
      <c r="D5" s="889" t="s">
        <v>835</v>
      </c>
      <c r="E5" s="888" t="str">
        <f>A11</f>
        <v>IE-CW</v>
      </c>
      <c r="F5" s="888" t="str">
        <f>A16</f>
        <v>IE-D</v>
      </c>
      <c r="G5" s="888" t="str">
        <f>A19</f>
        <v>IE-KE</v>
      </c>
      <c r="H5" s="888" t="str">
        <f>A20</f>
        <v>IE-KK</v>
      </c>
      <c r="I5" s="888" t="str">
        <f>A21</f>
        <v>IE-LS</v>
      </c>
      <c r="J5" s="888" t="str">
        <f>A24</f>
        <v>IE-LD</v>
      </c>
      <c r="K5" s="888" t="str">
        <f>A25</f>
        <v>IE-LH</v>
      </c>
      <c r="L5" s="888" t="str">
        <f>A27</f>
        <v>IE-MH</v>
      </c>
      <c r="M5" s="888" t="str">
        <f>A29</f>
        <v>IE-OY</v>
      </c>
      <c r="N5" s="888" t="str">
        <f>A34</f>
        <v>IE-WH</v>
      </c>
      <c r="O5" s="888" t="str">
        <f>A35</f>
        <v>IE-WX</v>
      </c>
      <c r="P5" s="888" t="str">
        <f>A36</f>
        <v>IE-WW</v>
      </c>
      <c r="Q5" s="888" t="str">
        <f>A13</f>
        <v>IE-CE</v>
      </c>
      <c r="R5" s="888" t="str">
        <f>A14</f>
        <v>IE-CO</v>
      </c>
      <c r="S5" s="888" t="str">
        <f>A18</f>
        <v>IE-KY</v>
      </c>
      <c r="T5" s="888" t="str">
        <f>A23</f>
        <v>IE-LK</v>
      </c>
      <c r="U5" s="888" t="str">
        <f>A32</f>
        <v>IE-TA</v>
      </c>
      <c r="V5" s="888" t="str">
        <f>A33</f>
        <v>IE-WD</v>
      </c>
      <c r="W5" s="888" t="str">
        <f>A17</f>
        <v>IE-G</v>
      </c>
      <c r="X5" s="888" t="str">
        <f>A22</f>
        <v>IE-LM</v>
      </c>
      <c r="Y5" s="888" t="str">
        <f>A26</f>
        <v>IE-MO</v>
      </c>
      <c r="Z5" s="888" t="str">
        <f>A30</f>
        <v>IE-RN</v>
      </c>
      <c r="AA5" s="888" t="str">
        <f>A31</f>
        <v>IE-SO</v>
      </c>
      <c r="AB5" s="888" t="str">
        <f>A12</f>
        <v>IE-CN</v>
      </c>
      <c r="AC5" s="888" t="str">
        <f>A15</f>
        <v>IE-DL</v>
      </c>
      <c r="AD5" s="888" t="str">
        <f>A28</f>
        <v>IE-MN</v>
      </c>
    </row>
    <row r="6" spans="1:30" ht="15">
      <c r="A6" s="626" t="s">
        <v>836</v>
      </c>
      <c r="C6" s="888" t="str">
        <f>C5</f>
        <v>IE</v>
      </c>
      <c r="D6" s="888" t="str">
        <f>"*"&amp;D5</f>
        <v>*National</v>
      </c>
      <c r="E6" s="888" t="str">
        <f>"*"&amp;E5</f>
        <v>*IE-CW</v>
      </c>
      <c r="F6" s="888" t="str">
        <f t="shared" ref="F6:AD6" si="0">"*"&amp;F5</f>
        <v>*IE-D</v>
      </c>
      <c r="G6" s="888" t="str">
        <f t="shared" si="0"/>
        <v>*IE-KE</v>
      </c>
      <c r="H6" s="888" t="str">
        <f t="shared" si="0"/>
        <v>*IE-KK</v>
      </c>
      <c r="I6" s="888" t="str">
        <f t="shared" si="0"/>
        <v>*IE-LS</v>
      </c>
      <c r="J6" s="888" t="str">
        <f t="shared" si="0"/>
        <v>*IE-LD</v>
      </c>
      <c r="K6" s="888" t="str">
        <f t="shared" si="0"/>
        <v>*IE-LH</v>
      </c>
      <c r="L6" s="888" t="str">
        <f t="shared" si="0"/>
        <v>*IE-MH</v>
      </c>
      <c r="M6" s="888" t="str">
        <f t="shared" si="0"/>
        <v>*IE-OY</v>
      </c>
      <c r="N6" s="888" t="str">
        <f t="shared" si="0"/>
        <v>*IE-WH</v>
      </c>
      <c r="O6" s="888" t="str">
        <f t="shared" si="0"/>
        <v>*IE-WX</v>
      </c>
      <c r="P6" s="888" t="str">
        <f t="shared" si="0"/>
        <v>*IE-WW</v>
      </c>
      <c r="Q6" s="888" t="str">
        <f t="shared" si="0"/>
        <v>*IE-CE</v>
      </c>
      <c r="R6" s="888" t="str">
        <f t="shared" si="0"/>
        <v>*IE-CO</v>
      </c>
      <c r="S6" s="888" t="str">
        <f t="shared" si="0"/>
        <v>*IE-KY</v>
      </c>
      <c r="T6" s="888" t="str">
        <f t="shared" si="0"/>
        <v>*IE-LK</v>
      </c>
      <c r="U6" s="888" t="str">
        <f t="shared" si="0"/>
        <v>*IE-TA</v>
      </c>
      <c r="V6" s="888" t="str">
        <f t="shared" si="0"/>
        <v>*IE-WD</v>
      </c>
      <c r="W6" s="888" t="str">
        <f t="shared" si="0"/>
        <v>*IE-G</v>
      </c>
      <c r="X6" s="888" t="str">
        <f t="shared" si="0"/>
        <v>*IE-LM</v>
      </c>
      <c r="Y6" s="888" t="str">
        <f t="shared" si="0"/>
        <v>*IE-MO</v>
      </c>
      <c r="Z6" s="888" t="str">
        <f t="shared" si="0"/>
        <v>*IE-RN</v>
      </c>
      <c r="AA6" s="888" t="str">
        <f t="shared" si="0"/>
        <v>*IE-SO</v>
      </c>
      <c r="AB6" s="888" t="str">
        <f t="shared" si="0"/>
        <v>*IE-CN</v>
      </c>
      <c r="AC6" s="888" t="str">
        <f t="shared" si="0"/>
        <v>*IE-DL</v>
      </c>
      <c r="AD6" s="888" t="str">
        <f t="shared" si="0"/>
        <v>*IE-MN</v>
      </c>
    </row>
    <row r="7" spans="1:30" ht="15">
      <c r="A7" s="626" t="s">
        <v>837</v>
      </c>
      <c r="C7" s="888" t="str">
        <f>"*"&amp;C5</f>
        <v>*IE</v>
      </c>
      <c r="D7" s="888" t="str">
        <f>D5</f>
        <v>National</v>
      </c>
      <c r="E7" s="888" t="str">
        <f t="shared" ref="E7:AD7" si="1">E5</f>
        <v>IE-CW</v>
      </c>
      <c r="F7" s="888" t="str">
        <f t="shared" si="1"/>
        <v>IE-D</v>
      </c>
      <c r="G7" s="888" t="str">
        <f t="shared" si="1"/>
        <v>IE-KE</v>
      </c>
      <c r="H7" s="888" t="str">
        <f t="shared" si="1"/>
        <v>IE-KK</v>
      </c>
      <c r="I7" s="888" t="str">
        <f t="shared" si="1"/>
        <v>IE-LS</v>
      </c>
      <c r="J7" s="888" t="str">
        <f t="shared" si="1"/>
        <v>IE-LD</v>
      </c>
      <c r="K7" s="888" t="str">
        <f t="shared" si="1"/>
        <v>IE-LH</v>
      </c>
      <c r="L7" s="888" t="str">
        <f t="shared" si="1"/>
        <v>IE-MH</v>
      </c>
      <c r="M7" s="888" t="str">
        <f t="shared" si="1"/>
        <v>IE-OY</v>
      </c>
      <c r="N7" s="888" t="str">
        <f t="shared" si="1"/>
        <v>IE-WH</v>
      </c>
      <c r="O7" s="888" t="str">
        <f t="shared" si="1"/>
        <v>IE-WX</v>
      </c>
      <c r="P7" s="888" t="str">
        <f t="shared" si="1"/>
        <v>IE-WW</v>
      </c>
      <c r="Q7" s="888" t="str">
        <f t="shared" si="1"/>
        <v>IE-CE</v>
      </c>
      <c r="R7" s="888" t="str">
        <f t="shared" si="1"/>
        <v>IE-CO</v>
      </c>
      <c r="S7" s="888" t="str">
        <f t="shared" si="1"/>
        <v>IE-KY</v>
      </c>
      <c r="T7" s="888" t="str">
        <f t="shared" si="1"/>
        <v>IE-LK</v>
      </c>
      <c r="U7" s="888" t="str">
        <f t="shared" si="1"/>
        <v>IE-TA</v>
      </c>
      <c r="V7" s="888" t="str">
        <f t="shared" si="1"/>
        <v>IE-WD</v>
      </c>
      <c r="W7" s="888" t="str">
        <f t="shared" si="1"/>
        <v>IE-G</v>
      </c>
      <c r="X7" s="888" t="str">
        <f t="shared" si="1"/>
        <v>IE-LM</v>
      </c>
      <c r="Y7" s="888" t="str">
        <f t="shared" si="1"/>
        <v>IE-MO</v>
      </c>
      <c r="Z7" s="888" t="str">
        <f t="shared" si="1"/>
        <v>IE-RN</v>
      </c>
      <c r="AA7" s="888" t="str">
        <f t="shared" si="1"/>
        <v>IE-SO</v>
      </c>
      <c r="AB7" s="888" t="str">
        <f t="shared" si="1"/>
        <v>IE-CN</v>
      </c>
      <c r="AC7" s="888" t="str">
        <f t="shared" si="1"/>
        <v>IE-DL</v>
      </c>
      <c r="AD7" s="888" t="str">
        <f t="shared" si="1"/>
        <v>IE-MN</v>
      </c>
    </row>
    <row r="10" spans="1:30" ht="15.75" thickBot="1">
      <c r="A10" s="890" t="s">
        <v>804</v>
      </c>
      <c r="B10" s="890" t="s">
        <v>838</v>
      </c>
    </row>
    <row r="11" spans="1:30">
      <c r="A11" s="891" t="s">
        <v>839</v>
      </c>
      <c r="B11" s="891" t="s">
        <v>315</v>
      </c>
    </row>
    <row r="12" spans="1:30">
      <c r="A12" s="892" t="s">
        <v>840</v>
      </c>
      <c r="B12" s="892" t="s">
        <v>331</v>
      </c>
    </row>
    <row r="13" spans="1:30">
      <c r="A13" s="892" t="s">
        <v>841</v>
      </c>
      <c r="B13" s="892" t="s">
        <v>349</v>
      </c>
    </row>
    <row r="14" spans="1:30">
      <c r="A14" s="892" t="s">
        <v>842</v>
      </c>
      <c r="B14" s="892" t="s">
        <v>353</v>
      </c>
    </row>
    <row r="15" spans="1:30">
      <c r="A15" s="892" t="s">
        <v>843</v>
      </c>
      <c r="B15" s="892" t="s">
        <v>357</v>
      </c>
    </row>
    <row r="16" spans="1:30">
      <c r="A16" s="892" t="s">
        <v>844</v>
      </c>
      <c r="B16" s="892" t="s">
        <v>361</v>
      </c>
    </row>
    <row r="17" spans="1:2">
      <c r="A17" s="892" t="s">
        <v>845</v>
      </c>
      <c r="B17" s="892" t="s">
        <v>363</v>
      </c>
    </row>
    <row r="18" spans="1:2">
      <c r="A18" s="892" t="s">
        <v>846</v>
      </c>
      <c r="B18" s="892" t="s">
        <v>364</v>
      </c>
    </row>
    <row r="19" spans="1:2">
      <c r="A19" s="892" t="s">
        <v>847</v>
      </c>
      <c r="B19" s="892" t="s">
        <v>350</v>
      </c>
    </row>
    <row r="20" spans="1:2">
      <c r="A20" s="892" t="s">
        <v>848</v>
      </c>
      <c r="B20" s="892" t="s">
        <v>351</v>
      </c>
    </row>
    <row r="21" spans="1:2">
      <c r="A21" s="892" t="s">
        <v>849</v>
      </c>
      <c r="B21" s="892" t="s">
        <v>352</v>
      </c>
    </row>
    <row r="22" spans="1:2">
      <c r="A22" s="892" t="s">
        <v>850</v>
      </c>
      <c r="B22" s="892" t="s">
        <v>368</v>
      </c>
    </row>
    <row r="23" spans="1:2">
      <c r="A23" s="892" t="s">
        <v>851</v>
      </c>
      <c r="B23" s="892" t="s">
        <v>365</v>
      </c>
    </row>
    <row r="24" spans="1:2">
      <c r="A24" s="892" t="s">
        <v>852</v>
      </c>
      <c r="B24" s="892" t="s">
        <v>354</v>
      </c>
    </row>
    <row r="25" spans="1:2">
      <c r="A25" s="892" t="s">
        <v>853</v>
      </c>
      <c r="B25" s="892" t="s">
        <v>355</v>
      </c>
    </row>
    <row r="26" spans="1:2">
      <c r="A26" s="892" t="s">
        <v>854</v>
      </c>
      <c r="B26" s="892" t="s">
        <v>369</v>
      </c>
    </row>
    <row r="27" spans="1:2">
      <c r="A27" s="892" t="s">
        <v>855</v>
      </c>
      <c r="B27" s="892" t="s">
        <v>356</v>
      </c>
    </row>
    <row r="28" spans="1:2">
      <c r="A28" s="892" t="s">
        <v>856</v>
      </c>
      <c r="B28" s="892" t="s">
        <v>372</v>
      </c>
    </row>
    <row r="29" spans="1:2">
      <c r="A29" s="892" t="s">
        <v>857</v>
      </c>
      <c r="B29" s="892" t="s">
        <v>358</v>
      </c>
    </row>
    <row r="30" spans="1:2">
      <c r="A30" s="892" t="s">
        <v>858</v>
      </c>
      <c r="B30" s="892" t="s">
        <v>370</v>
      </c>
    </row>
    <row r="31" spans="1:2">
      <c r="A31" s="892" t="s">
        <v>859</v>
      </c>
      <c r="B31" s="892" t="s">
        <v>371</v>
      </c>
    </row>
    <row r="32" spans="1:2">
      <c r="A32" s="892" t="s">
        <v>860</v>
      </c>
      <c r="B32" s="892" t="s">
        <v>366</v>
      </c>
    </row>
    <row r="33" spans="1:2">
      <c r="A33" s="892" t="s">
        <v>861</v>
      </c>
      <c r="B33" s="892" t="s">
        <v>367</v>
      </c>
    </row>
    <row r="34" spans="1:2">
      <c r="A34" s="892" t="s">
        <v>862</v>
      </c>
      <c r="B34" s="892" t="s">
        <v>359</v>
      </c>
    </row>
    <row r="35" spans="1:2">
      <c r="A35" s="892" t="s">
        <v>863</v>
      </c>
      <c r="B35" s="892" t="s">
        <v>360</v>
      </c>
    </row>
    <row r="36" spans="1:2">
      <c r="A36" s="892" t="s">
        <v>864</v>
      </c>
      <c r="B36" s="892" t="s">
        <v>362</v>
      </c>
    </row>
    <row r="37" spans="1:2" ht="15">
      <c r="A37" s="893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108" t="s">
        <v>27</v>
      </c>
      <c r="B1" s="1109"/>
      <c r="C1" s="1109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105" t="s">
        <v>29</v>
      </c>
      <c r="B7" s="1106"/>
      <c r="C7" s="1107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105" t="s">
        <v>30</v>
      </c>
      <c r="B28" s="1106"/>
      <c r="C28" s="1107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105" t="s">
        <v>43</v>
      </c>
      <c r="B35" s="1106"/>
      <c r="C35" s="1107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105" t="s">
        <v>51</v>
      </c>
      <c r="B39" s="1106"/>
      <c r="C39" s="1107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105" t="s">
        <v>70</v>
      </c>
      <c r="B49" s="1106"/>
      <c r="C49" s="1107"/>
    </row>
    <row r="50" spans="1:3">
      <c r="A50" s="651"/>
      <c r="B50" s="630" t="s">
        <v>898</v>
      </c>
      <c r="C50" s="629" t="s">
        <v>236</v>
      </c>
    </row>
    <row r="51" spans="1:3">
      <c r="A51" s="915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5" t="s">
        <v>273</v>
      </c>
      <c r="B61" s="630" t="s">
        <v>908</v>
      </c>
      <c r="C61" s="629" t="s">
        <v>911</v>
      </c>
    </row>
    <row r="62" spans="1:3">
      <c r="A62" s="1105" t="s">
        <v>72</v>
      </c>
      <c r="B62" s="1106"/>
      <c r="C62" s="1107"/>
    </row>
    <row r="63" spans="1:3">
      <c r="A63" s="1105" t="s">
        <v>73</v>
      </c>
      <c r="B63" s="1106"/>
      <c r="C63" s="1107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105" t="s">
        <v>80</v>
      </c>
      <c r="B70" s="1106"/>
      <c r="C70" s="1107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105" t="s">
        <v>547</v>
      </c>
      <c r="B76" s="1106"/>
      <c r="C76" s="1107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105" t="s">
        <v>895</v>
      </c>
      <c r="B84" s="1106"/>
      <c r="C84" s="1107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C1" workbookViewId="0">
      <selection activeCell="T26" sqref="T26:W26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16" t="s">
        <v>822</v>
      </c>
      <c r="G1" s="1117"/>
      <c r="H1" s="949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23" t="s">
        <v>806</v>
      </c>
      <c r="G2" s="1124"/>
      <c r="H2" s="950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25" t="s">
        <v>554</v>
      </c>
      <c r="G3" s="1126"/>
      <c r="H3" s="914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27" t="s">
        <v>225</v>
      </c>
      <c r="G4" s="1128"/>
      <c r="H4" s="951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</row>
    <row r="5" spans="1:41" ht="13.5" thickBot="1">
      <c r="A5" s="89"/>
      <c r="B5" s="89"/>
      <c r="C5" s="98"/>
      <c r="D5" s="98"/>
      <c r="E5" s="98"/>
      <c r="F5" s="1129" t="s">
        <v>562</v>
      </c>
      <c r="G5" s="1130"/>
      <c r="H5" s="948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969</v>
      </c>
      <c r="AF6" s="1059" t="s">
        <v>966</v>
      </c>
    </row>
    <row r="7" spans="1:41" ht="13.5" customHeight="1" thickBot="1">
      <c r="A7" s="635" t="s">
        <v>214</v>
      </c>
      <c r="B7" s="636"/>
      <c r="C7" s="637"/>
      <c r="D7" s="98"/>
      <c r="E7" s="882"/>
      <c r="F7" s="877" t="s">
        <v>236</v>
      </c>
      <c r="G7" s="878"/>
      <c r="H7" s="879"/>
      <c r="I7" s="1122" t="s">
        <v>237</v>
      </c>
      <c r="J7" s="1120"/>
      <c r="K7" s="1121"/>
      <c r="L7" s="1122" t="s">
        <v>238</v>
      </c>
      <c r="M7" s="1120"/>
      <c r="N7" s="1121"/>
      <c r="O7" s="1122" t="s">
        <v>239</v>
      </c>
      <c r="P7" s="1120"/>
      <c r="Q7" s="1120"/>
      <c r="R7" s="1118" t="s">
        <v>240</v>
      </c>
      <c r="S7" s="1120" t="s">
        <v>821</v>
      </c>
      <c r="T7" s="1120"/>
      <c r="U7" s="1120"/>
      <c r="V7" s="1120"/>
      <c r="W7" s="1120"/>
      <c r="X7" s="1121"/>
      <c r="Y7" s="1110" t="s">
        <v>892</v>
      </c>
      <c r="Z7" s="1110" t="s">
        <v>564</v>
      </c>
      <c r="AA7" s="1112" t="s">
        <v>959</v>
      </c>
      <c r="AB7" s="1112" t="s">
        <v>958</v>
      </c>
      <c r="AC7" s="1112" t="s">
        <v>960</v>
      </c>
      <c r="AE7" s="1112" t="s">
        <v>964</v>
      </c>
      <c r="AF7" s="1113"/>
      <c r="AG7" s="1113"/>
      <c r="AH7" s="1113"/>
      <c r="AI7" s="1113"/>
      <c r="AJ7" s="1113"/>
      <c r="AK7" s="1113"/>
      <c r="AL7" s="1113"/>
      <c r="AM7" s="1113"/>
      <c r="AN7" s="1113"/>
      <c r="AO7" s="1113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6"/>
      <c r="F8" s="930" t="s">
        <v>46</v>
      </c>
      <c r="G8" s="931" t="s">
        <v>48</v>
      </c>
      <c r="H8" s="932" t="s">
        <v>50</v>
      </c>
      <c r="I8" s="845" t="s">
        <v>46</v>
      </c>
      <c r="J8" s="876" t="s">
        <v>48</v>
      </c>
      <c r="K8" s="822" t="s">
        <v>50</v>
      </c>
      <c r="L8" s="929" t="s">
        <v>46</v>
      </c>
      <c r="M8" s="876" t="s">
        <v>48</v>
      </c>
      <c r="N8" s="822" t="s">
        <v>50</v>
      </c>
      <c r="O8" s="845" t="s">
        <v>46</v>
      </c>
      <c r="P8" s="876" t="s">
        <v>48</v>
      </c>
      <c r="Q8" s="822" t="s">
        <v>50</v>
      </c>
      <c r="R8" s="1119"/>
      <c r="S8" s="925" t="s">
        <v>241</v>
      </c>
      <c r="T8" s="925" t="s">
        <v>242</v>
      </c>
      <c r="U8" s="925" t="s">
        <v>243</v>
      </c>
      <c r="V8" s="925" t="s">
        <v>244</v>
      </c>
      <c r="W8" s="925" t="s">
        <v>247</v>
      </c>
      <c r="X8" s="926" t="s">
        <v>245</v>
      </c>
      <c r="Y8" s="1111"/>
      <c r="Z8" s="1111"/>
      <c r="AA8" s="1114" t="s">
        <v>830</v>
      </c>
      <c r="AB8" s="1114"/>
      <c r="AC8" s="1114" t="s">
        <v>830</v>
      </c>
      <c r="AE8" s="1114"/>
      <c r="AF8" s="1115"/>
      <c r="AG8" s="1115"/>
      <c r="AH8" s="1115"/>
      <c r="AI8" s="1115"/>
      <c r="AJ8" s="1115"/>
      <c r="AK8" s="1115"/>
      <c r="AL8" s="1115"/>
      <c r="AM8" s="1115"/>
      <c r="AN8" s="1115"/>
      <c r="AO8" s="1115"/>
    </row>
    <row r="9" spans="1:41" s="115" customFormat="1" ht="12" customHeight="1">
      <c r="A9" s="846" t="s">
        <v>806</v>
      </c>
      <c r="B9" s="847" t="s">
        <v>646</v>
      </c>
      <c r="C9" s="847">
        <f>(EnergyBalance!D56+EnergyBalance!E56+EnergyBalance!F56+EnergyBalance!G56)*RSD_Balance!B4</f>
        <v>6.4972992069116762</v>
      </c>
      <c r="D9" s="98"/>
      <c r="E9" s="916" t="s">
        <v>806</v>
      </c>
      <c r="F9" s="933">
        <f>'SHWLP-Apt'!$AA$7+'SHWLP-Apt'!AA19</f>
        <v>8.5334395921791248E-2</v>
      </c>
      <c r="G9" s="927">
        <f>'SHWLP-Att'!$AA$7+'SHWLP-Att'!$AA$19</f>
        <v>2.7701886848236001</v>
      </c>
      <c r="H9" s="934">
        <f>'SHWLP-Det'!$AA$7+'SHWLP-Det'!$AA$19</f>
        <v>3.206216324625665</v>
      </c>
      <c r="I9" s="933">
        <f>'SHWLP-Apt'!$AA$33+'SHWLP-Apt'!$AA$45</f>
        <v>2.4991812811631701E-3</v>
      </c>
      <c r="J9" s="927">
        <f>'SHWLP-Att'!$AA$33+'SHWLP-Att'!$AA$45</f>
        <v>0.2750134292388709</v>
      </c>
      <c r="K9" s="934">
        <f>'SHWLP-Det'!$AA$33+'SHWLP-Det'!$AA$45</f>
        <v>0.15814361799245538</v>
      </c>
      <c r="L9" s="937"/>
      <c r="M9" s="938"/>
      <c r="N9" s="939"/>
      <c r="O9" s="937"/>
      <c r="P9" s="938"/>
      <c r="Q9" s="939"/>
      <c r="R9" s="940"/>
      <c r="S9" s="937"/>
      <c r="T9" s="938"/>
      <c r="U9" s="938"/>
      <c r="V9" s="938"/>
      <c r="W9" s="938"/>
      <c r="X9" s="939"/>
      <c r="Y9" s="921">
        <f>SUM(F9:X9)</f>
        <v>6.4973956338835457</v>
      </c>
      <c r="Z9" s="880">
        <f>C9</f>
        <v>6.4972992069116762</v>
      </c>
      <c r="AA9" s="764">
        <f>ABS(Z9-Y9)/Z9</f>
        <v>1.4841085318486692E-5</v>
      </c>
      <c r="AB9" s="1042">
        <f>AF13</f>
        <v>6.4973956338835404</v>
      </c>
      <c r="AC9" s="764">
        <f>ABS(AB9-Y9)/AB9</f>
        <v>8.2018562797837928E-16</v>
      </c>
      <c r="AF9" s="1050" t="s">
        <v>967</v>
      </c>
      <c r="AG9" s="115" t="s">
        <v>963</v>
      </c>
      <c r="AH9" s="115" t="s">
        <v>968</v>
      </c>
      <c r="AI9" s="115" t="s">
        <v>240</v>
      </c>
      <c r="AK9" s="115" t="s">
        <v>961</v>
      </c>
      <c r="AL9" s="115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7" t="s">
        <v>554</v>
      </c>
      <c r="F10" s="935">
        <f>'SHWLP-Apt'!$AA$17+'SHWLP-Apt'!$AA$20</f>
        <v>6.2811496129074898E-2</v>
      </c>
      <c r="G10" s="928">
        <f>'SHWLP-Att'!$AA$17+'SHWLP-Att'!$AA$20</f>
        <v>1.9799670923286381</v>
      </c>
      <c r="H10" s="936">
        <f>'SHWLP-Det'!$AA$17+'SHWLP-Det'!$AA$20</f>
        <v>5.3541915074111817</v>
      </c>
      <c r="I10" s="935">
        <f>'SHWLP-Apt'!$AA$43+'SHWLP-Apt'!$AA$46</f>
        <v>6.887642101817814E-3</v>
      </c>
      <c r="J10" s="928">
        <f>'SHWLP-Att'!$AA$43+'SHWLP-Att'!$AA$46</f>
        <v>0.38603250857605881</v>
      </c>
      <c r="K10" s="936">
        <f>'SHWLP-Det'!$AA$43+'SHWLP-Det'!$AA$46</f>
        <v>0.43852266501491649</v>
      </c>
      <c r="L10" s="935"/>
      <c r="M10" s="928"/>
      <c r="N10" s="936"/>
      <c r="O10" s="935"/>
      <c r="P10" s="928"/>
      <c r="Q10" s="936"/>
      <c r="R10" s="913"/>
      <c r="S10" s="942"/>
      <c r="T10" s="928"/>
      <c r="U10" s="928"/>
      <c r="V10" s="928"/>
      <c r="W10" s="928"/>
      <c r="X10" s="936"/>
      <c r="Y10" s="922">
        <f>SUM(F10:X10)</f>
        <v>8.2284129115616871</v>
      </c>
      <c r="Z10" s="881">
        <f t="shared" ref="Z10:Z27" si="0">C10</f>
        <v>8.22868674342444</v>
      </c>
      <c r="AA10" s="764">
        <f>ABS(Z10-Y10)/Z10</f>
        <v>3.3277711412661433E-5</v>
      </c>
      <c r="AB10" s="1043">
        <f>AF19</f>
        <v>8.22841291156168</v>
      </c>
      <c r="AC10" s="764">
        <f>ABS(AB10-Y10)/AB10</f>
        <v>8.6352343203599088E-16</v>
      </c>
      <c r="AE10" s="1046" t="s">
        <v>664</v>
      </c>
      <c r="AF10" s="1072">
        <v>2.4381198480163E-4</v>
      </c>
      <c r="AG10" s="1062">
        <v>1.92211151700517E-4</v>
      </c>
      <c r="AH10" s="1061">
        <v>5.1600833101112199E-5</v>
      </c>
      <c r="AJ10" s="115" t="s">
        <v>45</v>
      </c>
      <c r="AK10" s="1060">
        <v>6.8669034558234102E-2</v>
      </c>
      <c r="AL10" s="1058">
        <v>0.33324972411353698</v>
      </c>
      <c r="AM10" s="925" t="s">
        <v>241</v>
      </c>
      <c r="AN10" s="1053">
        <v>1.411707806586</v>
      </c>
      <c r="AO10" s="1051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6" t="s">
        <v>217</v>
      </c>
      <c r="F11" s="933">
        <f>'SHWLP-Apt'!$AA$10</f>
        <v>6.2699491377557662E-2</v>
      </c>
      <c r="G11" s="927">
        <f>'SHWLP-Att'!$AA$10</f>
        <v>0.25252091542318</v>
      </c>
      <c r="H11" s="934">
        <f>'SHWLP-Det'!$AA$10</f>
        <v>1.074735008078707</v>
      </c>
      <c r="I11" s="933">
        <f>'SHWLP-Apt'!$AA$36</f>
        <v>2.9221417979611884E-2</v>
      </c>
      <c r="J11" s="927">
        <f>'SHWLP-Att'!$AA$36</f>
        <v>0.11011048922069677</v>
      </c>
      <c r="K11" s="934">
        <f>'SHWLP-Det'!$AA$36</f>
        <v>0.25759124423742613</v>
      </c>
      <c r="L11" s="933"/>
      <c r="M11" s="927"/>
      <c r="N11" s="934"/>
      <c r="O11" s="933"/>
      <c r="P11" s="927"/>
      <c r="Q11" s="934"/>
      <c r="R11" s="941">
        <f>'[1]1d_Cooking'!L11*0.041868</f>
        <v>3.9492406345735545E-2</v>
      </c>
      <c r="S11" s="933"/>
      <c r="T11" s="927"/>
      <c r="U11" s="927"/>
      <c r="V11" s="927"/>
      <c r="W11" s="927"/>
      <c r="X11" s="934"/>
      <c r="Y11" s="921">
        <f t="shared" ref="Y11:Y27" si="1">SUM(F11:X11)</f>
        <v>1.8263709726629151</v>
      </c>
      <c r="Z11" s="880">
        <f t="shared" si="0"/>
        <v>1.8263239604601826</v>
      </c>
      <c r="AA11" s="764">
        <f>ABS(Z11-Y11)/Z11</f>
        <v>2.5741436760575941E-5</v>
      </c>
      <c r="AB11" s="1071">
        <f>AF18</f>
        <v>1.82389251792318</v>
      </c>
      <c r="AC11" s="764">
        <f>ABS(AB11-Y11)/AB11</f>
        <v>1.3588820149102504E-3</v>
      </c>
      <c r="AD11" s="764"/>
      <c r="AE11" s="1046" t="s">
        <v>663</v>
      </c>
      <c r="AF11" s="1072">
        <v>1.3994741658566301E-4</v>
      </c>
      <c r="AG11" s="1062">
        <v>1.39931005327563E-4</v>
      </c>
      <c r="AH11" s="1061">
        <v>1.6411258099618999E-8</v>
      </c>
      <c r="AJ11" s="115" t="s">
        <v>47</v>
      </c>
      <c r="AK11" s="1060">
        <v>0.48537443842897698</v>
      </c>
      <c r="AL11" s="1058">
        <v>1.75278205685372</v>
      </c>
      <c r="AM11" s="925" t="s">
        <v>242</v>
      </c>
      <c r="AN11" s="1067">
        <v>1.10232379053225</v>
      </c>
      <c r="AO11" s="1051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8" t="s">
        <v>218</v>
      </c>
      <c r="F12" s="935"/>
      <c r="G12" s="928"/>
      <c r="H12" s="936"/>
      <c r="I12" s="935"/>
      <c r="J12" s="928"/>
      <c r="K12" s="936"/>
      <c r="L12" s="935"/>
      <c r="M12" s="928"/>
      <c r="N12" s="936"/>
      <c r="O12" s="935"/>
      <c r="P12" s="928"/>
      <c r="Q12" s="936"/>
      <c r="R12" s="913"/>
      <c r="S12" s="942"/>
      <c r="T12" s="928"/>
      <c r="U12" s="928"/>
      <c r="V12" s="928"/>
      <c r="W12" s="928"/>
      <c r="X12" s="936"/>
      <c r="Y12" s="922">
        <f t="shared" si="1"/>
        <v>0</v>
      </c>
      <c r="Z12" s="881">
        <f t="shared" si="0"/>
        <v>0</v>
      </c>
      <c r="AA12" s="764"/>
      <c r="AB12" s="89"/>
      <c r="AC12" s="89"/>
      <c r="AD12" s="89"/>
      <c r="AE12" s="1046" t="s">
        <v>659</v>
      </c>
      <c r="AF12" s="1072">
        <v>1.1663087225055899</v>
      </c>
      <c r="AG12" s="1062">
        <v>0.13880820005619601</v>
      </c>
      <c r="AH12" s="1061">
        <v>1.0275005224494</v>
      </c>
      <c r="AJ12" s="115" t="s">
        <v>49</v>
      </c>
      <c r="AK12" s="1060">
        <v>0.56807842105210204</v>
      </c>
      <c r="AL12" s="1058">
        <v>2.7292596494240802</v>
      </c>
      <c r="AM12" s="925" t="s">
        <v>243</v>
      </c>
      <c r="AN12" s="1066">
        <v>1.7147299705762999</v>
      </c>
      <c r="AO12" s="1051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6" t="s">
        <v>219</v>
      </c>
      <c r="F13" s="933">
        <f>'SHWLP-Apt'!$AA$13</f>
        <v>0.22904314927329883</v>
      </c>
      <c r="G13" s="927">
        <f>'SHWLP-Att'!$AA$13</f>
        <v>6.6978412716502147</v>
      </c>
      <c r="H13" s="934">
        <f>'SHWLP-Det'!$AA$13</f>
        <v>25.388899193879137</v>
      </c>
      <c r="I13" s="933">
        <f>'SHWLP-Apt'!$AA$39</f>
        <v>5.9339455985880335E-2</v>
      </c>
      <c r="J13" s="927">
        <f>'SHWLP-Att'!$AA$39</f>
        <v>2.6239567853145891</v>
      </c>
      <c r="K13" s="934">
        <f>'SHWLP-Det'!$AA$39</f>
        <v>7.5135071118768257</v>
      </c>
      <c r="L13" s="933"/>
      <c r="M13" s="927"/>
      <c r="N13" s="934"/>
      <c r="O13" s="933"/>
      <c r="P13" s="927"/>
      <c r="Q13" s="934"/>
      <c r="R13" s="941"/>
      <c r="S13" s="933"/>
      <c r="T13" s="927"/>
      <c r="U13" s="927"/>
      <c r="V13" s="927"/>
      <c r="W13" s="927"/>
      <c r="X13" s="934"/>
      <c r="Y13" s="923">
        <f t="shared" si="1"/>
        <v>42.512586967979942</v>
      </c>
      <c r="Z13" s="911">
        <f t="shared" si="0"/>
        <v>35.670303433474402</v>
      </c>
      <c r="AA13" s="764">
        <f>ABS(Z13+Z14+Z16-Y13)/(Z13+Z14+Z16)</f>
        <v>4.3716020458486514E-5</v>
      </c>
      <c r="AB13" s="1042">
        <f>AF17</f>
        <v>42.5125869679799</v>
      </c>
      <c r="AC13" s="764">
        <f t="shared" ref="AC13:AC27" si="2">ABS(AB13-Y13)/AB13</f>
        <v>1.0028221565936809E-15</v>
      </c>
      <c r="AD13" s="89"/>
      <c r="AE13" s="1046" t="s">
        <v>912</v>
      </c>
      <c r="AF13" s="1072">
        <v>6.4973956338835404</v>
      </c>
      <c r="AG13" s="1062">
        <v>0.43565622851248997</v>
      </c>
      <c r="AH13" s="1061">
        <v>6.0617394053710498</v>
      </c>
      <c r="AM13" s="925" t="s">
        <v>244</v>
      </c>
      <c r="AN13" s="1068">
        <v>1.1862012348846001</v>
      </c>
      <c r="AO13" s="1051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8" t="s">
        <v>220</v>
      </c>
      <c r="F14" s="935"/>
      <c r="G14" s="928"/>
      <c r="H14" s="936"/>
      <c r="I14" s="935"/>
      <c r="J14" s="928"/>
      <c r="K14" s="936"/>
      <c r="L14" s="935"/>
      <c r="M14" s="928"/>
      <c r="N14" s="936"/>
      <c r="O14" s="935"/>
      <c r="P14" s="928"/>
      <c r="Q14" s="936"/>
      <c r="R14" s="913"/>
      <c r="S14" s="942"/>
      <c r="T14" s="928"/>
      <c r="U14" s="928"/>
      <c r="V14" s="928"/>
      <c r="W14" s="928"/>
      <c r="X14" s="936"/>
      <c r="Y14" s="924">
        <f t="shared" si="1"/>
        <v>0</v>
      </c>
      <c r="Z14" s="912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6" t="s">
        <v>471</v>
      </c>
      <c r="AF14" s="1072">
        <v>29.471665926863601</v>
      </c>
      <c r="AG14" s="1062">
        <v>2.0117786548284302</v>
      </c>
      <c r="AH14" s="1061">
        <v>3.1714208225912701</v>
      </c>
      <c r="AI14" s="1063">
        <v>2.0926467222800502</v>
      </c>
      <c r="AM14" s="925" t="s">
        <v>247</v>
      </c>
      <c r="AN14" s="1069">
        <v>10.843443600154</v>
      </c>
      <c r="AO14" s="1051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9" t="s">
        <v>221</v>
      </c>
      <c r="F15" s="933"/>
      <c r="G15" s="927"/>
      <c r="H15" s="934"/>
      <c r="I15" s="933"/>
      <c r="J15" s="927"/>
      <c r="K15" s="934"/>
      <c r="L15" s="933"/>
      <c r="M15" s="927"/>
      <c r="N15" s="934"/>
      <c r="O15" s="933"/>
      <c r="P15" s="927"/>
      <c r="Q15" s="934"/>
      <c r="R15" s="941"/>
      <c r="S15" s="933"/>
      <c r="T15" s="927"/>
      <c r="U15" s="927"/>
      <c r="V15" s="927"/>
      <c r="W15" s="927"/>
      <c r="X15" s="934"/>
      <c r="Y15" s="923">
        <f t="shared" si="1"/>
        <v>0</v>
      </c>
      <c r="Z15" s="912">
        <f t="shared" si="0"/>
        <v>0</v>
      </c>
      <c r="AA15" s="764">
        <f>ABS(Z13+Z14+Z16-Y13)/(Z13+Z14+Z16)</f>
        <v>4.3716020458486514E-5</v>
      </c>
      <c r="AD15" s="89"/>
      <c r="AE15" s="1046" t="s">
        <v>657</v>
      </c>
      <c r="AF15" s="1072">
        <v>25.249696509276699</v>
      </c>
      <c r="AG15" s="1062">
        <v>7.0470648253087997</v>
      </c>
      <c r="AH15" s="1061">
        <v>17.5747468428345</v>
      </c>
      <c r="AI15" s="1064">
        <v>0.62788484113337895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8" t="s">
        <v>222</v>
      </c>
      <c r="F16" s="935"/>
      <c r="G16" s="928"/>
      <c r="H16" s="936"/>
      <c r="I16" s="935"/>
      <c r="J16" s="928"/>
      <c r="K16" s="936"/>
      <c r="L16" s="935"/>
      <c r="M16" s="928"/>
      <c r="N16" s="936"/>
      <c r="O16" s="935"/>
      <c r="P16" s="928"/>
      <c r="Q16" s="936"/>
      <c r="R16" s="913"/>
      <c r="S16" s="942"/>
      <c r="T16" s="928"/>
      <c r="U16" s="928"/>
      <c r="V16" s="928"/>
      <c r="W16" s="928"/>
      <c r="X16" s="936"/>
      <c r="Y16" s="924">
        <f t="shared" si="1"/>
        <v>0</v>
      </c>
      <c r="Z16" s="912">
        <f t="shared" si="0"/>
        <v>0.14696868507580046</v>
      </c>
      <c r="AA16" s="764">
        <f>ABS(Z13+Z14+Z16-Y13)/(Z13+Z14+Z16)</f>
        <v>4.3716020458486514E-5</v>
      </c>
      <c r="AD16" s="89"/>
      <c r="AE16" s="1046" t="s">
        <v>468</v>
      </c>
      <c r="AF16" s="1072">
        <v>0.245097802600691</v>
      </c>
      <c r="AG16" s="1062">
        <v>1.35714058744892E-2</v>
      </c>
      <c r="AH16" s="1061">
        <v>0.23152639672620201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6" t="s">
        <v>223</v>
      </c>
      <c r="F17" s="933">
        <f>'SHWLP-Apt'!$AA$15</f>
        <v>1.2330602547738085</v>
      </c>
      <c r="G17" s="927">
        <f>'SHWLP-Att'!$AA$15</f>
        <v>11.252890681411458</v>
      </c>
      <c r="H17" s="934">
        <f>'SHWLP-Det'!$AA$15</f>
        <v>5.0887959066492119</v>
      </c>
      <c r="I17" s="933">
        <f>'SHWLP-Apt'!$AA$41</f>
        <v>0.73352387446611567</v>
      </c>
      <c r="J17" s="927">
        <f>'SHWLP-Att'!$AA$41</f>
        <v>4.6877267184596745</v>
      </c>
      <c r="K17" s="934">
        <f>'SHWLP-Det'!$AA$41</f>
        <v>1.6258142323829905</v>
      </c>
      <c r="L17" s="933"/>
      <c r="M17" s="927"/>
      <c r="N17" s="934"/>
      <c r="O17" s="933"/>
      <c r="P17" s="927"/>
      <c r="Q17" s="934"/>
      <c r="R17" s="941">
        <f>'[1]1d_Cooking'!L8/1000</f>
        <v>0.66992893469234771</v>
      </c>
      <c r="S17" s="933"/>
      <c r="T17" s="927"/>
      <c r="U17" s="927"/>
      <c r="V17" s="927"/>
      <c r="W17" s="927"/>
      <c r="X17" s="934"/>
      <c r="Y17" s="921">
        <f t="shared" si="1"/>
        <v>25.291740602835606</v>
      </c>
      <c r="Z17" s="880">
        <f t="shared" si="0"/>
        <v>25.292197479166735</v>
      </c>
      <c r="AA17" s="764">
        <f>ABS(Z17-Y17)/Z17</f>
        <v>1.8063923923758402E-5</v>
      </c>
      <c r="AB17" s="1050">
        <f>AF15</f>
        <v>25.249696509276699</v>
      </c>
      <c r="AC17" s="764">
        <f t="shared" si="2"/>
        <v>1.6651326301470634E-3</v>
      </c>
      <c r="AD17" s="89"/>
      <c r="AE17" s="1046" t="s">
        <v>653</v>
      </c>
      <c r="AF17" s="1072">
        <v>42.5125869679799</v>
      </c>
      <c r="AG17" s="1062">
        <v>10.1968033531773</v>
      </c>
      <c r="AH17" s="1061">
        <v>32.315783614802598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20" t="s">
        <v>224</v>
      </c>
      <c r="F18" s="935"/>
      <c r="G18" s="928"/>
      <c r="H18" s="936"/>
      <c r="I18" s="956">
        <f>($C$18*0.05)-I27</f>
        <v>1.7846481139783446E-2</v>
      </c>
      <c r="J18" s="957">
        <f>($C$18*0.475)-J27</f>
        <v>0.2636986099555837</v>
      </c>
      <c r="K18" s="958">
        <f>($C$18*0.475)-K27</f>
        <v>0.265060216590152</v>
      </c>
      <c r="L18" s="935"/>
      <c r="M18" s="928"/>
      <c r="N18" s="936"/>
      <c r="O18" s="935"/>
      <c r="P18" s="928"/>
      <c r="Q18" s="936"/>
      <c r="R18" s="913"/>
      <c r="S18" s="942"/>
      <c r="T18" s="928"/>
      <c r="U18" s="928"/>
      <c r="V18" s="928"/>
      <c r="W18" s="928"/>
      <c r="X18" s="936"/>
      <c r="Y18" s="943">
        <f t="shared" si="1"/>
        <v>0.54660530768551907</v>
      </c>
      <c r="Z18" s="944">
        <f t="shared" si="0"/>
        <v>0.56017671356000831</v>
      </c>
      <c r="AA18" s="764">
        <f>ABS(Z18+Z22+Z27-Y18-Y22-Y27)/(Z18+Z22+Z27)</f>
        <v>3.2713528679971503E-17</v>
      </c>
      <c r="AB18" s="1043">
        <f>AF21</f>
        <v>0.54660530768551896</v>
      </c>
      <c r="AC18" s="764">
        <f t="shared" si="2"/>
        <v>2.0311237542243304E-16</v>
      </c>
      <c r="AD18" s="89"/>
      <c r="AE18" s="1046" t="s">
        <v>651</v>
      </c>
      <c r="AF18" s="1072">
        <v>1.82389251792318</v>
      </c>
      <c r="AG18" s="1062">
        <v>0.39692315143773499</v>
      </c>
      <c r="AH18" s="1061">
        <v>1.38995541487945</v>
      </c>
      <c r="AI18" s="1065">
        <v>3.7013951606002099E-2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6" t="s">
        <v>225</v>
      </c>
      <c r="F19" s="933">
        <f>'SHWLP-Apt'!$AA$21+'SHWLP-Apt'!$AA$22</f>
        <v>1.0298937985414789E-2</v>
      </c>
      <c r="G19" s="927">
        <f>'SHWLP-Att'!$AA$21+'SHWLP-Att'!$AA$22</f>
        <v>0.22863830440973262</v>
      </c>
      <c r="H19" s="934">
        <f>'SHWLP-Det'!$AA$21+'SHWLP-Det'!$AA$22</f>
        <v>0.78856328005425225</v>
      </c>
      <c r="I19" s="933">
        <f>'SHWLP-Apt'!$AA$48+'SHWLP-Apt'!$AA$47</f>
        <v>3.5855018610318609E-3</v>
      </c>
      <c r="J19" s="927">
        <f>'SHWLP-Att'!$AA$48+'SHWLP-Att'!$AA$47</f>
        <v>4.1562072672763774E-2</v>
      </c>
      <c r="K19" s="934">
        <f>'SHWLP-Det'!$AA$48+'SHWLP-Det'!$AA$47</f>
        <v>9.366062552240062E-2</v>
      </c>
      <c r="L19" s="933"/>
      <c r="M19" s="927"/>
      <c r="N19" s="934"/>
      <c r="O19" s="933"/>
      <c r="P19" s="927"/>
      <c r="Q19" s="934"/>
      <c r="R19" s="941"/>
      <c r="S19" s="933"/>
      <c r="T19" s="927"/>
      <c r="U19" s="927"/>
      <c r="V19" s="927"/>
      <c r="W19" s="927"/>
      <c r="X19" s="934"/>
      <c r="Y19" s="921">
        <f>SUM(F19:X19)</f>
        <v>1.1663087225055957</v>
      </c>
      <c r="Z19" s="880">
        <f t="shared" si="0"/>
        <v>1.1663445324142983</v>
      </c>
      <c r="AA19" s="764">
        <f>ABS(Z19-Y19)/Z19</f>
        <v>3.0702684933438978E-5</v>
      </c>
      <c r="AB19" s="1043">
        <f>AF12</f>
        <v>1.1663087225055899</v>
      </c>
      <c r="AC19" s="764">
        <f t="shared" si="2"/>
        <v>4.9499413119780939E-15</v>
      </c>
      <c r="AD19" s="89"/>
      <c r="AE19" s="1046" t="s">
        <v>472</v>
      </c>
      <c r="AF19" s="1072">
        <v>8.22841291156168</v>
      </c>
      <c r="AG19" s="1062">
        <v>0.83144281569279299</v>
      </c>
      <c r="AH19" s="1061">
        <v>7.3969700958688902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8" t="s">
        <v>226</v>
      </c>
      <c r="F20" s="935"/>
      <c r="G20" s="928"/>
      <c r="H20" s="936"/>
      <c r="I20" s="935"/>
      <c r="J20" s="928"/>
      <c r="K20" s="936"/>
      <c r="L20" s="935"/>
      <c r="M20" s="928"/>
      <c r="N20" s="936"/>
      <c r="O20" s="935"/>
      <c r="P20" s="928"/>
      <c r="Q20" s="936"/>
      <c r="R20" s="913"/>
      <c r="S20" s="942"/>
      <c r="T20" s="928"/>
      <c r="U20" s="928"/>
      <c r="V20" s="928"/>
      <c r="W20" s="928"/>
      <c r="X20" s="936"/>
      <c r="Y20" s="922">
        <f t="shared" si="1"/>
        <v>0</v>
      </c>
      <c r="Z20" s="881">
        <f t="shared" si="0"/>
        <v>0</v>
      </c>
      <c r="AD20" s="89"/>
      <c r="AE20" s="1046" t="s">
        <v>662</v>
      </c>
      <c r="AF20" s="1072">
        <v>0.90518357455631904</v>
      </c>
      <c r="AH20" s="1061">
        <v>0.90518357455631904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9" t="s">
        <v>227</v>
      </c>
      <c r="F21" s="933"/>
      <c r="G21" s="927"/>
      <c r="H21" s="934"/>
      <c r="I21" s="933"/>
      <c r="J21" s="927"/>
      <c r="K21" s="934"/>
      <c r="L21" s="933"/>
      <c r="M21" s="927"/>
      <c r="N21" s="934"/>
      <c r="O21" s="933"/>
      <c r="P21" s="927"/>
      <c r="Q21" s="934"/>
      <c r="R21" s="941"/>
      <c r="S21" s="933"/>
      <c r="T21" s="927"/>
      <c r="U21" s="927"/>
      <c r="V21" s="927"/>
      <c r="W21" s="927"/>
      <c r="X21" s="934"/>
      <c r="Y21" s="921">
        <f t="shared" si="1"/>
        <v>0</v>
      </c>
      <c r="Z21" s="880">
        <f t="shared" si="0"/>
        <v>0</v>
      </c>
      <c r="AD21" s="89"/>
      <c r="AE21" s="1046" t="s">
        <v>658</v>
      </c>
      <c r="AF21" s="1072">
        <v>0.54660530768551896</v>
      </c>
      <c r="AG21" s="1062">
        <v>0.54660530768551896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20" t="s">
        <v>228</v>
      </c>
      <c r="F22" s="956">
        <f>$C$22*DwellingStocks!$I$38/DwellingStocks!$L$38-F27</f>
        <v>0.10096088069080073</v>
      </c>
      <c r="G22" s="957">
        <f>$C$22*DwellingStocks!$J$38/DwellingStocks!$L$38-G27</f>
        <v>0.46869751397120968</v>
      </c>
      <c r="H22" s="958">
        <f>$C$22*DwellingStocks!$K$38/DwellingStocks!$L$38-H27</f>
        <v>0.33552517989430808</v>
      </c>
      <c r="I22" s="935"/>
      <c r="J22" s="928"/>
      <c r="K22" s="936"/>
      <c r="L22" s="935"/>
      <c r="M22" s="928"/>
      <c r="N22" s="936"/>
      <c r="O22" s="935"/>
      <c r="P22" s="928"/>
      <c r="Q22" s="936"/>
      <c r="R22" s="913"/>
      <c r="S22" s="942"/>
      <c r="T22" s="928"/>
      <c r="U22" s="928"/>
      <c r="V22" s="928"/>
      <c r="W22" s="928"/>
      <c r="X22" s="936"/>
      <c r="Y22" s="943">
        <f t="shared" si="1"/>
        <v>0.90518357455631848</v>
      </c>
      <c r="Z22" s="944">
        <f t="shared" si="0"/>
        <v>1.1367099712825202</v>
      </c>
      <c r="AA22" s="764">
        <f>ABS(Z18+Z22+Z27-Y18-Y22-Y27)/(Z18+Z22+Z27)</f>
        <v>3.2713528679971503E-17</v>
      </c>
      <c r="AB22" s="1042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6" t="s">
        <v>229</v>
      </c>
      <c r="F23" s="933">
        <f>'SHWLP-Apt'!$AA$9</f>
        <v>1.6411258099618979E-8</v>
      </c>
      <c r="G23" s="927">
        <f>'SHWLP-Att'!$AA$9</f>
        <v>0</v>
      </c>
      <c r="H23" s="934">
        <f>'SHWLP-Det'!$AA$9</f>
        <v>0</v>
      </c>
      <c r="I23" s="933">
        <f>'SHWLP-Apt'!$AA$35</f>
        <v>4.395559180299348E-5</v>
      </c>
      <c r="J23" s="927">
        <f>'SHWLP-Att'!$AA$35</f>
        <v>2.1879412797081848E-5</v>
      </c>
      <c r="K23" s="934">
        <f>'SHWLP-Det'!$AA$35</f>
        <v>7.4096000727488155E-5</v>
      </c>
      <c r="L23" s="933"/>
      <c r="M23" s="927"/>
      <c r="N23" s="934"/>
      <c r="O23" s="933"/>
      <c r="P23" s="927"/>
      <c r="Q23" s="934"/>
      <c r="R23" s="941"/>
      <c r="S23" s="933"/>
      <c r="T23" s="927"/>
      <c r="U23" s="927"/>
      <c r="V23" s="927"/>
      <c r="W23" s="927"/>
      <c r="X23" s="934"/>
      <c r="Y23" s="921">
        <f t="shared" si="1"/>
        <v>1.3994741658566312E-4</v>
      </c>
      <c r="Z23" s="880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7" t="s">
        <v>231</v>
      </c>
      <c r="F24" s="935">
        <f>'SHWLP-Apt'!$AA$8</f>
        <v>2.2877293790868852E-5</v>
      </c>
      <c r="G24" s="928">
        <f>'SHWLP-Att'!$AA$8</f>
        <v>2.872353931024329E-5</v>
      </c>
      <c r="H24" s="936">
        <f>'SHWLP-Det'!$AA$8</f>
        <v>0</v>
      </c>
      <c r="I24" s="935">
        <f>'SHWLP-Apt'!$AA$34</f>
        <v>4.8644706191773872E-5</v>
      </c>
      <c r="J24" s="928">
        <f>'SHWLP-Att'!$AA$34</f>
        <v>7.8153182244299725E-5</v>
      </c>
      <c r="K24" s="936">
        <f>'SHWLP-Det'!$AA$34</f>
        <v>6.5413263264443806E-5</v>
      </c>
      <c r="L24" s="935"/>
      <c r="M24" s="928"/>
      <c r="N24" s="936"/>
      <c r="O24" s="935"/>
      <c r="P24" s="928"/>
      <c r="Q24" s="936"/>
      <c r="R24" s="913"/>
      <c r="S24" s="942"/>
      <c r="T24" s="928"/>
      <c r="U24" s="928"/>
      <c r="V24" s="928"/>
      <c r="W24" s="928"/>
      <c r="X24" s="936"/>
      <c r="Y24" s="922">
        <f t="shared" si="1"/>
        <v>2.4381198480162954E-4</v>
      </c>
      <c r="Z24" s="881">
        <f t="shared" si="0"/>
        <v>0</v>
      </c>
      <c r="AA24" s="89"/>
      <c r="AB24" s="89"/>
      <c r="AC24" s="89"/>
      <c r="AD24" s="89"/>
      <c r="AE24" s="1047" t="s">
        <v>327</v>
      </c>
      <c r="AF24" s="1048">
        <f>SUM(AF10:AF21)</f>
        <v>116.6472296342381</v>
      </c>
      <c r="AG24" s="1048">
        <f>SUM(AG10:AG21)</f>
        <v>21.618986084730778</v>
      </c>
      <c r="AH24" s="1048">
        <f t="shared" ref="AH24:AI24" si="3">SUM(AH10:AH21)</f>
        <v>70.074878307324042</v>
      </c>
      <c r="AI24" s="1048">
        <f t="shared" si="3"/>
        <v>2.757545515019431</v>
      </c>
      <c r="AK24" s="1048">
        <f>SUM(AK10:AK21)</f>
        <v>1.1221218940393132</v>
      </c>
      <c r="AL24" s="1048">
        <f>SUM(AL10:AL21)</f>
        <v>4.815291430391337</v>
      </c>
      <c r="AN24" s="1048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9" t="s">
        <v>233</v>
      </c>
      <c r="F25" s="933"/>
      <c r="G25" s="927"/>
      <c r="H25" s="934"/>
      <c r="I25" s="933"/>
      <c r="J25" s="927"/>
      <c r="K25" s="934"/>
      <c r="L25" s="933"/>
      <c r="M25" s="927"/>
      <c r="N25" s="934"/>
      <c r="O25" s="933"/>
      <c r="P25" s="927"/>
      <c r="Q25" s="934"/>
      <c r="R25" s="941"/>
      <c r="S25" s="933"/>
      <c r="T25" s="927"/>
      <c r="U25" s="927"/>
      <c r="V25" s="927"/>
      <c r="W25" s="927"/>
      <c r="X25" s="934"/>
      <c r="Y25" s="921">
        <f t="shared" si="1"/>
        <v>0</v>
      </c>
      <c r="Z25" s="880">
        <f t="shared" si="0"/>
        <v>0</v>
      </c>
      <c r="AA25" s="89"/>
      <c r="AB25" s="89"/>
      <c r="AC25" s="89"/>
      <c r="AD25" s="89"/>
      <c r="AF25" s="1052">
        <f>ABS(AF24-Y29)/AF24</f>
        <v>3.0947467503772742E-5</v>
      </c>
      <c r="AG25" s="1051">
        <f>ABS(AG24-I30)/AG24</f>
        <v>1.1503312715099145E-15</v>
      </c>
      <c r="AH25" s="1051">
        <f>ABS(AH24-F30)/AH24</f>
        <v>4.0559056422126452E-16</v>
      </c>
      <c r="AI25" s="1052">
        <f>ABS(AI24-R29)/AI24</f>
        <v>1.3091121538597384E-3</v>
      </c>
      <c r="AK25" s="1051">
        <f>ABS(AK24-O30)/AK24</f>
        <v>3.9575843962144821E-16</v>
      </c>
      <c r="AL25" s="1051">
        <f>ABS(AL24-L30)/AL24</f>
        <v>2.9511930732813596E-15</v>
      </c>
      <c r="AN25" s="1051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7" t="s">
        <v>708</v>
      </c>
      <c r="F26" s="935">
        <f>'SHWLP-Apt'!$AA$11+'SHWLP-Apt'!$AA$12</f>
        <v>1.0658056857241074</v>
      </c>
      <c r="G26" s="928">
        <f>'SHWLP-Att'!$AA$11+'SHWLP-Att'!$AA$12</f>
        <v>0.94427647403915238</v>
      </c>
      <c r="H26" s="936">
        <f>'SHWLP-Det'!$AA$11+'SHWLP-Det'!$AA$12</f>
        <v>1.1613386628280136</v>
      </c>
      <c r="I26" s="935">
        <f>'SHWLP-Apt'!$AA$37+'SHWLP-Apt'!$AA$38</f>
        <v>0.98072521949830838</v>
      </c>
      <c r="J26" s="928">
        <f>'SHWLP-Att'!$AA$37+'SHWLP-Att'!$AA$38</f>
        <v>0.58953330451466313</v>
      </c>
      <c r="K26" s="936">
        <f>'SHWLP-Det'!$AA$37+'SHWLP-Det'!$AA$38</f>
        <v>0.44152013081545483</v>
      </c>
      <c r="L26" s="935">
        <f>'SHWLP-Apt'!$AA$58</f>
        <v>0.33324972411353743</v>
      </c>
      <c r="M26" s="928">
        <f>'SHWLP-Att'!$AA$58</f>
        <v>1.7527820568537191</v>
      </c>
      <c r="N26" s="936">
        <f>'SHWLP-Det'!$AA$58</f>
        <v>2.7292596494240944</v>
      </c>
      <c r="O26" s="935">
        <f>'SHWLP-Apt'!$AA$59</f>
        <v>6.8669034558234018E-2</v>
      </c>
      <c r="P26" s="928">
        <f>'SHWLP-Att'!$AA$59</f>
        <v>0.48537443842897676</v>
      </c>
      <c r="Q26" s="936">
        <f>'SHWLP-Det'!$AA$59</f>
        <v>0.56807842105210182</v>
      </c>
      <c r="R26" s="913">
        <f>'[1]1d_Cooking'!L6*0.0036</f>
        <v>2.051734110329881</v>
      </c>
      <c r="S26" s="942">
        <f>(T38*0.0000000036)*(DwellingStocks!L38*RSD_Balance!U38)</f>
        <v>1.4117078065859998</v>
      </c>
      <c r="T26" s="928">
        <f>(T36*0.0000000036)*(DwellingStocks!L38*RSD_Balance!U36)</f>
        <v>1.1023237905322498</v>
      </c>
      <c r="U26" s="928">
        <f>(T37*0.0000000036)*(DwellingStocks!L38*RSD_Balance!U37)</f>
        <v>1.7147299705763039</v>
      </c>
      <c r="V26" s="928">
        <f>(T40*0.0000000036)*(DwellingStocks!L38*RSD_Balance!U40)</f>
        <v>1.1862012348845998</v>
      </c>
      <c r="W26" s="928">
        <f>SUM([1]Table2_Energy_Totals!$I$6+[1]Table2_Energy_Totals!$J$6)/1000-SUM(S26:V26,L26:N26)</f>
        <v>10.843443600154002</v>
      </c>
      <c r="X26" s="936">
        <v>0</v>
      </c>
      <c r="Y26" s="922">
        <f t="shared" si="1"/>
        <v>29.430753314913403</v>
      </c>
      <c r="Z26" s="881">
        <f t="shared" si="0"/>
        <v>29.430890206847998</v>
      </c>
      <c r="AA26" s="764">
        <f>ABS(Z26-Y26)/Z26</f>
        <v>4.6513011884068912E-6</v>
      </c>
      <c r="AB26" s="1041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6" t="s">
        <v>234</v>
      </c>
      <c r="F27" s="933">
        <f>'SHWLP-Apt'!$AA$23</f>
        <v>3.751289270479366E-2</v>
      </c>
      <c r="G27" s="927">
        <f>'SHWLP-Att'!$AA$23</f>
        <v>4.4456193579378724E-2</v>
      </c>
      <c r="H27" s="934">
        <f>'SHWLP-Det'!$AA$23</f>
        <v>0.14955731044202938</v>
      </c>
      <c r="I27" s="933">
        <f>'SHWLP-Apt'!$AA$49</f>
        <v>1.0162354538216969E-2</v>
      </c>
      <c r="J27" s="927">
        <f>'SHWLP-Att'!$AA$49</f>
        <v>2.3853289854202531E-3</v>
      </c>
      <c r="K27" s="934">
        <f>'SHWLP-Det'!$AA$49</f>
        <v>1.0237223508519498E-3</v>
      </c>
      <c r="L27" s="933"/>
      <c r="M27" s="927"/>
      <c r="N27" s="934"/>
      <c r="O27" s="933"/>
      <c r="P27" s="927"/>
      <c r="Q27" s="934"/>
      <c r="R27" s="941"/>
      <c r="S27" s="933"/>
      <c r="T27" s="927"/>
      <c r="U27" s="927"/>
      <c r="V27" s="927"/>
      <c r="W27" s="927"/>
      <c r="X27" s="934"/>
      <c r="Y27" s="952">
        <f t="shared" si="1"/>
        <v>0.24509780260069097</v>
      </c>
      <c r="Z27" s="945">
        <f t="shared" si="0"/>
        <v>0</v>
      </c>
      <c r="AA27" s="764">
        <f>ABS(Z18+Z22+Z27-Y18-Y22-Y27)/(Z18+Z22+Z27)</f>
        <v>3.2713528679971503E-17</v>
      </c>
      <c r="AB27" s="1042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5" t="s">
        <v>562</v>
      </c>
      <c r="F28" s="1055">
        <f>SUM('SHWLP-Apt'!AA19:AA21)</f>
        <v>8.0306945735614532E-2</v>
      </c>
      <c r="G28" s="1055">
        <f>SUM('SHWLP-Att'!AA19:AA21)</f>
        <v>2.5365387026370665</v>
      </c>
      <c r="H28" s="1055">
        <f>SUM('SHWLP-Det'!AA19:AA21)</f>
        <v>6.7042583807020266</v>
      </c>
      <c r="I28" s="1055">
        <f>SUM('SHWLP-Apt'!AA45:AA47)</f>
        <v>8.8177086195802782E-3</v>
      </c>
      <c r="J28" s="1055">
        <f>SUM('SHWLP-Att'!AA45:AA47)</f>
        <v>0.48732257014454378</v>
      </c>
      <c r="K28" s="1055">
        <f>SUM('SHWLP-Det'!AA45:AA47)</f>
        <v>0.5222552925680668</v>
      </c>
      <c r="L28" s="1055"/>
      <c r="M28" s="1055"/>
      <c r="N28" s="1055"/>
      <c r="O28" s="1055"/>
      <c r="P28" s="1055"/>
      <c r="Q28" s="1055"/>
      <c r="R28" s="1055"/>
      <c r="S28" s="1055"/>
      <c r="T28" s="1055"/>
      <c r="U28" s="1055"/>
      <c r="V28" s="1055"/>
      <c r="W28" s="1055"/>
      <c r="X28" s="1055"/>
      <c r="Y28" s="1055">
        <f>SUM(F28:K28)</f>
        <v>10.339499600406898</v>
      </c>
      <c r="Z28" s="1056"/>
      <c r="AA28" s="764"/>
      <c r="AB28" s="1042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3">
        <f t="shared" ref="F29:Z29" si="5">SUM(F9:F27)</f>
        <v>2.8875500782856967</v>
      </c>
      <c r="G29" s="885">
        <f t="shared" si="5"/>
        <v>24.639505855175873</v>
      </c>
      <c r="H29" s="885">
        <f t="shared" si="5"/>
        <v>42.547822373862509</v>
      </c>
      <c r="I29" s="885">
        <f t="shared" si="5"/>
        <v>1.8438837291499246</v>
      </c>
      <c r="J29" s="885">
        <f t="shared" si="5"/>
        <v>8.9801192795333638</v>
      </c>
      <c r="K29" s="885">
        <f t="shared" si="5"/>
        <v>10.794983076047465</v>
      </c>
      <c r="L29" s="885">
        <f t="shared" si="5"/>
        <v>0.33324972411353743</v>
      </c>
      <c r="M29" s="885">
        <f t="shared" si="5"/>
        <v>1.7527820568537191</v>
      </c>
      <c r="N29" s="885">
        <f t="shared" si="5"/>
        <v>2.7292596494240944</v>
      </c>
      <c r="O29" s="885">
        <f t="shared" si="5"/>
        <v>6.8669034558234018E-2</v>
      </c>
      <c r="P29" s="885">
        <f t="shared" si="5"/>
        <v>0.48537443842897676</v>
      </c>
      <c r="Q29" s="885">
        <f t="shared" si="5"/>
        <v>0.56807842105210182</v>
      </c>
      <c r="R29" s="1070">
        <f t="shared" si="5"/>
        <v>2.7611554513679644</v>
      </c>
      <c r="S29" s="885">
        <f t="shared" si="5"/>
        <v>1.4117078065859998</v>
      </c>
      <c r="T29" s="885">
        <f t="shared" si="5"/>
        <v>1.1023237905322498</v>
      </c>
      <c r="U29" s="885">
        <f t="shared" si="5"/>
        <v>1.7147299705763039</v>
      </c>
      <c r="V29" s="885">
        <f t="shared" si="5"/>
        <v>1.1862012348845998</v>
      </c>
      <c r="W29" s="1057">
        <f t="shared" si="5"/>
        <v>10.843443600154002</v>
      </c>
      <c r="X29" s="885">
        <f t="shared" si="5"/>
        <v>0</v>
      </c>
      <c r="Y29" s="953">
        <f t="shared" si="5"/>
        <v>116.65083957058661</v>
      </c>
      <c r="Z29" s="954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3">
        <f>SUM(F29:H29)</f>
        <v>70.07487830732407</v>
      </c>
      <c r="G30" s="884">
        <f>F30/$Y$29</f>
        <v>0.6007233086815551</v>
      </c>
      <c r="H30" s="706"/>
      <c r="I30" s="885">
        <f>SUM(I29:K29)</f>
        <v>21.618986084730754</v>
      </c>
      <c r="J30" s="884">
        <f>I30/$Y$29</f>
        <v>0.18533073713240517</v>
      </c>
      <c r="K30" s="706"/>
      <c r="L30" s="885">
        <f>SUM(L29:N29)</f>
        <v>4.8152914303913512</v>
      </c>
      <c r="M30" s="884">
        <f>L30/$Y$29</f>
        <v>4.1279526560780294E-2</v>
      </c>
      <c r="N30" s="706"/>
      <c r="O30" s="885">
        <f>SUM(O29:Q29)</f>
        <v>1.1221218940393127</v>
      </c>
      <c r="P30" s="884">
        <f>O30/$Y$29</f>
        <v>9.6194926514892795E-3</v>
      </c>
      <c r="Q30" s="706"/>
      <c r="R30" s="884">
        <f>R29/$Y$29</f>
        <v>2.3670257852684902E-2</v>
      </c>
      <c r="S30" s="885">
        <f>SUM(S29:X29)</f>
        <v>16.258406402733154</v>
      </c>
      <c r="T30" s="884">
        <f>S30/$Y$29</f>
        <v>0.13937667712108515</v>
      </c>
      <c r="U30" s="706"/>
      <c r="V30" s="706"/>
      <c r="W30" s="706"/>
      <c r="X30" s="706"/>
      <c r="Y30" s="886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  <c r="AF31" s="102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74"/>
      <c r="AI32" s="102" t="s">
        <v>970</v>
      </c>
    </row>
    <row r="33" spans="1:37" ht="15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89"/>
      <c r="AI33" s="1074" t="s">
        <v>971</v>
      </c>
      <c r="AJ33" s="1073" t="s">
        <v>264</v>
      </c>
      <c r="AK33" s="1074" t="s">
        <v>972</v>
      </c>
    </row>
    <row r="34" spans="1:37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89"/>
      <c r="AI34" s="1074" t="s">
        <v>973</v>
      </c>
      <c r="AJ34" s="1074" t="s">
        <v>952</v>
      </c>
      <c r="AK34" s="1075" t="s">
        <v>974</v>
      </c>
    </row>
    <row r="35" spans="1:37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I35" s="1075" t="s">
        <v>975</v>
      </c>
      <c r="AJ35" s="1075" t="s">
        <v>835</v>
      </c>
      <c r="AK35" s="1076">
        <v>0.685891988230517</v>
      </c>
    </row>
    <row r="36" spans="1:37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I36" s="1075" t="s">
        <v>976</v>
      </c>
      <c r="AJ36" s="1075" t="s">
        <v>835</v>
      </c>
      <c r="AK36" s="1076">
        <v>0.76046569781794604</v>
      </c>
    </row>
    <row r="37" spans="1:37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I37" s="1075" t="s">
        <v>977</v>
      </c>
      <c r="AJ37" s="1075" t="s">
        <v>835</v>
      </c>
      <c r="AK37" s="1076">
        <v>0.33069713715967503</v>
      </c>
    </row>
    <row r="38" spans="1:37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I38" s="1075" t="s">
        <v>978</v>
      </c>
      <c r="AJ38" s="1075" t="s">
        <v>835</v>
      </c>
      <c r="AK38" s="1076">
        <v>0.35586037046537999</v>
      </c>
    </row>
    <row r="39" spans="1:37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I39" s="1075" t="s">
        <v>979</v>
      </c>
      <c r="AJ39" s="1075" t="s">
        <v>835</v>
      </c>
      <c r="AK39" s="1076">
        <v>1.6265165400231001</v>
      </c>
    </row>
    <row r="40" spans="1:37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90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I40" s="1075" t="s">
        <v>980</v>
      </c>
      <c r="AJ40" s="1075" t="s">
        <v>835</v>
      </c>
      <c r="AK40" s="1076">
        <v>0.28234156131720001</v>
      </c>
    </row>
    <row r="41" spans="1:37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</row>
    <row r="42" spans="1:37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7">
      <c r="A43" s="115"/>
      <c r="B43" s="115"/>
      <c r="C43" s="115"/>
      <c r="D43" s="887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7">
      <c r="A44" s="115"/>
      <c r="B44" s="115" t="s">
        <v>236</v>
      </c>
      <c r="C44" s="115">
        <f>1652*0.0419</f>
        <v>69.218800000000002</v>
      </c>
      <c r="D44" s="887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7">
      <c r="A45" s="115"/>
      <c r="B45" s="115" t="s">
        <v>237</v>
      </c>
      <c r="C45" s="115">
        <f>507*0.0419</f>
        <v>21.243300000000001</v>
      </c>
      <c r="D45" s="887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7">
      <c r="A46" s="115"/>
      <c r="B46" s="115" t="s">
        <v>240</v>
      </c>
      <c r="C46" s="115">
        <f>61*0.0419</f>
        <v>2.5558999999999998</v>
      </c>
      <c r="D46" s="887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7">
      <c r="A47" s="115"/>
      <c r="B47" s="115" t="s">
        <v>832</v>
      </c>
      <c r="C47" s="115">
        <f>459*0.0419</f>
        <v>19.232099999999999</v>
      </c>
      <c r="D47" s="887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7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31" t="s">
        <v>621</v>
      </c>
      <c r="C4" s="1131"/>
      <c r="D4" s="1131"/>
      <c r="E4" s="1131"/>
      <c r="F4" s="1131"/>
      <c r="G4" s="1131"/>
      <c r="H4" s="1131"/>
      <c r="I4" s="1131"/>
      <c r="J4" s="1131"/>
      <c r="K4" s="1131"/>
      <c r="L4" s="1131"/>
      <c r="M4" s="709"/>
      <c r="O4" s="1131" t="s">
        <v>623</v>
      </c>
      <c r="P4" s="1131"/>
      <c r="Q4" s="1131"/>
      <c r="R4" s="1131"/>
      <c r="S4" s="1131"/>
      <c r="T4" s="1131"/>
      <c r="U4" s="1131"/>
      <c r="V4" s="1131"/>
      <c r="W4" s="1131"/>
      <c r="X4" s="1131"/>
      <c r="Y4" s="1131"/>
      <c r="Z4" s="1131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32" t="s">
        <v>630</v>
      </c>
      <c r="AZ18" s="113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L18" s="1132" t="s">
        <v>631</v>
      </c>
      <c r="BM18" s="113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  <c r="BX18" s="1132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31" t="s">
        <v>622</v>
      </c>
      <c r="C19" s="1131"/>
      <c r="D19" s="1131"/>
      <c r="E19" s="1131"/>
      <c r="F19" s="1131"/>
      <c r="G19" s="1131"/>
      <c r="H19" s="1131"/>
      <c r="I19" s="1131"/>
      <c r="J19" s="1131"/>
      <c r="K19" s="1131"/>
      <c r="L19" s="1131"/>
      <c r="M19" s="709"/>
      <c r="O19" s="1131" t="s">
        <v>623</v>
      </c>
      <c r="P19" s="1131"/>
      <c r="Q19" s="1131"/>
      <c r="R19" s="1131"/>
      <c r="S19" s="1131"/>
      <c r="T19" s="1131"/>
      <c r="U19" s="1131"/>
      <c r="V19" s="1131"/>
      <c r="W19" s="1131"/>
      <c r="X19" s="1131"/>
      <c r="Y19" s="1131"/>
      <c r="Z19" s="1131"/>
      <c r="AB19" s="1131" t="s">
        <v>624</v>
      </c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N19" s="1131" t="s">
        <v>625</v>
      </c>
      <c r="AO19" s="1131"/>
      <c r="AP19" s="1131"/>
      <c r="AQ19" s="1131"/>
      <c r="AR19" s="1131"/>
      <c r="AS19" s="1131"/>
      <c r="AT19" s="1131"/>
      <c r="AU19" s="1131"/>
      <c r="AV19" s="1131"/>
      <c r="AW19" s="1131"/>
      <c r="AY19" s="1131" t="s">
        <v>626</v>
      </c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L19" s="1131" t="s">
        <v>632</v>
      </c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  <c r="BX19" s="1131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6" t="s">
        <v>248</v>
      </c>
      <c r="D2" s="1036"/>
      <c r="M2" s="1036" t="s">
        <v>248</v>
      </c>
      <c r="N2" s="1037"/>
    </row>
    <row r="3" spans="1:21" ht="15">
      <c r="C3" s="68" t="s">
        <v>951</v>
      </c>
      <c r="D3" s="68"/>
      <c r="E3" s="1039"/>
      <c r="F3" s="1039"/>
      <c r="G3" s="1039"/>
      <c r="H3" s="1039"/>
      <c r="I3" s="1039"/>
      <c r="J3" s="1039"/>
      <c r="K3" s="1038"/>
      <c r="M3" s="68" t="s">
        <v>951</v>
      </c>
      <c r="N3" s="101"/>
      <c r="O3" s="101"/>
      <c r="P3" s="101"/>
      <c r="Q3" s="101"/>
      <c r="R3" s="101"/>
      <c r="S3" s="101"/>
      <c r="T3" s="101"/>
      <c r="U3" s="1038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8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8" t="s">
        <v>266</v>
      </c>
      <c r="N6" s="818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9" t="s">
        <v>266</v>
      </c>
      <c r="N8" s="819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4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5">
        <v>3.1602980079786249E-3</v>
      </c>
      <c r="H11" s="1035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4" customWidth="1"/>
    <col min="2" max="2" width="10" style="894" bestFit="1" customWidth="1"/>
    <col min="3" max="3" width="15.85546875" style="894" bestFit="1" customWidth="1"/>
    <col min="4" max="4" width="12.140625" style="894" bestFit="1" customWidth="1"/>
    <col min="5" max="5" width="12.85546875" style="894" bestFit="1" customWidth="1"/>
    <col min="6" max="6" width="7.85546875" style="894" bestFit="1" customWidth="1"/>
    <col min="7" max="7" width="12.85546875" style="894" bestFit="1" customWidth="1"/>
    <col min="8" max="8" width="10.85546875" style="894" bestFit="1" customWidth="1"/>
    <col min="9" max="9" width="13.28515625" style="894" bestFit="1" customWidth="1"/>
    <col min="10" max="10" width="3.7109375" style="894" customWidth="1"/>
    <col min="11" max="11" width="9.85546875" style="894" customWidth="1"/>
    <col min="12" max="12" width="10" style="894" bestFit="1" customWidth="1"/>
    <col min="13" max="13" width="15.7109375" style="894" bestFit="1" customWidth="1"/>
    <col min="14" max="14" width="44.85546875" style="894" bestFit="1" customWidth="1"/>
    <col min="15" max="15" width="6.140625" style="894" bestFit="1" customWidth="1"/>
    <col min="16" max="16" width="7" style="894" bestFit="1" customWidth="1"/>
    <col min="17" max="17" width="12.85546875" style="894" customWidth="1"/>
    <col min="18" max="18" width="13.28515625" style="894" customWidth="1"/>
    <col min="19" max="19" width="8" style="894" bestFit="1" customWidth="1"/>
    <col min="20" max="16384" width="8.85546875" style="894"/>
  </cols>
  <sheetData>
    <row r="2" spans="1:19">
      <c r="E2" s="895" t="s">
        <v>956</v>
      </c>
      <c r="F2" s="895"/>
      <c r="H2" s="895"/>
      <c r="K2" s="896" t="s">
        <v>955</v>
      </c>
      <c r="L2" s="896"/>
      <c r="M2" s="897"/>
      <c r="N2" s="897"/>
      <c r="O2" s="897"/>
      <c r="P2" s="897"/>
      <c r="Q2" s="897"/>
      <c r="R2" s="897"/>
      <c r="S2" s="897"/>
    </row>
    <row r="3" spans="1:19">
      <c r="B3" s="898" t="s">
        <v>952</v>
      </c>
      <c r="C3" s="898" t="s">
        <v>274</v>
      </c>
      <c r="D3" s="899" t="s">
        <v>276</v>
      </c>
      <c r="E3" s="898" t="s">
        <v>277</v>
      </c>
      <c r="F3" s="898" t="s">
        <v>278</v>
      </c>
      <c r="G3" s="900" t="s">
        <v>950</v>
      </c>
      <c r="H3" s="900" t="s">
        <v>949</v>
      </c>
      <c r="I3" s="900" t="s">
        <v>867</v>
      </c>
      <c r="K3" s="901" t="s">
        <v>280</v>
      </c>
      <c r="L3" s="901" t="s">
        <v>952</v>
      </c>
      <c r="M3" s="901" t="s">
        <v>274</v>
      </c>
      <c r="N3" s="901" t="s">
        <v>275</v>
      </c>
      <c r="O3" s="901" t="s">
        <v>281</v>
      </c>
      <c r="P3" s="901" t="s">
        <v>282</v>
      </c>
      <c r="Q3" s="901" t="s">
        <v>283</v>
      </c>
      <c r="R3" s="901" t="s">
        <v>284</v>
      </c>
      <c r="S3" s="901" t="s">
        <v>868</v>
      </c>
    </row>
    <row r="4" spans="1:19" ht="34.5" thickBot="1">
      <c r="B4" s="902" t="s">
        <v>953</v>
      </c>
      <c r="C4" s="902" t="s">
        <v>290</v>
      </c>
      <c r="D4" s="902" t="s">
        <v>292</v>
      </c>
      <c r="E4" s="902" t="s">
        <v>293</v>
      </c>
      <c r="F4" s="902" t="s">
        <v>869</v>
      </c>
      <c r="G4" s="902" t="s">
        <v>870</v>
      </c>
      <c r="H4" s="902" t="s">
        <v>871</v>
      </c>
      <c r="I4" s="902" t="s">
        <v>872</v>
      </c>
      <c r="K4" s="903" t="s">
        <v>873</v>
      </c>
      <c r="L4" s="903" t="s">
        <v>953</v>
      </c>
      <c r="M4" s="903" t="s">
        <v>874</v>
      </c>
      <c r="N4" s="903" t="s">
        <v>291</v>
      </c>
      <c r="O4" s="903" t="s">
        <v>875</v>
      </c>
      <c r="P4" s="903" t="s">
        <v>876</v>
      </c>
      <c r="Q4" s="903" t="s">
        <v>877</v>
      </c>
      <c r="R4" s="903" t="s">
        <v>878</v>
      </c>
      <c r="S4" s="903" t="s">
        <v>879</v>
      </c>
    </row>
    <row r="5" spans="1:19" ht="13.5" thickBot="1">
      <c r="B5" s="902"/>
      <c r="C5" s="902" t="s">
        <v>553</v>
      </c>
      <c r="D5" s="904"/>
      <c r="E5" s="904"/>
      <c r="F5" s="904"/>
      <c r="G5" s="904" t="s">
        <v>880</v>
      </c>
      <c r="H5" s="904" t="s">
        <v>881</v>
      </c>
      <c r="I5" s="904" t="s">
        <v>16</v>
      </c>
      <c r="K5" s="903" t="s">
        <v>273</v>
      </c>
      <c r="L5" s="903"/>
      <c r="M5" s="905"/>
      <c r="N5" s="905"/>
      <c r="O5" s="905"/>
      <c r="P5" s="905"/>
      <c r="Q5" s="905"/>
      <c r="R5" s="905"/>
      <c r="S5" s="905"/>
    </row>
    <row r="6" spans="1:19" s="908" customFormat="1">
      <c r="A6" s="908" t="str">
        <f>COMM!A6</f>
        <v/>
      </c>
      <c r="B6" s="906" t="str">
        <f>_xlfn.TEXTJOIN(",",TRUE,IF(LEFT(Regions!$C$3,1)&lt;&gt;"*",Regions!$C$3,""),IF(LEFT(Regions!$D$3,1)&lt;&gt;"*",Regions!$D$3,""))</f>
        <v>IE,National</v>
      </c>
      <c r="C6" s="906" t="str">
        <f>_xlfn.TEXTJOIN("-",TRUE,SETUP!$B$4,COMM!E6)</f>
        <v>FT-RSDCOA</v>
      </c>
      <c r="D6" s="907" t="s">
        <v>883</v>
      </c>
      <c r="E6" s="906" t="str">
        <f>COMM!E6</f>
        <v>RSDCOA</v>
      </c>
      <c r="F6" s="908">
        <v>1</v>
      </c>
      <c r="G6" s="908">
        <v>50</v>
      </c>
      <c r="H6" s="908">
        <v>0.01</v>
      </c>
      <c r="I6" s="1040"/>
      <c r="K6" s="906" t="s">
        <v>285</v>
      </c>
      <c r="L6" s="906" t="str">
        <f>_xlfn.TEXTJOIN(",",TRUE,IF(LEFT(Regions!$C$3,1)&lt;&gt;"*",Regions!$C$3,""),IF(LEFT(Regions!$D$3,1)&lt;&gt;"*",Regions!$D$3,""))</f>
        <v>IE,National</v>
      </c>
      <c r="M6" s="909" t="str">
        <f t="shared" ref="M6:M17" si="0">C6</f>
        <v>FT-RSDCOA</v>
      </c>
      <c r="N6" s="910" t="str">
        <f>_xlfn.TEXTJOIN(" ",TRUE,SETUP!$B$3,COMM!F6)</f>
        <v>RSD Coal to Residential</v>
      </c>
      <c r="O6" s="909" t="s">
        <v>16</v>
      </c>
      <c r="P6" s="909" t="s">
        <v>866</v>
      </c>
      <c r="Q6" s="909"/>
      <c r="R6" s="909"/>
      <c r="S6" s="909"/>
    </row>
    <row r="7" spans="1:19" s="908" customFormat="1">
      <c r="A7" s="908" t="str">
        <f>COMM!A7</f>
        <v/>
      </c>
      <c r="B7" s="906" t="str">
        <f>_xlfn.TEXTJOIN(",",TRUE,IF(LEFT(Regions!$C$3,1)&lt;&gt;"*",Regions!$C$3,""),IF(LEFT(Regions!$D$3,1)&lt;&gt;"*",Regions!$D$3,""))</f>
        <v>IE,National</v>
      </c>
      <c r="C7" s="906" t="str">
        <f>_xlfn.TEXTJOIN("-",TRUE,SETUP!$B$4,COMM!E7)</f>
        <v>FT-RSDPEA</v>
      </c>
      <c r="D7" s="907" t="s">
        <v>216</v>
      </c>
      <c r="E7" s="906" t="str">
        <f>COMM!E7</f>
        <v>RSDPEA</v>
      </c>
      <c r="F7" s="908">
        <v>1</v>
      </c>
      <c r="G7" s="908">
        <v>50</v>
      </c>
      <c r="H7" s="908">
        <v>0.01</v>
      </c>
      <c r="K7" s="906"/>
      <c r="L7" s="906" t="str">
        <f>_xlfn.TEXTJOIN(",",TRUE,IF(LEFT(Regions!$C$3,1)&lt;&gt;"*",Regions!$C$3,""),IF(LEFT(Regions!$D$3,1)&lt;&gt;"*",Regions!$D$3,""))</f>
        <v>IE,National</v>
      </c>
      <c r="M7" s="909" t="str">
        <f t="shared" si="0"/>
        <v>FT-RSDPEA</v>
      </c>
      <c r="N7" s="910" t="str">
        <f>_xlfn.TEXTJOIN(" ",TRUE,SETUP!$B$3,COMM!F7)</f>
        <v>RSD Peat to Residential</v>
      </c>
      <c r="O7" s="909" t="s">
        <v>16</v>
      </c>
      <c r="P7" s="909" t="s">
        <v>866</v>
      </c>
    </row>
    <row r="8" spans="1:19" s="908" customFormat="1">
      <c r="A8" s="908" t="str">
        <f>COMM!A8</f>
        <v/>
      </c>
      <c r="B8" s="906" t="str">
        <f>_xlfn.TEXTJOIN(",",TRUE,IF(LEFT(Regions!$C$3,1)&lt;&gt;"*",Regions!$C$3,""),IF(LEFT(Regions!$D$3,1)&lt;&gt;"*",Regions!$D$3,""))</f>
        <v>IE,National</v>
      </c>
      <c r="C8" s="906" t="str">
        <f>_xlfn.TEXTJOIN("-",TRUE,SETUP!$B$4,COMM!E8)</f>
        <v>FT-RSDOILLPG</v>
      </c>
      <c r="D8" s="907" t="s">
        <v>217</v>
      </c>
      <c r="E8" s="906" t="str">
        <f>COMM!E8</f>
        <v>RSDOILLPG</v>
      </c>
      <c r="F8" s="908">
        <v>1</v>
      </c>
      <c r="G8" s="908">
        <v>50</v>
      </c>
      <c r="H8" s="908">
        <v>0.01</v>
      </c>
      <c r="K8" s="906"/>
      <c r="L8" s="906" t="str">
        <f>_xlfn.TEXTJOIN(",",TRUE,IF(LEFT(Regions!$C$3,1)&lt;&gt;"*",Regions!$C$3,""),IF(LEFT(Regions!$D$3,1)&lt;&gt;"*",Regions!$D$3,""))</f>
        <v>IE,National</v>
      </c>
      <c r="M8" s="909" t="str">
        <f t="shared" si="0"/>
        <v>FT-RSDOILLPG</v>
      </c>
      <c r="N8" s="910" t="str">
        <f>_xlfn.TEXTJOIN(" ",TRUE,SETUP!$B$3,COMM!F8)</f>
        <v>RSD LPG to Residential</v>
      </c>
      <c r="O8" s="909" t="s">
        <v>16</v>
      </c>
      <c r="P8" s="909" t="s">
        <v>866</v>
      </c>
    </row>
    <row r="9" spans="1:19" s="908" customFormat="1">
      <c r="A9" s="908" t="str">
        <f>COMM!A10</f>
        <v/>
      </c>
      <c r="B9" s="906" t="str">
        <f>_xlfn.TEXTJOIN(",",TRUE,IF(LEFT(Regions!$C$3,1)&lt;&gt;"*",Regions!$C$3,""),IF(LEFT(Regions!$D$3,1)&lt;&gt;"*",Regions!$D$3,""))</f>
        <v>IE,National</v>
      </c>
      <c r="C9" s="906" t="str">
        <f>_xlfn.TEXTJOIN("-",TRUE,SETUP!$B$4,COMM!E10)</f>
        <v>FT-RSDOILKER</v>
      </c>
      <c r="D9" s="907" t="s">
        <v>219</v>
      </c>
      <c r="E9" s="906" t="str">
        <f>COMM!E10</f>
        <v>RSDOILKER</v>
      </c>
      <c r="F9" s="908">
        <v>1</v>
      </c>
      <c r="G9" s="908">
        <v>50</v>
      </c>
      <c r="H9" s="908">
        <v>0.01</v>
      </c>
      <c r="K9" s="906"/>
      <c r="L9" s="906" t="str">
        <f>_xlfn.TEXTJOIN(",",TRUE,IF(LEFT(Regions!$C$3,1)&lt;&gt;"*",Regions!$C$3,""),IF(LEFT(Regions!$D$3,1)&lt;&gt;"*",Regions!$D$3,""))</f>
        <v>IE,National</v>
      </c>
      <c r="M9" s="909" t="str">
        <f t="shared" si="0"/>
        <v>FT-RSDOILKER</v>
      </c>
      <c r="N9" s="910" t="str">
        <f>_xlfn.TEXTJOIN(" ",TRUE,SETUP!$B$3,COMM!F10)</f>
        <v>RSD Kerosene to Residential</v>
      </c>
      <c r="O9" s="909" t="s">
        <v>16</v>
      </c>
      <c r="P9" s="909" t="s">
        <v>866</v>
      </c>
    </row>
    <row r="10" spans="1:19" s="908" customFormat="1">
      <c r="A10" s="908" t="str">
        <f>COMM!A14</f>
        <v/>
      </c>
      <c r="B10" s="906" t="str">
        <f>_xlfn.TEXTJOIN(",",TRUE,IF(LEFT(Regions!$C$3,1)&lt;&gt;"*",Regions!$C$3,""),IF(LEFT(Regions!$D$3,1)&lt;&gt;"*",Regions!$D$3,""))</f>
        <v>IE,National</v>
      </c>
      <c r="C10" s="906" t="str">
        <f>_xlfn.TEXTJOIN("-",TRUE,SETUP!$B$4,COMM!E14)</f>
        <v>FT-RSDGASNAT</v>
      </c>
      <c r="D10" s="907" t="s">
        <v>223</v>
      </c>
      <c r="E10" s="906" t="str">
        <f>COMM!E14</f>
        <v>RSDGASNAT</v>
      </c>
      <c r="F10" s="908">
        <v>1</v>
      </c>
      <c r="G10" s="908">
        <v>50</v>
      </c>
      <c r="H10" s="908">
        <v>0.01</v>
      </c>
      <c r="K10" s="906"/>
      <c r="L10" s="906" t="str">
        <f>_xlfn.TEXTJOIN(",",TRUE,IF(LEFT(Regions!$C$3,1)&lt;&gt;"*",Regions!$C$3,""),IF(LEFT(Regions!$D$3,1)&lt;&gt;"*",Regions!$D$3,""))</f>
        <v>IE,National</v>
      </c>
      <c r="M10" s="909" t="str">
        <f t="shared" si="0"/>
        <v>FT-RSDGASNAT</v>
      </c>
      <c r="N10" s="910" t="str">
        <f>_xlfn.TEXTJOIN(" ",TRUE,SETUP!$B$3,COMM!F14)</f>
        <v>RSD Natural Gas to Residential</v>
      </c>
      <c r="O10" s="909" t="s">
        <v>16</v>
      </c>
      <c r="P10" s="909" t="s">
        <v>866</v>
      </c>
    </row>
    <row r="11" spans="1:19" s="908" customFormat="1">
      <c r="B11" s="906" t="str">
        <f>_xlfn.TEXTJOIN(",",TRUE,IF(LEFT(Regions!$C$3,1)&lt;&gt;"*",Regions!$C$3,""),IF(LEFT(Regions!$D$3,1)&lt;&gt;"*",Regions!$D$3,""))</f>
        <v>IE,National</v>
      </c>
      <c r="C11" s="906" t="str">
        <f>_xlfn.TEXTJOIN("-",TRUE,SETUP!$B$4,COMM!E15)</f>
        <v>FT-RSDRENSOL</v>
      </c>
      <c r="D11" s="907" t="s">
        <v>224</v>
      </c>
      <c r="E11" s="906" t="str">
        <f>COMM!E15</f>
        <v>RSDRENSOL</v>
      </c>
      <c r="F11" s="908">
        <v>1</v>
      </c>
      <c r="G11" s="908">
        <v>50</v>
      </c>
      <c r="H11" s="908">
        <v>0.01</v>
      </c>
      <c r="K11" s="906"/>
      <c r="L11" s="906" t="str">
        <f>_xlfn.TEXTJOIN(",",TRUE,IF(LEFT(Regions!$C$3,1)&lt;&gt;"*",Regions!$C$3,""),IF(LEFT(Regions!$D$3,1)&lt;&gt;"*",Regions!$D$3,""))</f>
        <v>IE,National</v>
      </c>
      <c r="M11" s="909" t="str">
        <f t="shared" ref="M11" si="1">C11</f>
        <v>FT-RSDRENSOL</v>
      </c>
      <c r="N11" s="910" t="str">
        <f>_xlfn.TEXTJOIN(" ",TRUE,SETUP!$B$3,COMM!F15)</f>
        <v>RSD Solar to Residential</v>
      </c>
      <c r="O11" s="909" t="s">
        <v>16</v>
      </c>
      <c r="P11" s="909" t="s">
        <v>866</v>
      </c>
    </row>
    <row r="12" spans="1:19" s="908" customFormat="1">
      <c r="A12" s="908" t="str">
        <f>COMM!A16</f>
        <v/>
      </c>
      <c r="B12" s="906" t="str">
        <f>_xlfn.TEXTJOIN(",",TRUE,IF(LEFT(Regions!$C$3,1)&lt;&gt;"*",Regions!$C$3,""),IF(LEFT(Regions!$D$3,1)&lt;&gt;"*",Regions!$D$3,""))</f>
        <v>IE,National</v>
      </c>
      <c r="C12" s="906" t="str">
        <f>_xlfn.TEXTJOIN("-",TRUE,SETUP!$B$4,COMM!E16)</f>
        <v>FT-RSDBIOWOO</v>
      </c>
      <c r="D12" s="907" t="s">
        <v>225</v>
      </c>
      <c r="E12" s="906" t="str">
        <f>COMM!E16</f>
        <v>RSDBIOWOO</v>
      </c>
      <c r="F12" s="908">
        <v>1</v>
      </c>
      <c r="G12" s="908">
        <v>50</v>
      </c>
      <c r="H12" s="908">
        <v>0.01</v>
      </c>
      <c r="L12" s="906" t="str">
        <f>_xlfn.TEXTJOIN(",",TRUE,IF(LEFT(Regions!$C$3,1)&lt;&gt;"*",Regions!$C$3,""),IF(LEFT(Regions!$D$3,1)&lt;&gt;"*",Regions!$D$3,""))</f>
        <v>IE,National</v>
      </c>
      <c r="M12" s="909" t="str">
        <f t="shared" si="0"/>
        <v>FT-RSDBIOWOO</v>
      </c>
      <c r="N12" s="910" t="str">
        <f>_xlfn.TEXTJOIN(" ",TRUE,SETUP!$B$3,COMM!F16)</f>
        <v>RSD Biomass and Renewable Waste to Residential</v>
      </c>
      <c r="O12" s="909" t="s">
        <v>16</v>
      </c>
      <c r="P12" s="909" t="s">
        <v>866</v>
      </c>
    </row>
    <row r="13" spans="1:19" s="908" customFormat="1">
      <c r="B13" s="906" t="str">
        <f>_xlfn.TEXTJOIN(",",TRUE,IF(LEFT(Regions!$C$3,1)&lt;&gt;"*",Regions!$C$3,""),IF(LEFT(Regions!$D$3,1)&lt;&gt;"*",Regions!$D$3,""))</f>
        <v>IE,National</v>
      </c>
      <c r="C13" s="906" t="str">
        <f>_xlfn.TEXTJOIN("-",TRUE,SETUP!$B$4,COMM!E19)</f>
        <v>FT-RSDRENGEO</v>
      </c>
      <c r="D13" s="907" t="s">
        <v>228</v>
      </c>
      <c r="E13" s="906" t="str">
        <f>COMM!E19</f>
        <v>RSDRENGEO</v>
      </c>
      <c r="F13" s="908">
        <v>1</v>
      </c>
      <c r="G13" s="908">
        <v>50</v>
      </c>
      <c r="H13" s="908">
        <v>0.01</v>
      </c>
      <c r="L13" s="906" t="str">
        <f>_xlfn.TEXTJOIN(",",TRUE,IF(LEFT(Regions!$C$3,1)&lt;&gt;"*",Regions!$C$3,""),IF(LEFT(Regions!$D$3,1)&lt;&gt;"*",Regions!$D$3,""))</f>
        <v>IE,National</v>
      </c>
      <c r="M13" s="909" t="str">
        <f t="shared" ref="M13" si="2">C13</f>
        <v>FT-RSDRENGEO</v>
      </c>
      <c r="N13" s="910" t="str">
        <f>_xlfn.TEXTJOIN(" ",TRUE,SETUP!$B$3,COMM!F19)</f>
        <v>RSD Geothermal to Residential</v>
      </c>
      <c r="O13" s="909" t="s">
        <v>16</v>
      </c>
      <c r="P13" s="909" t="s">
        <v>866</v>
      </c>
    </row>
    <row r="14" spans="1:19">
      <c r="A14" s="908" t="str">
        <f>COMM!A20</f>
        <v/>
      </c>
      <c r="B14" s="906" t="str">
        <f>_xlfn.TEXTJOIN(",",TRUE,IF(LEFT(Regions!$C$3,1)&lt;&gt;"*",Regions!$C$3,""),IF(LEFT(Regions!$D$3,1)&lt;&gt;"*",Regions!$D$3,""))</f>
        <v>IE,National</v>
      </c>
      <c r="C14" s="906" t="str">
        <f>_xlfn.TEXTJOIN("-",TRUE,SETUP!$B$4,COMM!E20)</f>
        <v>FT-RSDBIOETH</v>
      </c>
      <c r="D14" s="907" t="s">
        <v>885</v>
      </c>
      <c r="E14" s="906" t="str">
        <f>COMM!E20</f>
        <v>RSDBIOETH</v>
      </c>
      <c r="F14" s="908">
        <v>1</v>
      </c>
      <c r="G14" s="908">
        <v>50</v>
      </c>
      <c r="H14" s="908">
        <v>0.01</v>
      </c>
      <c r="I14" s="908"/>
      <c r="L14" s="906" t="str">
        <f>_xlfn.TEXTJOIN(",",TRUE,IF(LEFT(Regions!$C$3,1)&lt;&gt;"*",Regions!$C$3,""),IF(LEFT(Regions!$D$3,1)&lt;&gt;"*",Regions!$D$3,""))</f>
        <v>IE,National</v>
      </c>
      <c r="M14" s="909" t="str">
        <f t="shared" si="0"/>
        <v>FT-RSDBIOETH</v>
      </c>
      <c r="N14" s="910" t="str">
        <f>_xlfn.TEXTJOIN(" ",TRUE,SETUP!$B$3,COMM!F20)</f>
        <v>RSD Ethanol to Residential</v>
      </c>
      <c r="O14" s="909" t="s">
        <v>16</v>
      </c>
      <c r="P14" s="909" t="s">
        <v>866</v>
      </c>
    </row>
    <row r="15" spans="1:19">
      <c r="A15" s="908" t="str">
        <f>COMM!A21</f>
        <v/>
      </c>
      <c r="B15" s="906" t="str">
        <f>_xlfn.TEXTJOIN(",",TRUE,IF(LEFT(Regions!$C$3,1)&lt;&gt;"*",Regions!$C$3,""),IF(LEFT(Regions!$D$3,1)&lt;&gt;"*",Regions!$D$3,""))</f>
        <v>IE,National</v>
      </c>
      <c r="C15" s="906" t="str">
        <f>_xlfn.TEXTJOIN("-",TRUE,SETUP!$B$4,COMM!E21)</f>
        <v>FT-RSDBIODST</v>
      </c>
      <c r="D15" s="907" t="s">
        <v>886</v>
      </c>
      <c r="E15" s="906" t="str">
        <f>COMM!E21</f>
        <v>RSDBIODST</v>
      </c>
      <c r="F15" s="908">
        <v>1</v>
      </c>
      <c r="G15" s="908">
        <v>50</v>
      </c>
      <c r="H15" s="908">
        <v>0.01</v>
      </c>
      <c r="I15" s="908"/>
      <c r="L15" s="906" t="str">
        <f>_xlfn.TEXTJOIN(",",TRUE,IF(LEFT(Regions!$C$3,1)&lt;&gt;"*",Regions!$C$3,""),IF(LEFT(Regions!$D$3,1)&lt;&gt;"*",Regions!$D$3,""))</f>
        <v>IE,National</v>
      </c>
      <c r="M15" s="909" t="str">
        <f t="shared" si="0"/>
        <v>FT-RSDBIODST</v>
      </c>
      <c r="N15" s="910" t="str">
        <f>_xlfn.TEXTJOIN(" ",TRUE,SETUP!$B$3,COMM!F21)</f>
        <v>RSD Biodiesel to Residential</v>
      </c>
      <c r="O15" s="909" t="s">
        <v>16</v>
      </c>
      <c r="P15" s="909" t="s">
        <v>866</v>
      </c>
    </row>
    <row r="16" spans="1:19">
      <c r="A16" s="908"/>
      <c r="B16" s="906" t="str">
        <f>_xlfn.TEXTJOIN(",",TRUE,IF(LEFT(Regions!$C$3,1)&lt;&gt;"*",Regions!$C$3,""),IF(LEFT(Regions!$D$3,1)&lt;&gt;"*",Regions!$D$3,""))</f>
        <v>IE,National</v>
      </c>
      <c r="C16" s="906" t="str">
        <f>_xlfn.TEXTJOIN("-",TRUE,SETUP!$B$4,COMM!E24)</f>
        <v>FT-RSDELC</v>
      </c>
      <c r="D16" s="907" t="s">
        <v>884</v>
      </c>
      <c r="E16" s="906" t="str">
        <f>COMM!E24</f>
        <v>RSDELC</v>
      </c>
      <c r="F16" s="908">
        <v>1</v>
      </c>
      <c r="G16" s="908">
        <v>50</v>
      </c>
      <c r="H16" s="908">
        <v>0.01</v>
      </c>
      <c r="I16" s="908"/>
      <c r="L16" s="906" t="str">
        <f>_xlfn.TEXTJOIN(",",TRUE,IF(LEFT(Regions!$C$3,1)&lt;&gt;"*",Regions!$C$3,""),IF(LEFT(Regions!$D$3,1)&lt;&gt;"*",Regions!$D$3,""))</f>
        <v>IE,National</v>
      </c>
      <c r="M16" s="909" t="str">
        <f t="shared" si="0"/>
        <v>FT-RSDELC</v>
      </c>
      <c r="N16" s="910" t="str">
        <f>_xlfn.TEXTJOIN(" ",TRUE,SETUP!$B$3,COMM!F24)</f>
        <v>RSD Electricity to Residential</v>
      </c>
      <c r="O16" s="909" t="s">
        <v>16</v>
      </c>
      <c r="P16" s="909" t="s">
        <v>866</v>
      </c>
    </row>
    <row r="17" spans="1:16">
      <c r="A17" s="908"/>
      <c r="B17" s="906" t="str">
        <f>_xlfn.TEXTJOIN(",",TRUE,IF(LEFT(Regions!$C$3,1)&lt;&gt;"*",Regions!$C$3,""),IF(LEFT(Regions!$D$3,1)&lt;&gt;"*",Regions!$D$3,""))</f>
        <v>IE,National</v>
      </c>
      <c r="C17" s="906" t="str">
        <f>_xlfn.TEXTJOIN("-",TRUE,SETUP!$B$4,COMM!E25)</f>
        <v>FT-RSDHET</v>
      </c>
      <c r="D17" s="907" t="s">
        <v>887</v>
      </c>
      <c r="E17" s="906" t="str">
        <f>COMM!E25</f>
        <v>RSDHET</v>
      </c>
      <c r="F17" s="908">
        <v>1</v>
      </c>
      <c r="G17" s="908">
        <v>50</v>
      </c>
      <c r="H17" s="908">
        <v>0.01</v>
      </c>
      <c r="I17" s="908"/>
      <c r="L17" s="906" t="str">
        <f>_xlfn.TEXTJOIN(",",TRUE,IF(LEFT(Regions!$C$3,1)&lt;&gt;"*",Regions!$C$3,""),IF(LEFT(Regions!$D$3,1)&lt;&gt;"*",Regions!$D$3,""))</f>
        <v>IE,National</v>
      </c>
      <c r="M17" s="909" t="str">
        <f t="shared" si="0"/>
        <v>FT-RSDHET</v>
      </c>
      <c r="N17" s="910" t="str">
        <f>_xlfn.TEXTJOIN(" ",TRUE,SETUP!$B$3,COMM!F25)</f>
        <v>RSD Heat to Residential</v>
      </c>
      <c r="O17" s="909" t="s">
        <v>16</v>
      </c>
      <c r="P17" s="909" t="s">
        <v>866</v>
      </c>
    </row>
    <row r="18" spans="1:16">
      <c r="A18" s="908"/>
      <c r="B18" s="908"/>
      <c r="C18" s="906"/>
    </row>
    <row r="19" spans="1:16">
      <c r="A19" s="908"/>
      <c r="B19" s="908"/>
      <c r="C19" s="906"/>
    </row>
    <row r="20" spans="1:16">
      <c r="A20" s="908"/>
      <c r="B20" s="908"/>
      <c r="C20" s="906"/>
    </row>
    <row r="21" spans="1:16">
      <c r="A21" s="908"/>
      <c r="B21" s="908"/>
      <c r="C21" s="906"/>
    </row>
    <row r="22" spans="1:16">
      <c r="A22" s="908"/>
      <c r="B22" s="908"/>
      <c r="C22" s="906"/>
    </row>
    <row r="23" spans="1:16">
      <c r="A23" s="908"/>
      <c r="B23" s="908"/>
      <c r="C23" s="906"/>
    </row>
    <row r="24" spans="1:16">
      <c r="A24" s="908"/>
      <c r="B24" s="908"/>
      <c r="C24" s="906"/>
    </row>
    <row r="25" spans="1:16">
      <c r="A25" s="908"/>
      <c r="B25" s="908"/>
      <c r="C25" s="906"/>
    </row>
    <row r="26" spans="1:16">
      <c r="A26" s="908"/>
      <c r="B26" s="908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tabSelected="1" zoomScale="120" zoomScaleNormal="120" workbookViewId="0">
      <selection activeCell="V41" sqref="V41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4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20" t="s">
        <v>789</v>
      </c>
      <c r="AH2" s="821" t="s">
        <v>786</v>
      </c>
      <c r="AI2" s="820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984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4" t="str">
        <f>_xlfn.TEXTJOIN(",",TRUE,IF(LEFT(Regions!$C$3,1)&lt;&gt;"*",Regions!$C$3,""),IF(LEFT(Regions!$D$3,1)&lt;&gt;"*",Regions!$D$3,""))</f>
        <v>IE,National</v>
      </c>
      <c r="C6" s="834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698">
        <f>IF(DwellingStocks!H29=0,"",DwellingStocks!$I$38/1000)</f>
        <v>206.79888499999998</v>
      </c>
      <c r="H6" s="698">
        <v>172.33</v>
      </c>
      <c r="I6" s="696">
        <v>100</v>
      </c>
      <c r="J6" s="696">
        <v>1</v>
      </c>
      <c r="K6" s="962">
        <f>'SHWLP-Apt'!$Z$27/$G$6</f>
        <v>1.5953040514247514E-2</v>
      </c>
      <c r="L6" s="66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61"/>
      <c r="C7" s="961"/>
      <c r="D7" s="960"/>
      <c r="E7" s="856" t="str">
        <f>COMM!O12</f>
        <v>RSDSC_Apt</v>
      </c>
      <c r="F7" s="960"/>
      <c r="G7" s="961"/>
      <c r="H7" s="961"/>
      <c r="I7" s="960"/>
      <c r="J7" s="960"/>
      <c r="K7" s="963">
        <v>0</v>
      </c>
      <c r="L7" s="66"/>
      <c r="M7" s="960" t="s">
        <v>295</v>
      </c>
      <c r="N7" s="960" t="str">
        <f>_xlfn.TEXTJOIN(",",TRUE,IF(LEFT(Regions!$C$3,1)&lt;&gt;"*",Regions!$C$3,""),IF(LEFT(Regions!$D$3,1)&lt;&gt;"*",Regions!$D$3,""))</f>
        <v>IE,National</v>
      </c>
      <c r="O7" s="960" t="str">
        <f>_xlfn.TEXTJOIN("",TRUE,LEFT(SETUP!B$3,1),"-",SETUP!B$85,"_",SETUP!B$37)</f>
        <v>R-BLD_Att</v>
      </c>
      <c r="P7" s="960" t="str">
        <f>_xlfn.TEXTJOIN(" ",TRUE,SETUP!C$3,SETUP!C$85,SETUP!C$37)</f>
        <v>Residential Building Attached</v>
      </c>
      <c r="Q7" s="961" t="s">
        <v>294</v>
      </c>
      <c r="R7" s="960" t="s">
        <v>294</v>
      </c>
      <c r="S7" s="961"/>
      <c r="T7" s="960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698"/>
      <c r="H8" s="698"/>
      <c r="I8" s="696"/>
      <c r="J8" s="696"/>
      <c r="K8" s="962">
        <f>'SHWLP-Apt'!$Z$53/$G$6</f>
        <v>1.3011061382857018E-2</v>
      </c>
      <c r="L8" s="66"/>
      <c r="M8" s="696" t="s">
        <v>295</v>
      </c>
      <c r="N8" s="834" t="str">
        <f>_xlfn.TEXTJOIN(",",TRUE,IF(LEFT(Regions!$C$3,1)&lt;&gt;"*",Regions!$C$3,""),IF(LEFT(Regions!$D$3,1)&lt;&gt;"*",Regions!$D$3,""))</f>
        <v>IE,National</v>
      </c>
      <c r="O8" s="834" t="str">
        <f>_xlfn.TEXTJOIN("",TRUE,LEFT(SETUP!B$3,1),"-",SETUP!B$85,"_",SETUP!B$38)</f>
        <v>R-BLD_Det</v>
      </c>
      <c r="P8" s="834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61"/>
      <c r="C9" s="961"/>
      <c r="D9" s="960"/>
      <c r="E9" s="856" t="str">
        <f>COMM!O18</f>
        <v>RSDLT_Apt</v>
      </c>
      <c r="F9" s="960"/>
      <c r="G9" s="961"/>
      <c r="H9" s="961"/>
      <c r="I9" s="960"/>
      <c r="J9" s="960"/>
      <c r="K9" s="963">
        <f>'SHWLP-Apt'!$Z$58/$G$6</f>
        <v>5.9683993389879201E-4</v>
      </c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698"/>
      <c r="H10" s="698"/>
      <c r="I10" s="696"/>
      <c r="J10" s="696"/>
      <c r="K10" s="962">
        <f>'SHWLP-Apt'!$Z$59/$G$6</f>
        <v>1.2298414789219477E-4</v>
      </c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61" t="str">
        <f>_xlfn.TEXTJOIN(",",TRUE,IF(LEFT(Regions!$C$3,1)&lt;&gt;"*",Regions!$C$3,""),IF(LEFT(Regions!$D$3,1)&lt;&gt;"*",Regions!$D$3,""))</f>
        <v>IE,National</v>
      </c>
      <c r="C11" s="961" t="str">
        <f>O7</f>
        <v>R-BLD_Att</v>
      </c>
      <c r="D11" s="960" t="str">
        <f>P7</f>
        <v>Residential Building Attached</v>
      </c>
      <c r="E11" s="856" t="str">
        <f>COMM!O10</f>
        <v>RSDSH_Att</v>
      </c>
      <c r="F11" s="960" t="str">
        <f>COMM!O7</f>
        <v>RSD_Att</v>
      </c>
      <c r="G11" s="961">
        <f>IF(DwellingStocks!H30=0,"",DwellingStocks!$J$38/1000)</f>
        <v>766.35172099999977</v>
      </c>
      <c r="H11" s="961">
        <v>638.63</v>
      </c>
      <c r="I11" s="960">
        <v>100</v>
      </c>
      <c r="J11" s="960">
        <v>1</v>
      </c>
      <c r="K11" s="963">
        <f>'SHWLP-Att'!$Z$27/$G$11</f>
        <v>2.6814506269602453E-2</v>
      </c>
      <c r="L11" s="626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698"/>
      <c r="H12" s="698"/>
      <c r="I12" s="696"/>
      <c r="J12" s="696"/>
      <c r="K12" s="962">
        <v>0</v>
      </c>
      <c r="L12" s="626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61"/>
      <c r="C13" s="961"/>
      <c r="D13" s="960"/>
      <c r="E13" s="856" t="str">
        <f>COMM!O16</f>
        <v>RSDWH_Att</v>
      </c>
      <c r="F13" s="960"/>
      <c r="G13" s="961"/>
      <c r="H13" s="961"/>
      <c r="I13" s="960"/>
      <c r="J13" s="960"/>
      <c r="K13" s="963">
        <f>'SHWLP-Att'!$Z$53/$G$11</f>
        <v>1.0379714580865323E-2</v>
      </c>
      <c r="L13" s="626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698"/>
      <c r="H14" s="698"/>
      <c r="I14" s="696"/>
      <c r="J14" s="696"/>
      <c r="K14" s="962">
        <f>'SHWLP-Att'!Z58/$G$11</f>
        <v>8.4710237013756629E-4</v>
      </c>
      <c r="L14" s="626"/>
      <c r="O14" s="894"/>
      <c r="P14" s="894"/>
      <c r="Q14" s="894"/>
      <c r="R14" s="894"/>
      <c r="S14" s="894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61"/>
      <c r="C15" s="961"/>
      <c r="D15" s="960"/>
      <c r="E15" s="856" t="str">
        <f>COMM!O22</f>
        <v>RSDPF_Att</v>
      </c>
      <c r="F15" s="960"/>
      <c r="G15" s="961"/>
      <c r="H15" s="961"/>
      <c r="I15" s="960"/>
      <c r="J15" s="960"/>
      <c r="K15" s="963">
        <f>'SHWLP-Att'!Z59/$G$11</f>
        <v>2.3457687355088344E-4</v>
      </c>
      <c r="L15" s="626"/>
      <c r="O15" s="894"/>
      <c r="P15" s="894"/>
      <c r="Q15" s="894"/>
      <c r="R15" s="894"/>
      <c r="S15" s="894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698">
        <f>IF(DwellingStocks!H34=0,"",DwellingStocks!$K$38/1000)</f>
        <v>724.42972899999995</v>
      </c>
      <c r="H16" s="698">
        <f>IF(DwellingStocks!I34=0,"",DwellingStocks!$K$38/1000)</f>
        <v>724.42972899999995</v>
      </c>
      <c r="I16" s="696">
        <v>100</v>
      </c>
      <c r="J16" s="696">
        <v>1</v>
      </c>
      <c r="K16" s="962">
        <f>'SHWLP-Det'!$Z$27/$G$16</f>
        <v>4.7813024530524835E-2</v>
      </c>
      <c r="L16" s="626"/>
      <c r="O16" s="894"/>
      <c r="P16" s="894"/>
      <c r="Q16" s="894"/>
      <c r="R16" s="894"/>
      <c r="S16" s="894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61"/>
      <c r="C17" s="961"/>
      <c r="D17" s="960"/>
      <c r="E17" s="856" t="str">
        <f>COMM!O14</f>
        <v>RSDSC_Det</v>
      </c>
      <c r="F17" s="960"/>
      <c r="G17" s="961"/>
      <c r="H17" s="961"/>
      <c r="I17" s="960"/>
      <c r="J17" s="960"/>
      <c r="K17" s="963">
        <v>0</v>
      </c>
      <c r="L17" s="626"/>
      <c r="O17" s="894"/>
      <c r="P17" s="894"/>
      <c r="Q17" s="894"/>
      <c r="R17" s="894"/>
      <c r="S17" s="894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2">
        <f>'SHWLP-Det'!Z53/$G$16</f>
        <v>1.3662048446367654E-2</v>
      </c>
      <c r="L18" s="626"/>
      <c r="O18" s="894"/>
      <c r="P18" s="894"/>
      <c r="Q18" s="894"/>
      <c r="R18" s="894"/>
      <c r="S18" s="894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61"/>
      <c r="C19" s="961"/>
      <c r="D19" s="960"/>
      <c r="E19" s="856" t="str">
        <f>COMM!O20</f>
        <v>RSDLT_Det</v>
      </c>
      <c r="F19" s="960"/>
      <c r="G19" s="961"/>
      <c r="H19" s="961"/>
      <c r="I19" s="960"/>
      <c r="J19" s="960"/>
      <c r="K19" s="963">
        <f>'SHWLP-Det'!Z58/$G$16</f>
        <v>1.3953557418383549E-3</v>
      </c>
      <c r="L19" s="626"/>
      <c r="O19" s="894"/>
      <c r="P19" s="894"/>
      <c r="Q19" s="894"/>
      <c r="R19" s="894"/>
      <c r="S19" s="894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2">
        <f>'SHWLP-Det'!Z59/H16</f>
        <v>2.9043456181104398E-4</v>
      </c>
      <c r="L20" s="626"/>
      <c r="O20" s="894"/>
      <c r="P20" s="894"/>
      <c r="Q20" s="894"/>
      <c r="R20" s="894"/>
      <c r="S20" s="894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4"/>
      <c r="P21" s="894"/>
      <c r="Q21" s="894"/>
      <c r="R21" s="894"/>
      <c r="S21" s="894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4"/>
      <c r="P22" s="894"/>
      <c r="Q22" s="894"/>
      <c r="R22" s="894"/>
      <c r="S22" s="894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4"/>
      <c r="P23" s="894"/>
      <c r="Q23" s="894"/>
      <c r="R23" s="894"/>
      <c r="S23" s="894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33" t="s">
        <v>783</v>
      </c>
      <c r="C24" s="1133"/>
      <c r="D24" s="1133"/>
      <c r="E24" s="1133"/>
      <c r="F24" s="1133"/>
      <c r="G24" s="1133"/>
      <c r="H24" s="1133"/>
      <c r="I24" s="1133"/>
      <c r="J24" s="1133"/>
      <c r="K24" s="1133"/>
      <c r="L24" s="1133"/>
      <c r="M24" s="626"/>
      <c r="N24" s="76"/>
      <c r="O24" s="894"/>
      <c r="P24" s="894"/>
      <c r="Q24" s="894"/>
      <c r="R24" s="894"/>
      <c r="S24" s="894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4"/>
      <c r="P25" s="894"/>
      <c r="Q25" s="894"/>
      <c r="R25" s="894"/>
      <c r="S25" s="894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4"/>
      <c r="P26" s="894"/>
      <c r="Q26" s="894"/>
      <c r="R26" s="894"/>
      <c r="S26" s="894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4"/>
      <c r="P27" s="894"/>
      <c r="Q27" s="894"/>
      <c r="R27" s="894"/>
      <c r="S27" s="894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806">
        <f>[2]Summary!$E27</f>
        <v>206.79888499999998</v>
      </c>
      <c r="G28" s="806">
        <f>[2]Summary!$F27</f>
        <v>343.16240879844895</v>
      </c>
      <c r="H28" s="806">
        <f>[2]Summary!$G$27</f>
        <v>451.82524110684687</v>
      </c>
      <c r="I28" s="806">
        <f>[2]Summary!$H$27</f>
        <v>536.57262151506029</v>
      </c>
      <c r="J28" s="806">
        <f>[2]Summary!$I$27</f>
        <v>618.35384360898615</v>
      </c>
      <c r="K28" s="806">
        <f>[2]Summary!$J$27</f>
        <v>697.27272292962459</v>
      </c>
      <c r="L28" s="805" t="s">
        <v>267</v>
      </c>
      <c r="M28" s="626"/>
      <c r="N28" s="626"/>
      <c r="O28" s="894"/>
      <c r="P28" s="894"/>
      <c r="Q28" s="894"/>
      <c r="R28" s="894"/>
      <c r="S28" s="894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807">
        <f>[2]Summary!$E$28</f>
        <v>766.35172099999977</v>
      </c>
      <c r="G29" s="807">
        <f>[2]Summary!$F$28</f>
        <v>886.25277079624823</v>
      </c>
      <c r="H29" s="807">
        <f>[2]Summary!$G$28</f>
        <v>978.53086502110932</v>
      </c>
      <c r="I29" s="807">
        <f>[2]Summary!$H$28</f>
        <v>1047.0297357476454</v>
      </c>
      <c r="J29" s="807">
        <f>[2]Summary!$I$28</f>
        <v>1113.1311459987526</v>
      </c>
      <c r="K29" s="807">
        <f>[2]Summary!$J$28</f>
        <v>1176.9190068910709</v>
      </c>
      <c r="L29" s="795" t="s">
        <v>267</v>
      </c>
      <c r="M29" s="626"/>
      <c r="O29" s="894"/>
      <c r="P29" s="894"/>
      <c r="Q29" s="894"/>
      <c r="R29" s="894"/>
      <c r="S29" s="894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806">
        <f>[2]Summary!$E$29</f>
        <v>724.42972899999995</v>
      </c>
      <c r="G30" s="806">
        <f>[2]Summary!$F$29</f>
        <v>765.74984368030255</v>
      </c>
      <c r="H30" s="806">
        <f>[2]Summary!$G$29</f>
        <v>794.97814133241855</v>
      </c>
      <c r="I30" s="806">
        <f>[2]Summary!$H$29</f>
        <v>813.84519153655606</v>
      </c>
      <c r="J30" s="806">
        <f>[2]Summary!$I$29</f>
        <v>832.05189498354878</v>
      </c>
      <c r="K30" s="806">
        <f>[2]Summary!$J$29</f>
        <v>849.62136380989671</v>
      </c>
      <c r="L30" s="805" t="s">
        <v>267</v>
      </c>
      <c r="M30" s="626"/>
      <c r="O30" s="894"/>
      <c r="P30" s="894"/>
      <c r="Q30" s="894"/>
      <c r="R30" s="894"/>
      <c r="S30" s="894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4"/>
      <c r="P31" s="894"/>
      <c r="Q31" s="894"/>
      <c r="R31" s="894"/>
      <c r="S31" s="894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4" t="s">
        <v>753</v>
      </c>
      <c r="C32" s="814"/>
      <c r="D32" s="814"/>
      <c r="E32" s="814"/>
      <c r="F32" s="815">
        <f>SUM(F28:F30)</f>
        <v>1697.5803349999996</v>
      </c>
      <c r="G32" s="815">
        <v>2088.44</v>
      </c>
      <c r="H32" s="815">
        <v>2344.86</v>
      </c>
      <c r="I32" s="815">
        <v>2570.37</v>
      </c>
      <c r="J32" s="815">
        <v>2787.97</v>
      </c>
      <c r="K32" s="815">
        <v>2997.97</v>
      </c>
      <c r="L32" s="814"/>
      <c r="O32" s="894"/>
      <c r="P32" s="894"/>
      <c r="Q32" s="894"/>
      <c r="R32" s="894"/>
      <c r="S32" s="894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4"/>
      <c r="P33" s="894"/>
      <c r="Q33" s="894"/>
      <c r="R33" s="894"/>
      <c r="S33" s="894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4"/>
      <c r="P34" s="894"/>
      <c r="Q34" s="894"/>
      <c r="R34" s="894"/>
      <c r="S34" s="894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4"/>
      <c r="P35" s="894"/>
      <c r="Q35" s="894"/>
      <c r="R35" s="894"/>
      <c r="S35" s="894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4"/>
      <c r="P36" s="894"/>
      <c r="Q36" s="894"/>
      <c r="R36" s="894"/>
      <c r="S36" s="894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10">
        <f>I88</f>
        <v>875.12249999999995</v>
      </c>
      <c r="H37">
        <v>1122.25</v>
      </c>
      <c r="M37" s="626"/>
      <c r="N37" s="626"/>
      <c r="O37" s="894"/>
      <c r="P37" s="894"/>
      <c r="Q37" s="894"/>
      <c r="R37" s="894"/>
      <c r="S37" s="894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10">
        <f>I89</f>
        <v>486.83249999999998</v>
      </c>
      <c r="H38">
        <v>817.05</v>
      </c>
      <c r="O38" s="894"/>
      <c r="P38" s="894"/>
      <c r="Q38" s="894"/>
      <c r="R38" s="894"/>
      <c r="S38" s="894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10">
        <f>I90</f>
        <v>655.88249999999994</v>
      </c>
      <c r="H39">
        <v>345.07500000000005</v>
      </c>
      <c r="O39" s="894"/>
      <c r="P39" s="894"/>
      <c r="Q39" s="894"/>
      <c r="R39" s="894"/>
      <c r="S39" s="894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10">
        <f>I91</f>
        <v>456.48</v>
      </c>
      <c r="H40">
        <v>723.67499999999995</v>
      </c>
      <c r="O40" s="894"/>
      <c r="P40" s="894"/>
      <c r="Q40" s="894"/>
      <c r="R40" s="894"/>
      <c r="S40" s="894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10">
        <f>SUM(F37:F40)</f>
        <v>2474.3175000000001</v>
      </c>
      <c r="R41" s="959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9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9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9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8" t="s">
        <v>761</v>
      </c>
      <c r="D45" s="809">
        <v>370.95</v>
      </c>
      <c r="E45" s="809">
        <v>374.25</v>
      </c>
      <c r="F45" s="809">
        <v>379.27</v>
      </c>
      <c r="G45" s="809">
        <v>423.4</v>
      </c>
      <c r="H45" s="809">
        <v>320.63</v>
      </c>
      <c r="I45" s="809">
        <v>380.99</v>
      </c>
      <c r="J45" s="809">
        <v>367.5</v>
      </c>
      <c r="K45" s="809">
        <v>331.47</v>
      </c>
      <c r="L45" s="809">
        <v>370.17</v>
      </c>
      <c r="M45" s="809">
        <v>339.01</v>
      </c>
      <c r="N45" s="809">
        <v>343.64</v>
      </c>
      <c r="O45" s="809">
        <v>403.49</v>
      </c>
      <c r="P45" s="809">
        <v>473.5</v>
      </c>
      <c r="Q45" s="809">
        <v>435.25</v>
      </c>
      <c r="R45" s="959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8" t="s">
        <v>762</v>
      </c>
      <c r="D46" s="809">
        <v>265.85000000000002</v>
      </c>
      <c r="E46" s="809">
        <v>311.69</v>
      </c>
      <c r="F46" s="809">
        <v>317.05</v>
      </c>
      <c r="G46" s="809">
        <v>350.48</v>
      </c>
      <c r="H46" s="809">
        <v>301.64999999999998</v>
      </c>
      <c r="I46" s="809">
        <v>335.52</v>
      </c>
      <c r="J46" s="809">
        <v>348.8</v>
      </c>
      <c r="K46" s="809">
        <v>345.47</v>
      </c>
      <c r="L46" s="809">
        <v>343.98</v>
      </c>
      <c r="M46" s="809">
        <v>322.88</v>
      </c>
      <c r="N46" s="809">
        <v>330.33</v>
      </c>
      <c r="O46" s="809">
        <v>342.11</v>
      </c>
      <c r="P46" s="809">
        <v>411</v>
      </c>
      <c r="Q46" s="809">
        <v>301.05</v>
      </c>
      <c r="R46" s="959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8" t="s">
        <v>763</v>
      </c>
      <c r="D47" s="809">
        <v>289.23</v>
      </c>
      <c r="E47" s="809">
        <v>322.81</v>
      </c>
      <c r="F47" s="809">
        <v>309.31</v>
      </c>
      <c r="G47" s="809">
        <v>372.92</v>
      </c>
      <c r="H47" s="809">
        <v>313.74</v>
      </c>
      <c r="I47" s="809">
        <v>306.06</v>
      </c>
      <c r="J47" s="809">
        <v>333.31</v>
      </c>
      <c r="K47" s="809">
        <v>301.27</v>
      </c>
      <c r="L47" s="809">
        <v>366.25</v>
      </c>
      <c r="M47" s="809">
        <v>334.61</v>
      </c>
      <c r="N47" s="809">
        <v>352.11</v>
      </c>
      <c r="O47" s="809">
        <v>321.36</v>
      </c>
      <c r="P47" s="809">
        <v>372.42</v>
      </c>
      <c r="Q47" s="809">
        <v>341.05</v>
      </c>
      <c r="R47" s="959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8" t="s">
        <v>764</v>
      </c>
      <c r="D48" s="809">
        <v>307.97000000000003</v>
      </c>
      <c r="E48" s="809">
        <v>254.45</v>
      </c>
      <c r="F48" s="809">
        <v>318.47000000000003</v>
      </c>
      <c r="G48" s="809">
        <v>294.17</v>
      </c>
      <c r="H48" s="809">
        <v>266.61</v>
      </c>
      <c r="I48" s="809">
        <v>239.44</v>
      </c>
      <c r="J48" s="809">
        <v>267.73</v>
      </c>
      <c r="K48" s="809">
        <v>279.32</v>
      </c>
      <c r="L48" s="809">
        <v>283</v>
      </c>
      <c r="M48" s="809">
        <v>210.14</v>
      </c>
      <c r="N48" s="809">
        <v>293.18</v>
      </c>
      <c r="O48" s="809">
        <v>262.56</v>
      </c>
      <c r="P48" s="809">
        <v>271.13</v>
      </c>
      <c r="Q48" s="809">
        <v>205.33</v>
      </c>
      <c r="R48" s="959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8" t="s">
        <v>765</v>
      </c>
      <c r="D49" s="809">
        <v>173.97</v>
      </c>
      <c r="E49" s="809">
        <v>175.36</v>
      </c>
      <c r="F49" s="809">
        <v>193.36</v>
      </c>
      <c r="G49" s="809">
        <v>170.43</v>
      </c>
      <c r="H49" s="809">
        <v>213.47</v>
      </c>
      <c r="I49" s="809">
        <v>209.28</v>
      </c>
      <c r="J49" s="809">
        <v>201.92</v>
      </c>
      <c r="K49" s="809">
        <v>228.2</v>
      </c>
      <c r="L49" s="809">
        <v>212.86</v>
      </c>
      <c r="M49" s="809">
        <v>200.02</v>
      </c>
      <c r="N49" s="809">
        <v>142.53</v>
      </c>
      <c r="O49" s="809">
        <v>204.28</v>
      </c>
      <c r="P49" s="809">
        <v>216.15</v>
      </c>
      <c r="Q49" s="809">
        <v>205.47</v>
      </c>
      <c r="R49" s="959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8" t="s">
        <v>766</v>
      </c>
      <c r="D50" s="809">
        <v>134.01</v>
      </c>
      <c r="E50" s="809">
        <v>151.72</v>
      </c>
      <c r="F50" s="809">
        <v>115.55</v>
      </c>
      <c r="G50" s="809">
        <v>125.97</v>
      </c>
      <c r="H50" s="809">
        <v>152.25</v>
      </c>
      <c r="I50" s="809">
        <v>100.1</v>
      </c>
      <c r="J50" s="809">
        <v>80.97</v>
      </c>
      <c r="K50" s="809">
        <v>79.59</v>
      </c>
      <c r="L50" s="809">
        <v>76.150000000000006</v>
      </c>
      <c r="M50" s="809">
        <v>95.75</v>
      </c>
      <c r="N50" s="809">
        <v>129.04</v>
      </c>
      <c r="O50" s="809">
        <v>89</v>
      </c>
      <c r="P50" s="809">
        <v>68.14</v>
      </c>
      <c r="Q50" s="809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8" t="s">
        <v>767</v>
      </c>
      <c r="D51" s="809">
        <v>77.3</v>
      </c>
      <c r="E51" s="809">
        <v>30.16</v>
      </c>
      <c r="F51" s="809">
        <v>47.74</v>
      </c>
      <c r="G51" s="809">
        <v>70</v>
      </c>
      <c r="H51" s="809">
        <v>96.24</v>
      </c>
      <c r="I51" s="809">
        <v>35.06</v>
      </c>
      <c r="J51" s="809">
        <v>94.51</v>
      </c>
      <c r="K51" s="809">
        <v>56.2</v>
      </c>
      <c r="L51" s="809">
        <v>18.02</v>
      </c>
      <c r="M51" s="809">
        <v>79.040000000000006</v>
      </c>
      <c r="N51" s="809">
        <v>63.17</v>
      </c>
      <c r="O51" s="809">
        <v>69.11</v>
      </c>
      <c r="P51" s="809">
        <v>47.77</v>
      </c>
      <c r="Q51" s="809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8" t="s">
        <v>768</v>
      </c>
      <c r="D52" s="809">
        <v>50.16</v>
      </c>
      <c r="E52" s="809">
        <v>48.38</v>
      </c>
      <c r="F52" s="809">
        <v>48.34</v>
      </c>
      <c r="G52" s="809">
        <v>65.72</v>
      </c>
      <c r="H52" s="809">
        <v>53.56</v>
      </c>
      <c r="I52" s="809">
        <v>34.36</v>
      </c>
      <c r="J52" s="809">
        <v>38.090000000000003</v>
      </c>
      <c r="K52" s="809">
        <v>45.03</v>
      </c>
      <c r="L52" s="809">
        <v>53.31</v>
      </c>
      <c r="M52" s="809">
        <v>70.489999999999995</v>
      </c>
      <c r="N52" s="809">
        <v>50.13</v>
      </c>
      <c r="O52" s="809">
        <v>62.62</v>
      </c>
      <c r="P52" s="809">
        <v>86.2</v>
      </c>
      <c r="Q52" s="809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8" t="s">
        <v>769</v>
      </c>
      <c r="D53" s="809">
        <v>92.01</v>
      </c>
      <c r="E53" s="809">
        <v>100.82</v>
      </c>
      <c r="F53" s="809">
        <v>105.38</v>
      </c>
      <c r="G53" s="809">
        <v>108.43</v>
      </c>
      <c r="H53" s="809">
        <v>112.93</v>
      </c>
      <c r="I53" s="809">
        <v>104.78</v>
      </c>
      <c r="J53" s="809">
        <v>98.54</v>
      </c>
      <c r="K53" s="809">
        <v>93.77</v>
      </c>
      <c r="L53" s="809">
        <v>61</v>
      </c>
      <c r="M53" s="809">
        <v>105.21</v>
      </c>
      <c r="N53" s="809">
        <v>151.77000000000001</v>
      </c>
      <c r="O53" s="809">
        <v>136.43</v>
      </c>
      <c r="P53" s="809">
        <v>96.86</v>
      </c>
      <c r="Q53" s="809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8" t="s">
        <v>770</v>
      </c>
      <c r="D54" s="809">
        <v>211.84</v>
      </c>
      <c r="E54" s="809">
        <v>214.24</v>
      </c>
      <c r="F54" s="809">
        <v>248.19</v>
      </c>
      <c r="G54" s="809">
        <v>161.12</v>
      </c>
      <c r="H54" s="809">
        <v>239.25</v>
      </c>
      <c r="I54" s="809">
        <v>247.64</v>
      </c>
      <c r="J54" s="809">
        <v>264.89</v>
      </c>
      <c r="K54" s="809">
        <v>178.42</v>
      </c>
      <c r="L54" s="809">
        <v>173.27</v>
      </c>
      <c r="M54" s="809">
        <v>174.77</v>
      </c>
      <c r="N54" s="809">
        <v>253.88</v>
      </c>
      <c r="O54" s="809">
        <v>183.15</v>
      </c>
      <c r="P54" s="809">
        <v>225.11</v>
      </c>
      <c r="Q54" s="809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8" t="s">
        <v>771</v>
      </c>
      <c r="D55" s="809">
        <v>300.33999999999997</v>
      </c>
      <c r="E55" s="809">
        <v>288.79000000000002</v>
      </c>
      <c r="F55" s="809">
        <v>334.6</v>
      </c>
      <c r="G55" s="809">
        <v>271.75</v>
      </c>
      <c r="H55" s="809">
        <v>269.49</v>
      </c>
      <c r="I55" s="809">
        <v>278.79000000000002</v>
      </c>
      <c r="J55" s="809">
        <v>271.99</v>
      </c>
      <c r="K55" s="809">
        <v>315.37</v>
      </c>
      <c r="L55" s="809">
        <v>299.8</v>
      </c>
      <c r="M55" s="809">
        <v>257.68</v>
      </c>
      <c r="N55" s="809">
        <v>304.58999999999997</v>
      </c>
      <c r="O55" s="809">
        <v>301.82</v>
      </c>
      <c r="P55" s="809">
        <v>367.12</v>
      </c>
      <c r="Q55" s="809">
        <v>240.31</v>
      </c>
    </row>
    <row r="56" spans="2:28">
      <c r="C56" s="808" t="s">
        <v>772</v>
      </c>
      <c r="D56" s="809">
        <v>338.5</v>
      </c>
      <c r="E56" s="809">
        <v>381.12</v>
      </c>
      <c r="F56" s="809">
        <v>375.45</v>
      </c>
      <c r="G56" s="809">
        <v>386.47</v>
      </c>
      <c r="H56" s="809">
        <v>359.75</v>
      </c>
      <c r="I56" s="809">
        <v>358.32</v>
      </c>
      <c r="J56" s="809">
        <v>332.47</v>
      </c>
      <c r="K56" s="809">
        <v>354.19</v>
      </c>
      <c r="L56" s="809">
        <v>343.61</v>
      </c>
      <c r="M56" s="809">
        <v>333.75</v>
      </c>
      <c r="N56" s="809">
        <v>389.17</v>
      </c>
      <c r="O56" s="809">
        <v>441.72</v>
      </c>
      <c r="P56" s="809">
        <v>530.92999999999995</v>
      </c>
      <c r="Q56" s="809">
        <v>357.76</v>
      </c>
    </row>
    <row r="57" spans="2:28">
      <c r="B57">
        <v>2012</v>
      </c>
      <c r="C57" s="128" t="s">
        <v>756</v>
      </c>
      <c r="D57" s="811">
        <f>SUM(D45,D55:D56)</f>
        <v>1009.79</v>
      </c>
      <c r="E57" s="811">
        <f t="shared" ref="B57:Q88" si="0">SUM(E45,E55:E56)</f>
        <v>1044.1599999999999</v>
      </c>
      <c r="F57" s="811">
        <f t="shared" si="0"/>
        <v>1089.32</v>
      </c>
      <c r="G57" s="811">
        <f t="shared" si="0"/>
        <v>1081.6199999999999</v>
      </c>
      <c r="H57" s="811">
        <f t="shared" si="0"/>
        <v>949.87</v>
      </c>
      <c r="I57" s="811">
        <f t="shared" si="0"/>
        <v>1018.0999999999999</v>
      </c>
      <c r="J57" s="811">
        <f t="shared" si="0"/>
        <v>971.96</v>
      </c>
      <c r="K57" s="811">
        <f t="shared" si="0"/>
        <v>1001.03</v>
      </c>
      <c r="L57" s="811">
        <f t="shared" si="0"/>
        <v>1013.58</v>
      </c>
      <c r="M57" s="811">
        <f t="shared" si="0"/>
        <v>930.44</v>
      </c>
      <c r="N57" s="811">
        <f t="shared" si="0"/>
        <v>1037.4000000000001</v>
      </c>
      <c r="O57" s="811">
        <f t="shared" si="0"/>
        <v>1147.03</v>
      </c>
      <c r="P57" s="811">
        <f t="shared" si="0"/>
        <v>1371.55</v>
      </c>
      <c r="Q57" s="811">
        <f t="shared" si="0"/>
        <v>1033.32</v>
      </c>
    </row>
    <row r="58" spans="2:28">
      <c r="B58" s="809">
        <v>335.17</v>
      </c>
      <c r="C58" s="128" t="s">
        <v>757</v>
      </c>
      <c r="D58" s="811">
        <f>SUM(D46:D48)</f>
        <v>863.05000000000007</v>
      </c>
      <c r="E58" s="811">
        <f t="shared" ref="B58:Q89" si="1">SUM(E46:E48)</f>
        <v>888.95</v>
      </c>
      <c r="F58" s="811">
        <f t="shared" si="1"/>
        <v>944.83</v>
      </c>
      <c r="G58" s="811">
        <f t="shared" si="1"/>
        <v>1017.5700000000002</v>
      </c>
      <c r="H58" s="811">
        <f t="shared" si="1"/>
        <v>882</v>
      </c>
      <c r="I58" s="811">
        <f t="shared" si="1"/>
        <v>881.02</v>
      </c>
      <c r="J58" s="811">
        <f t="shared" si="1"/>
        <v>949.84</v>
      </c>
      <c r="K58" s="811">
        <f t="shared" si="1"/>
        <v>926.06</v>
      </c>
      <c r="L58" s="811">
        <f t="shared" si="1"/>
        <v>993.23</v>
      </c>
      <c r="M58" s="811">
        <f t="shared" si="1"/>
        <v>867.63</v>
      </c>
      <c r="N58" s="811">
        <f t="shared" si="1"/>
        <v>975.62000000000012</v>
      </c>
      <c r="O58" s="811">
        <f t="shared" si="1"/>
        <v>926.03</v>
      </c>
      <c r="P58" s="811">
        <f t="shared" si="1"/>
        <v>1054.5500000000002</v>
      </c>
      <c r="Q58" s="811">
        <f t="shared" si="1"/>
        <v>847.43000000000006</v>
      </c>
    </row>
    <row r="59" spans="2:28">
      <c r="B59" s="809">
        <v>303.10000000000002</v>
      </c>
      <c r="C59" s="128" t="s">
        <v>758</v>
      </c>
      <c r="D59" s="811">
        <f>SUM(D49:D51)</f>
        <v>385.28000000000003</v>
      </c>
      <c r="E59" s="811">
        <f t="shared" ref="B59:Q90" si="2">SUM(E49:E51)</f>
        <v>357.24000000000007</v>
      </c>
      <c r="F59" s="811">
        <f t="shared" si="2"/>
        <v>356.65000000000003</v>
      </c>
      <c r="G59" s="811">
        <f t="shared" si="2"/>
        <v>366.4</v>
      </c>
      <c r="H59" s="811">
        <f t="shared" si="2"/>
        <v>461.96000000000004</v>
      </c>
      <c r="I59" s="811">
        <f t="shared" si="2"/>
        <v>344.44</v>
      </c>
      <c r="J59" s="811">
        <f t="shared" si="2"/>
        <v>377.4</v>
      </c>
      <c r="K59" s="811">
        <f t="shared" si="2"/>
        <v>363.98999999999995</v>
      </c>
      <c r="L59" s="811">
        <f t="shared" si="2"/>
        <v>307.02999999999997</v>
      </c>
      <c r="M59" s="811">
        <f t="shared" si="2"/>
        <v>374.81</v>
      </c>
      <c r="N59" s="811">
        <f t="shared" si="2"/>
        <v>334.74</v>
      </c>
      <c r="O59" s="811">
        <f t="shared" si="2"/>
        <v>362.39</v>
      </c>
      <c r="P59" s="811">
        <f t="shared" si="2"/>
        <v>332.06</v>
      </c>
      <c r="Q59" s="811">
        <f t="shared" si="2"/>
        <v>469.77000000000004</v>
      </c>
    </row>
    <row r="60" spans="2:28">
      <c r="B60" s="809">
        <v>279.33999999999997</v>
      </c>
      <c r="C60" s="128" t="s">
        <v>759</v>
      </c>
      <c r="D60" s="811">
        <f>SUM(D52:D54)</f>
        <v>354.01</v>
      </c>
      <c r="E60" s="811">
        <f t="shared" ref="B60:Q91" si="3">SUM(E52:E54)</f>
        <v>363.44</v>
      </c>
      <c r="F60" s="811">
        <f t="shared" si="3"/>
        <v>401.90999999999997</v>
      </c>
      <c r="G60" s="811">
        <f t="shared" si="3"/>
        <v>335.27</v>
      </c>
      <c r="H60" s="811">
        <f t="shared" si="3"/>
        <v>405.74</v>
      </c>
      <c r="I60" s="811">
        <f t="shared" si="3"/>
        <v>386.78</v>
      </c>
      <c r="J60" s="811">
        <f t="shared" si="3"/>
        <v>401.52</v>
      </c>
      <c r="K60" s="811">
        <f t="shared" si="3"/>
        <v>317.22000000000003</v>
      </c>
      <c r="L60" s="811">
        <f t="shared" si="3"/>
        <v>287.58000000000004</v>
      </c>
      <c r="M60" s="811">
        <f t="shared" si="3"/>
        <v>350.47</v>
      </c>
      <c r="N60" s="811">
        <f t="shared" si="3"/>
        <v>455.78</v>
      </c>
      <c r="O60" s="811">
        <f t="shared" si="3"/>
        <v>382.20000000000005</v>
      </c>
      <c r="P60" s="811">
        <f t="shared" si="3"/>
        <v>408.17</v>
      </c>
      <c r="Q60" s="811">
        <f t="shared" si="3"/>
        <v>415.58</v>
      </c>
    </row>
    <row r="61" spans="2:28">
      <c r="B61" s="809">
        <v>319.69</v>
      </c>
    </row>
    <row r="62" spans="2:28">
      <c r="B62" s="809">
        <v>210.04</v>
      </c>
    </row>
    <row r="63" spans="2:28">
      <c r="B63" s="809">
        <v>144.44</v>
      </c>
    </row>
    <row r="64" spans="2:28">
      <c r="B64" s="809">
        <v>101.55</v>
      </c>
    </row>
    <row r="65" spans="2:10">
      <c r="B65" s="809">
        <v>42.74</v>
      </c>
    </row>
    <row r="66" spans="2:10">
      <c r="B66" s="809">
        <v>145.97</v>
      </c>
    </row>
    <row r="67" spans="2:10">
      <c r="B67" s="809">
        <v>267.77</v>
      </c>
    </row>
    <row r="68" spans="2:10">
      <c r="B68" s="809">
        <v>340.27</v>
      </c>
      <c r="D68" s="128" t="s">
        <v>776</v>
      </c>
      <c r="E68" s="128" t="s">
        <v>777</v>
      </c>
    </row>
    <row r="69" spans="2:10">
      <c r="B69" s="809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1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1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1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1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9">
        <v>378.88</v>
      </c>
      <c r="D76" s="809">
        <v>373.43</v>
      </c>
      <c r="E76" s="809">
        <v>392.56</v>
      </c>
      <c r="F76" s="809">
        <v>359.73</v>
      </c>
      <c r="G76" s="809">
        <v>356.37</v>
      </c>
      <c r="H76" s="809">
        <v>379.41</v>
      </c>
    </row>
    <row r="77" spans="2:10">
      <c r="C77" s="809">
        <v>355.55</v>
      </c>
      <c r="D77" s="809">
        <v>338.34</v>
      </c>
      <c r="E77" s="809">
        <v>364.38</v>
      </c>
      <c r="F77" s="809">
        <v>364.71</v>
      </c>
      <c r="G77" s="809">
        <v>315.83999999999997</v>
      </c>
      <c r="H77" s="809">
        <v>383.71</v>
      </c>
    </row>
    <row r="78" spans="2:10">
      <c r="C78" s="809">
        <v>428.7</v>
      </c>
      <c r="D78" s="809">
        <v>334.29</v>
      </c>
      <c r="E78" s="809">
        <v>353.25</v>
      </c>
      <c r="F78" s="809">
        <v>346.87</v>
      </c>
      <c r="G78" s="809">
        <v>296.35000000000002</v>
      </c>
      <c r="H78" s="809">
        <v>403.45</v>
      </c>
    </row>
    <row r="79" spans="2:10">
      <c r="C79" s="809">
        <v>316.64999999999998</v>
      </c>
      <c r="D79" s="809">
        <v>237.88</v>
      </c>
      <c r="E79" s="809">
        <v>279.91000000000003</v>
      </c>
      <c r="F79" s="809">
        <v>315.62</v>
      </c>
      <c r="G79" s="809">
        <v>263.94</v>
      </c>
      <c r="H79" s="809">
        <v>275.42</v>
      </c>
    </row>
    <row r="80" spans="2:10">
      <c r="C80" s="809">
        <v>239.76</v>
      </c>
      <c r="D80" s="809">
        <v>197.83</v>
      </c>
      <c r="E80" s="809">
        <v>244.96</v>
      </c>
      <c r="F80" s="809">
        <v>180.02</v>
      </c>
      <c r="G80" s="809">
        <v>170.4</v>
      </c>
      <c r="H80" s="809">
        <v>167.5</v>
      </c>
    </row>
    <row r="81" spans="3:9">
      <c r="C81" s="809">
        <v>125.01</v>
      </c>
      <c r="D81" s="809">
        <v>84.27</v>
      </c>
      <c r="E81" s="809">
        <v>138</v>
      </c>
      <c r="F81" s="809">
        <v>81.81</v>
      </c>
      <c r="G81" s="809">
        <v>100.92</v>
      </c>
      <c r="H81" s="809">
        <v>60.96</v>
      </c>
    </row>
    <row r="82" spans="3:9">
      <c r="C82" s="809">
        <v>20.12</v>
      </c>
      <c r="D82" s="809">
        <v>27.84</v>
      </c>
      <c r="E82" s="809">
        <v>108.23</v>
      </c>
      <c r="F82" s="809">
        <v>65.81</v>
      </c>
      <c r="G82" s="809">
        <v>65.47</v>
      </c>
      <c r="H82" s="809">
        <v>23.59</v>
      </c>
    </row>
    <row r="83" spans="3:9">
      <c r="C83" s="809">
        <v>33.04</v>
      </c>
      <c r="D83" s="809">
        <v>94.48</v>
      </c>
      <c r="E83" s="809">
        <v>106.77</v>
      </c>
      <c r="F83" s="809">
        <v>43.15</v>
      </c>
      <c r="G83" s="809">
        <v>83.78</v>
      </c>
      <c r="H83" s="809">
        <v>72.19</v>
      </c>
    </row>
    <row r="84" spans="3:9">
      <c r="C84" s="809">
        <v>104.79</v>
      </c>
      <c r="D84" s="809">
        <v>81.41</v>
      </c>
      <c r="E84" s="809">
        <v>159.18</v>
      </c>
      <c r="F84" s="809">
        <v>94.37</v>
      </c>
      <c r="G84" s="809">
        <v>149.04</v>
      </c>
      <c r="H84" s="809">
        <v>155.99</v>
      </c>
    </row>
    <row r="85" spans="3:9">
      <c r="C85" s="809">
        <v>167.82</v>
      </c>
      <c r="D85" s="809">
        <v>195.96</v>
      </c>
      <c r="E85" s="809">
        <v>217.71</v>
      </c>
      <c r="F85" s="809">
        <v>218.39</v>
      </c>
      <c r="G85" s="809">
        <v>186.44</v>
      </c>
      <c r="H85" s="809">
        <v>235.93</v>
      </c>
    </row>
    <row r="86" spans="3:9">
      <c r="C86" s="809">
        <v>328.15</v>
      </c>
      <c r="D86" s="809">
        <v>298.06</v>
      </c>
      <c r="E86" s="809">
        <v>252.41</v>
      </c>
      <c r="F86" s="809">
        <v>347.98</v>
      </c>
      <c r="G86" s="809">
        <v>311.14</v>
      </c>
      <c r="H86" s="809">
        <v>293.36</v>
      </c>
    </row>
    <row r="87" spans="3:9">
      <c r="C87" s="809">
        <v>337.14</v>
      </c>
      <c r="D87" s="809">
        <v>365.68</v>
      </c>
      <c r="E87" s="809">
        <v>294.73</v>
      </c>
      <c r="F87" s="809">
        <v>325.58999999999997</v>
      </c>
      <c r="G87" s="809">
        <v>369.23</v>
      </c>
      <c r="H87" s="809">
        <v>302.83</v>
      </c>
    </row>
    <row r="88" spans="3:9">
      <c r="C88" s="811">
        <f t="shared" si="0"/>
        <v>1044.17</v>
      </c>
      <c r="D88" s="811">
        <f t="shared" si="0"/>
        <v>1037.17</v>
      </c>
      <c r="E88" s="811">
        <f t="shared" si="0"/>
        <v>939.7</v>
      </c>
      <c r="F88" s="811">
        <f t="shared" si="0"/>
        <v>1033.3</v>
      </c>
      <c r="G88" s="811">
        <f t="shared" si="0"/>
        <v>1036.74</v>
      </c>
      <c r="H88" s="811">
        <f t="shared" si="0"/>
        <v>975.59999999999991</v>
      </c>
      <c r="I88" s="810">
        <f>AVERAGE(B70:H70)</f>
        <v>875.12249999999995</v>
      </c>
    </row>
    <row r="89" spans="3:9">
      <c r="C89" s="811">
        <f t="shared" si="1"/>
        <v>1100.9000000000001</v>
      </c>
      <c r="D89" s="811">
        <f t="shared" si="1"/>
        <v>910.51</v>
      </c>
      <c r="E89" s="811">
        <f t="shared" si="1"/>
        <v>997.54</v>
      </c>
      <c r="F89" s="811">
        <f t="shared" si="1"/>
        <v>1027.1999999999998</v>
      </c>
      <c r="G89" s="811">
        <f t="shared" si="1"/>
        <v>876.13000000000011</v>
      </c>
      <c r="H89" s="811">
        <f t="shared" si="1"/>
        <v>1062.58</v>
      </c>
      <c r="I89" s="810">
        <f>AVERAGE(B71:H71)</f>
        <v>486.83249999999998</v>
      </c>
    </row>
    <row r="90" spans="3:9">
      <c r="C90" s="811">
        <f t="shared" si="2"/>
        <v>384.89</v>
      </c>
      <c r="D90" s="811">
        <f t="shared" si="2"/>
        <v>309.94</v>
      </c>
      <c r="E90" s="811">
        <f t="shared" si="2"/>
        <v>491.19000000000005</v>
      </c>
      <c r="F90" s="811">
        <f t="shared" si="2"/>
        <v>327.64000000000004</v>
      </c>
      <c r="G90" s="811">
        <f t="shared" si="2"/>
        <v>336.78999999999996</v>
      </c>
      <c r="H90" s="811">
        <f t="shared" si="2"/>
        <v>252.05</v>
      </c>
      <c r="I90" s="810">
        <f>AVERAGE(B72:H72)</f>
        <v>655.88249999999994</v>
      </c>
    </row>
    <row r="91" spans="3:9">
      <c r="C91" s="811">
        <f t="shared" si="3"/>
        <v>305.64999999999998</v>
      </c>
      <c r="D91" s="811">
        <f t="shared" si="3"/>
        <v>371.85</v>
      </c>
      <c r="E91" s="811">
        <f t="shared" si="3"/>
        <v>483.65999999999997</v>
      </c>
      <c r="F91" s="811">
        <f t="shared" si="3"/>
        <v>355.90999999999997</v>
      </c>
      <c r="G91" s="811">
        <f t="shared" si="3"/>
        <v>419.26</v>
      </c>
      <c r="H91" s="811">
        <f t="shared" si="3"/>
        <v>464.11</v>
      </c>
      <c r="I91" s="810">
        <f>AVERAGE(B73:H73)</f>
        <v>456.48</v>
      </c>
    </row>
    <row r="92" spans="3:9">
      <c r="H92" s="810">
        <f>SUM(H88:H91)</f>
        <v>2754.34</v>
      </c>
      <c r="I92" s="810">
        <f>SUM(I88:I91)</f>
        <v>2474.3175000000001</v>
      </c>
    </row>
    <row r="106" spans="2:2" ht="15">
      <c r="B106" s="812"/>
    </row>
    <row r="107" spans="2:2" ht="15">
      <c r="B107" s="812"/>
    </row>
    <row r="108" spans="2:2" ht="15">
      <c r="B108" s="812"/>
    </row>
    <row r="109" spans="2:2" ht="15">
      <c r="B109" s="812"/>
    </row>
    <row r="110" spans="2:2" ht="15">
      <c r="B110" s="812"/>
    </row>
    <row r="111" spans="2:2" ht="15">
      <c r="B111" s="812"/>
    </row>
    <row r="112" spans="2:2" ht="15">
      <c r="B112" s="812"/>
    </row>
    <row r="113" spans="2:2" ht="15">
      <c r="B113" s="812"/>
    </row>
    <row r="114" spans="2:2" ht="15">
      <c r="B114" s="812"/>
    </row>
    <row r="115" spans="2:2" ht="15">
      <c r="B115" s="812"/>
    </row>
    <row r="116" spans="2:2" ht="15">
      <c r="B116" s="812"/>
    </row>
    <row r="117" spans="2:2" ht="15">
      <c r="B117" s="812"/>
    </row>
    <row r="118" spans="2:2" ht="15">
      <c r="B118" s="812"/>
    </row>
    <row r="119" spans="2:2" ht="15">
      <c r="B119" s="812"/>
    </row>
    <row r="120" spans="2:2" ht="15">
      <c r="B120" s="812"/>
    </row>
    <row r="121" spans="2:2" ht="15">
      <c r="B121" s="813"/>
    </row>
    <row r="122" spans="2:2" ht="15">
      <c r="B122" s="813"/>
    </row>
    <row r="123" spans="2:2" ht="15">
      <c r="B123" s="813"/>
    </row>
    <row r="124" spans="2:2" ht="15">
      <c r="B124" s="813"/>
    </row>
    <row r="125" spans="2:2" ht="15">
      <c r="B125" s="812"/>
    </row>
    <row r="141" spans="18:18" ht="15">
      <c r="R141" s="812"/>
    </row>
    <row r="142" spans="18:18" ht="15">
      <c r="R142" s="812"/>
    </row>
    <row r="143" spans="18:18" ht="15">
      <c r="R143" s="812"/>
    </row>
    <row r="144" spans="18:18" ht="15">
      <c r="R144" s="812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D33" sqref="D33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982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4" t="str">
        <f>_xlfn.TEXTJOIN(",",TRUE,IF(LEFT(Regions!$C$3,1)&lt;&gt;"*",Regions!$C$3,""),IF(LEFT(Regions!$D$3,1)&lt;&gt;"*",Regions!$D$3,""))</f>
        <v>IE,National</v>
      </c>
      <c r="C5" s="1077" t="str">
        <f>T5</f>
        <v>R-RSDRF_X0</v>
      </c>
      <c r="D5" s="1077" t="str">
        <f>U5</f>
        <v>Residential Refrigeration Demand Technology</v>
      </c>
      <c r="E5" s="1077" t="str">
        <f>COMM!$E$24</f>
        <v>RSDELC</v>
      </c>
      <c r="F5" s="1077" t="str">
        <f>COMM!E32</f>
        <v>RSDRF</v>
      </c>
      <c r="G5" s="1088">
        <f>DwellingStocks!$L$38/1000*RSD_Balance!U38</f>
        <v>1697.5803349999996</v>
      </c>
      <c r="H5" s="1077">
        <v>0.8</v>
      </c>
      <c r="I5" s="1077"/>
      <c r="J5" s="1079">
        <f>O5/G5/L5</f>
        <v>1.0395000000000001E-3</v>
      </c>
      <c r="K5" s="1078">
        <v>10</v>
      </c>
      <c r="L5" s="1080">
        <v>1</v>
      </c>
      <c r="M5" s="1080"/>
      <c r="N5" s="1080"/>
      <c r="O5" s="1081">
        <f>P5/H5</f>
        <v>1.7646347582324997</v>
      </c>
      <c r="P5" s="1082">
        <f>RSD_Balance!S29</f>
        <v>1.4117078065859998</v>
      </c>
      <c r="Q5" s="894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4" t="str">
        <f>_xlfn.TEXTJOIN("",TRUE,,LEFT(SETUP!B$3,1),"-",COMM!E32,"_",SETUP!$B$64)</f>
        <v>R-RSDRF_X0</v>
      </c>
      <c r="U5" s="834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61" t="str">
        <f>_xlfn.TEXTJOIN(",",TRUE,IF(LEFT(Regions!$C$3,1)&lt;&gt;"*",Regions!$C$3,""),IF(LEFT(Regions!$D$3,1)&lt;&gt;"*",Regions!$D$3,""))</f>
        <v>IE,National</v>
      </c>
      <c r="C6" s="1083" t="str">
        <f>T6</f>
        <v>R-RSDCK_X0</v>
      </c>
      <c r="D6" s="1084" t="str">
        <f>U6</f>
        <v>Residential Cooking Demand Technology</v>
      </c>
      <c r="E6" s="1084" t="str">
        <f>COMM!E24</f>
        <v>RSDELC</v>
      </c>
      <c r="F6" s="1083" t="str">
        <f>COMM!$E$33</f>
        <v>RSDCK</v>
      </c>
      <c r="G6" s="1089">
        <f>DwellingStocks!$L$38/1000</f>
        <v>1697.5803349999996</v>
      </c>
      <c r="H6" s="1083"/>
      <c r="I6" s="1084">
        <v>0.74</v>
      </c>
      <c r="J6" s="1085">
        <f>(SUM(O6:O8))/G6/L6</f>
        <v>2.2478349106259702E-3</v>
      </c>
      <c r="K6" s="1084">
        <v>15</v>
      </c>
      <c r="L6" s="1084">
        <v>1</v>
      </c>
      <c r="M6" s="1083">
        <v>0.75888</v>
      </c>
      <c r="N6" s="1084">
        <v>5</v>
      </c>
      <c r="O6" s="1083">
        <f>P6/I6</f>
        <v>2.7726136626079474</v>
      </c>
      <c r="P6" s="1086">
        <f>RSD_Balance!R26</f>
        <v>2.051734110329881</v>
      </c>
      <c r="R6" s="960" t="s">
        <v>295</v>
      </c>
      <c r="S6" s="960" t="str">
        <f>_xlfn.TEXTJOIN(",",TRUE,IF(LEFT(Regions!$C$3,1)&lt;&gt;"*",Regions!$C$3,""),IF(LEFT(Regions!$D$3,1)&lt;&gt;"*",Regions!$D$3,""))</f>
        <v>IE,National</v>
      </c>
      <c r="T6" s="960" t="str">
        <f>_xlfn.TEXTJOIN("",TRUE,,LEFT(SETUP!B$3,1),"-",COMM!E33,"_",SETUP!$B$64)</f>
        <v>R-RSDCK_X0</v>
      </c>
      <c r="U6" s="960" t="str">
        <f>_xlfn.TEXTJOIN(" ",TRUE,COMM!F33,"Technology")</f>
        <v>Residential Cooking Demand Technology</v>
      </c>
      <c r="V6" s="961" t="s">
        <v>16</v>
      </c>
      <c r="W6" s="960" t="s">
        <v>866</v>
      </c>
      <c r="X6" s="961"/>
      <c r="Y6" s="960"/>
    </row>
    <row r="7" spans="2:25" ht="14.25">
      <c r="B7" s="834"/>
      <c r="C7" s="1077"/>
      <c r="D7" s="1077"/>
      <c r="E7" s="1077" t="str">
        <f>COMM!E14</f>
        <v>RSDGASNAT</v>
      </c>
      <c r="F7" s="1077"/>
      <c r="G7" s="1088"/>
      <c r="H7" s="1077"/>
      <c r="I7" s="1077">
        <v>0.68</v>
      </c>
      <c r="J7" s="1079"/>
      <c r="K7" s="1078"/>
      <c r="L7" s="1080"/>
      <c r="M7" s="1087">
        <v>0.22769700000000001</v>
      </c>
      <c r="N7" s="1080">
        <v>5</v>
      </c>
      <c r="O7" s="1081">
        <f>P7/I7</f>
        <v>0.98518960984168769</v>
      </c>
      <c r="P7" s="1082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4" t="str">
        <f>_xlfn.TEXTJOIN("",TRUE,,LEFT(SETUP!B$3,1),"-",COMM!E34,"_",SETUP!$B$64)</f>
        <v>R-RSDCW_X0</v>
      </c>
      <c r="U7" s="834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61"/>
      <c r="C8" s="1083"/>
      <c r="D8" s="1084"/>
      <c r="E8" s="1084" t="str">
        <f>COMM!E8</f>
        <v>RSDOILLPG</v>
      </c>
      <c r="F8" s="1083"/>
      <c r="G8" s="1089"/>
      <c r="H8" s="1083"/>
      <c r="I8" s="1084">
        <v>0.68</v>
      </c>
      <c r="J8" s="1085"/>
      <c r="K8" s="1084"/>
      <c r="L8" s="1084"/>
      <c r="M8" s="1083">
        <v>1.3422788999999999E-2</v>
      </c>
      <c r="N8" s="1084">
        <v>5</v>
      </c>
      <c r="O8" s="1083">
        <f>P8/I8</f>
        <v>5.8077068155493447E-2</v>
      </c>
      <c r="P8" s="1086">
        <f>RSD_Balance!R11</f>
        <v>3.9492406345735545E-2</v>
      </c>
      <c r="R8" s="960" t="s">
        <v>295</v>
      </c>
      <c r="S8" s="960" t="str">
        <f>_xlfn.TEXTJOIN(",",TRUE,IF(LEFT(Regions!$C$3,1)&lt;&gt;"*",Regions!$C$3,""),IF(LEFT(Regions!$D$3,1)&lt;&gt;"*",Regions!$D$3,""))</f>
        <v>IE,National</v>
      </c>
      <c r="T8" s="960" t="str">
        <f>_xlfn.TEXTJOIN("",TRUE,,LEFT(SETUP!B$3,1),"-",COMM!E35,"_",SETUP!$B$64)</f>
        <v>R-RSDCD_X0</v>
      </c>
      <c r="U8" s="960" t="str">
        <f>_xlfn.TEXTJOIN(" ",TRUE,COMM!F35,"Technology")</f>
        <v>Residential Cloth Drying Demand Technology</v>
      </c>
      <c r="V8" s="961" t="s">
        <v>16</v>
      </c>
      <c r="W8" s="960" t="s">
        <v>866</v>
      </c>
      <c r="X8" s="961"/>
      <c r="Y8" s="960"/>
    </row>
    <row r="9" spans="2:25" s="626" customFormat="1" ht="14.25">
      <c r="B9" s="834" t="str">
        <f>_xlfn.TEXTJOIN(",",TRUE,IF(LEFT(Regions!$C$3,1)&lt;&gt;"*",Regions!$C$3,""),IF(LEFT(Regions!$D$3,1)&lt;&gt;"*",Regions!$D$3,""))</f>
        <v>IE,National</v>
      </c>
      <c r="C9" s="1077" t="str">
        <f>T7</f>
        <v>R-RSDCW_X0</v>
      </c>
      <c r="D9" s="1077" t="str">
        <f>U7</f>
        <v>Residential Cloth Washing Demand Technology</v>
      </c>
      <c r="E9" s="1077" t="str">
        <f>COMM!$E$24</f>
        <v>RSDELC</v>
      </c>
      <c r="F9" s="1077" t="str">
        <f>COMM!E34</f>
        <v>RSDCW</v>
      </c>
      <c r="G9" s="1088">
        <f>DwellingStocks!$L$38/1000*RSD_Balance!U36</f>
        <v>1655.1408266249996</v>
      </c>
      <c r="H9" s="1077">
        <v>0.7</v>
      </c>
      <c r="I9" s="1077"/>
      <c r="J9" s="1079">
        <f>O9/G9/L9</f>
        <v>9.5142857142857149E-4</v>
      </c>
      <c r="K9" s="1078">
        <v>10</v>
      </c>
      <c r="L9" s="1080">
        <v>1</v>
      </c>
      <c r="M9" s="1080"/>
      <c r="N9" s="1080"/>
      <c r="O9" s="1081">
        <f>P9/H9</f>
        <v>1.5747482721889283</v>
      </c>
      <c r="P9" s="1082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4" t="str">
        <f>_xlfn.TEXTJOIN("",TRUE,,LEFT(SETUP!B$3,1),"-",COMM!E36,"_",SETUP!$B$64)</f>
        <v>R-RSDDW_X0</v>
      </c>
      <c r="U9" s="834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61" t="str">
        <f>_xlfn.TEXTJOIN(",",TRUE,IF(LEFT(Regions!$C$3,1)&lt;&gt;"*",Regions!$C$3,""),IF(LEFT(Regions!$D$3,1)&lt;&gt;"*",Regions!$D$3,""))</f>
        <v>IE,National</v>
      </c>
      <c r="C10" s="1083" t="str">
        <f t="shared" ref="C10:D10" si="0">T8</f>
        <v>R-RSDCD_X0</v>
      </c>
      <c r="D10" s="1084" t="str">
        <f t="shared" si="0"/>
        <v>Residential Cloth Drying Demand Technology</v>
      </c>
      <c r="E10" s="1084" t="str">
        <f>COMM!$E$24</f>
        <v>RSDELC</v>
      </c>
      <c r="F10" s="1083" t="str">
        <f>COMM!E35</f>
        <v>RSDCD</v>
      </c>
      <c r="G10" s="1089">
        <f>DwellingStocks!$L$38/1000*RSD_Balance!U37</f>
        <v>1100.0320570799997</v>
      </c>
      <c r="H10" s="1083">
        <v>0.6</v>
      </c>
      <c r="I10" s="1084"/>
      <c r="J10" s="1085">
        <f t="shared" ref="J10:J13" si="1">O10/G10/L10</f>
        <v>2.5980000000000009E-3</v>
      </c>
      <c r="K10" s="1084">
        <v>10</v>
      </c>
      <c r="L10" s="1084">
        <v>1</v>
      </c>
      <c r="M10" s="1083"/>
      <c r="N10" s="1084"/>
      <c r="O10" s="1083">
        <f>P10/H10</f>
        <v>2.8578832842938402</v>
      </c>
      <c r="P10" s="1086">
        <f>RSD_Balance!U26</f>
        <v>1.7147299705763039</v>
      </c>
      <c r="R10" s="960" t="s">
        <v>295</v>
      </c>
      <c r="S10" s="960" t="str">
        <f>_xlfn.TEXTJOIN(",",TRUE,IF(LEFT(Regions!$C$3,1)&lt;&gt;"*",Regions!$C$3,""),IF(LEFT(Regions!$D$3,1)&lt;&gt;"*",Regions!$D$3,""))</f>
        <v>IE,National</v>
      </c>
      <c r="T10" s="960" t="str">
        <f>_xlfn.TEXTJOIN("",TRUE,,LEFT(SETUP!B$3,1),"-",COMM!E37,"_",SETUP!$B$64)</f>
        <v>R-RSDOE_X0</v>
      </c>
      <c r="U10" s="960" t="str">
        <f>_xlfn.TEXTJOIN(" ",TRUE,COMM!F37,"Technology")</f>
        <v>Residential ELC Appliances Demand Technology</v>
      </c>
      <c r="V10" s="961" t="s">
        <v>16</v>
      </c>
      <c r="W10" s="960" t="s">
        <v>866</v>
      </c>
      <c r="X10" s="961"/>
      <c r="Y10" s="960"/>
    </row>
    <row r="11" spans="2:25" ht="14.25">
      <c r="B11" s="834" t="str">
        <f>_xlfn.TEXTJOIN(",",TRUE,IF(LEFT(Regions!$C$3,1)&lt;&gt;"*",Regions!$C$3,""),IF(LEFT(Regions!$D$3,1)&lt;&gt;"*",Regions!$D$3,""))</f>
        <v>IE,National</v>
      </c>
      <c r="C11" s="1077" t="str">
        <f t="shared" ref="C11:D11" si="2">T9</f>
        <v>R-RSDDW_X0</v>
      </c>
      <c r="D11" s="1077" t="str">
        <f t="shared" si="2"/>
        <v>Residential Dish Washing Demand Technology</v>
      </c>
      <c r="E11" s="1077" t="str">
        <f>COMM!$E$24</f>
        <v>RSDELC</v>
      </c>
      <c r="F11" s="1077" t="str">
        <f>COMM!E36</f>
        <v>RSDDW</v>
      </c>
      <c r="G11" s="1088">
        <f>DwellingStocks!$L$38/1000*RSD_Balance!U40</f>
        <v>1098.3344767449998</v>
      </c>
      <c r="H11" s="1077">
        <v>0.7</v>
      </c>
      <c r="I11" s="1077"/>
      <c r="J11" s="1079">
        <f t="shared" si="1"/>
        <v>1.5428571428571429E-3</v>
      </c>
      <c r="K11" s="1078">
        <v>10</v>
      </c>
      <c r="L11" s="1080">
        <v>1</v>
      </c>
      <c r="M11" s="1080"/>
      <c r="N11" s="1080"/>
      <c r="O11" s="1081">
        <f>P11/H11</f>
        <v>1.6945731926922856</v>
      </c>
      <c r="P11" s="1082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4" t="str">
        <f>_xlfn.TEXTJOIN("",TRUE,,LEFT(SETUP!B$3,1),"-",COMM!E38,"_",SETUP!$B$64)</f>
        <v>R-RSDOA_X0</v>
      </c>
      <c r="U11" s="834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61" t="str">
        <f>_xlfn.TEXTJOIN(",",TRUE,IF(LEFT(Regions!$C$3,1)&lt;&gt;"*",Regions!$C$3,""),IF(LEFT(Regions!$D$3,1)&lt;&gt;"*",Regions!$D$3,""))</f>
        <v>IE,National</v>
      </c>
      <c r="C12" s="1083" t="str">
        <f t="shared" ref="C12:D12" si="3">T10</f>
        <v>R-RSDOE_X0</v>
      </c>
      <c r="D12" s="1084" t="str">
        <f t="shared" si="3"/>
        <v>Residential ELC Appliances Demand Technology</v>
      </c>
      <c r="E12" s="1084" t="str">
        <f>COMM!$E$24</f>
        <v>RSDELC</v>
      </c>
      <c r="F12" s="1083" t="str">
        <f>COMM!E37</f>
        <v>RSDOE</v>
      </c>
      <c r="G12" s="1089">
        <f>DwellingStocks!$L$38/1000*1</f>
        <v>1697.5803349999996</v>
      </c>
      <c r="H12" s="1083">
        <v>0.85</v>
      </c>
      <c r="I12" s="1084"/>
      <c r="J12" s="1085">
        <f t="shared" si="1"/>
        <v>7.5148092892872833E-3</v>
      </c>
      <c r="K12" s="1084">
        <v>10</v>
      </c>
      <c r="L12" s="1084">
        <v>1</v>
      </c>
      <c r="M12" s="1083"/>
      <c r="N12" s="1084"/>
      <c r="O12" s="1083">
        <f>P12/H12</f>
        <v>12.756992470769415</v>
      </c>
      <c r="P12" s="1086">
        <f>RSD_Balance!W26</f>
        <v>10.843443600154002</v>
      </c>
    </row>
    <row r="13" spans="2:25" ht="15">
      <c r="B13" s="834" t="str">
        <f>_xlfn.TEXTJOIN(",",TRUE,IF(LEFT(Regions!$C$3,1)&lt;&gt;"*",Regions!$C$3,""),IF(LEFT(Regions!$D$3,1)&lt;&gt;"*",Regions!$D$3,""))</f>
        <v>IE,National</v>
      </c>
      <c r="C13" s="1077" t="str">
        <f t="shared" ref="C13:D13" si="4">T11</f>
        <v>R-RSDOA_X0</v>
      </c>
      <c r="D13" s="1077" t="str">
        <f t="shared" si="4"/>
        <v>Residential Other Applications Demand Technology</v>
      </c>
      <c r="E13" s="1077" t="str">
        <f>COMM!$E$24</f>
        <v>RSDELC</v>
      </c>
      <c r="F13" s="1077" t="str">
        <f>COMM!E38</f>
        <v>RSDOA</v>
      </c>
      <c r="G13" s="1088">
        <f>DwellingStocks!$L$38/1000*1</f>
        <v>1697.5803349999996</v>
      </c>
      <c r="H13" s="1077">
        <v>0.85</v>
      </c>
      <c r="I13" s="1077"/>
      <c r="J13" s="1079">
        <f t="shared" si="1"/>
        <v>0</v>
      </c>
      <c r="K13" s="1078">
        <v>10</v>
      </c>
      <c r="L13" s="1080">
        <v>1</v>
      </c>
      <c r="M13" s="1080"/>
      <c r="N13" s="1080"/>
      <c r="O13" s="1081">
        <f>P13/H13</f>
        <v>0</v>
      </c>
      <c r="P13" s="1082">
        <v>0</v>
      </c>
      <c r="R13" s="812"/>
      <c r="S13" s="812"/>
    </row>
    <row r="14" spans="2:25" ht="15">
      <c r="C14" s="812"/>
      <c r="D14" s="812"/>
      <c r="E14" s="812"/>
      <c r="F14" s="812"/>
      <c r="G14" s="812"/>
      <c r="H14" s="812"/>
      <c r="I14" s="812"/>
      <c r="J14" s="812"/>
      <c r="K14" s="812"/>
      <c r="L14" s="812"/>
      <c r="M14" s="812"/>
      <c r="N14" s="812"/>
      <c r="O14" s="812"/>
      <c r="P14" s="812"/>
      <c r="Q14" s="812"/>
    </row>
    <row r="15" spans="2:25" ht="15">
      <c r="N15" s="812"/>
      <c r="O15" s="812"/>
      <c r="P15" s="812"/>
      <c r="Q15" s="812"/>
    </row>
    <row r="16" spans="2:25" ht="15">
      <c r="M16" s="128"/>
      <c r="N16" s="812"/>
      <c r="O16" s="812"/>
      <c r="P16" s="812"/>
      <c r="Q16" s="812"/>
    </row>
    <row r="17" spans="2:17" ht="18.75">
      <c r="B17" s="1133" t="s">
        <v>782</v>
      </c>
      <c r="C17" s="1133"/>
      <c r="D17" s="1133"/>
      <c r="E17" s="1133"/>
      <c r="F17" s="1133"/>
      <c r="G17" s="1133"/>
      <c r="H17" s="1133"/>
      <c r="I17" s="1133"/>
      <c r="J17" s="1133"/>
      <c r="K17" s="1133"/>
      <c r="L17" s="1133"/>
      <c r="M17" s="812"/>
      <c r="N17" s="812"/>
      <c r="O17" s="812"/>
      <c r="P17" s="812"/>
    </row>
    <row r="18" spans="2:17" ht="15">
      <c r="M18" s="812"/>
      <c r="N18" s="812"/>
      <c r="O18" s="812"/>
      <c r="P18" s="812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2"/>
      <c r="N19" s="812"/>
      <c r="O19" s="812"/>
      <c r="P19" s="812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981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2"/>
      <c r="N20" s="812"/>
      <c r="O20" s="812"/>
      <c r="P20" s="812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6">
        <f>RSD_Balance!S26</f>
        <v>1.4117078065859998</v>
      </c>
      <c r="G21" s="816">
        <f>F21*(G28/F28)</f>
        <v>1.7367467040000002</v>
      </c>
      <c r="H21" s="816">
        <f>G21*(H28/G28)</f>
        <v>1.9499855760000002</v>
      </c>
      <c r="I21" s="816">
        <f t="shared" ref="I21:K21" si="5">H21*(I28/H28)</f>
        <v>2.1375196920000001</v>
      </c>
      <c r="J21" s="816">
        <f t="shared" si="5"/>
        <v>2.3184758520000002</v>
      </c>
      <c r="K21" s="816">
        <f t="shared" si="5"/>
        <v>2.4931118520000002</v>
      </c>
      <c r="L21" s="805" t="s">
        <v>16</v>
      </c>
      <c r="M21" s="812"/>
      <c r="N21" s="812"/>
      <c r="O21" s="812"/>
      <c r="P21" s="812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7">
        <f>RSD_Balance!R29</f>
        <v>2.7611554513679644</v>
      </c>
      <c r="G22" s="817">
        <f>F22*(G28/F28)</f>
        <v>3.3968981449439992</v>
      </c>
      <c r="H22" s="817">
        <f t="shared" ref="H22:K22" si="6">G22*(H28/G28)</f>
        <v>3.8139714735177384</v>
      </c>
      <c r="I22" s="817">
        <f t="shared" si="6"/>
        <v>4.1807689398880052</v>
      </c>
      <c r="J22" s="817">
        <f t="shared" si="6"/>
        <v>4.5347006000457375</v>
      </c>
      <c r="K22" s="817">
        <f t="shared" si="6"/>
        <v>4.876270676484725</v>
      </c>
      <c r="L22" s="795" t="s">
        <v>16</v>
      </c>
      <c r="M22" s="812"/>
      <c r="N22" s="812"/>
      <c r="O22" s="812"/>
      <c r="P22" s="812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6">
        <f>RSD_Balance!T26</f>
        <v>1.1023237905322498</v>
      </c>
      <c r="G23" s="816">
        <f>F23*(G28/F28)</f>
        <v>1.3561285140000001</v>
      </c>
      <c r="H23" s="816">
        <f t="shared" ref="H23:K23" si="7">G23*(H28/G28)</f>
        <v>1.5226348410000001</v>
      </c>
      <c r="I23" s="816">
        <f t="shared" si="7"/>
        <v>1.6690697595000001</v>
      </c>
      <c r="J23" s="816">
        <f t="shared" si="7"/>
        <v>1.8103683195</v>
      </c>
      <c r="K23" s="816">
        <f t="shared" si="7"/>
        <v>1.9467318195000001</v>
      </c>
      <c r="L23" s="805" t="s">
        <v>16</v>
      </c>
      <c r="M23" s="812"/>
      <c r="N23" s="812"/>
      <c r="O23" s="812"/>
      <c r="P23" s="812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7">
        <f>RSD_Balance!U26</f>
        <v>1.7147299705763039</v>
      </c>
      <c r="G24" s="817">
        <f>F24*(G28/F28)</f>
        <v>2.1095382562560006</v>
      </c>
      <c r="H24" s="817">
        <f t="shared" ref="H24:K24" si="8">G24*(H28/G28)</f>
        <v>2.3685487136640004</v>
      </c>
      <c r="I24" s="817">
        <f t="shared" si="8"/>
        <v>2.5963369058880001</v>
      </c>
      <c r="J24" s="817">
        <f t="shared" si="8"/>
        <v>2.8161351881279999</v>
      </c>
      <c r="K24" s="817">
        <f t="shared" si="8"/>
        <v>3.0282566921280001</v>
      </c>
      <c r="L24" s="795" t="s">
        <v>16</v>
      </c>
      <c r="M24" s="812"/>
      <c r="N24" s="812"/>
      <c r="O24" s="812"/>
      <c r="P24" s="812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6">
        <f>RSD_Balance!V26</f>
        <v>1.1862012348845998</v>
      </c>
      <c r="G25" s="816">
        <f>F25*(G28/F28)</f>
        <v>1.4593183344</v>
      </c>
      <c r="H25" s="816">
        <f t="shared" ref="H25:K25" si="9">G25*(H28/G28)</f>
        <v>1.6384943735999999</v>
      </c>
      <c r="I25" s="816">
        <f t="shared" si="9"/>
        <v>1.7960717411999998</v>
      </c>
      <c r="J25" s="816">
        <f t="shared" si="9"/>
        <v>1.9481219171999997</v>
      </c>
      <c r="K25" s="816">
        <f t="shared" si="9"/>
        <v>2.0948615171999996</v>
      </c>
      <c r="L25" s="805" t="s">
        <v>16</v>
      </c>
      <c r="M25" s="812"/>
      <c r="N25" s="812"/>
      <c r="O25" s="812"/>
      <c r="P25" s="812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7">
        <f>RSD_Balance!W26</f>
        <v>10.843443600154002</v>
      </c>
      <c r="G26" s="817">
        <f>F26*(G28/F28)</f>
        <v>13.340094065301262</v>
      </c>
      <c r="H26" s="817">
        <f t="shared" ref="H26:K26" si="10">G26*(H28/G28)</f>
        <v>14.97799935356645</v>
      </c>
      <c r="I26" s="817">
        <f t="shared" si="10"/>
        <v>16.418464299969546</v>
      </c>
      <c r="J26" s="817">
        <f t="shared" si="10"/>
        <v>17.808403426116122</v>
      </c>
      <c r="K26" s="817">
        <f t="shared" si="10"/>
        <v>19.149796884253902</v>
      </c>
      <c r="L26" s="795" t="s">
        <v>16</v>
      </c>
      <c r="M26" s="812"/>
      <c r="N26" s="812"/>
      <c r="O26" s="812"/>
      <c r="P26" s="812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6">
        <f>RSD_Balance!X26</f>
        <v>0</v>
      </c>
      <c r="G27" s="816">
        <f>F27*(G28/F28)</f>
        <v>0</v>
      </c>
      <c r="H27" s="816">
        <f t="shared" ref="H27:K27" si="11">G27*(H28/G28)</f>
        <v>0</v>
      </c>
      <c r="I27" s="816">
        <f t="shared" si="11"/>
        <v>0</v>
      </c>
      <c r="J27" s="816">
        <f t="shared" si="11"/>
        <v>0</v>
      </c>
      <c r="K27" s="816">
        <f t="shared" si="11"/>
        <v>0</v>
      </c>
      <c r="L27" s="805" t="s">
        <v>16</v>
      </c>
      <c r="M27" s="812"/>
      <c r="N27" s="812"/>
      <c r="O27" s="812"/>
      <c r="P27" s="812"/>
    </row>
    <row r="28" spans="2:17" ht="15">
      <c r="B28" s="814" t="s">
        <v>753</v>
      </c>
      <c r="C28" s="814"/>
      <c r="D28" s="814"/>
      <c r="E28" s="814"/>
      <c r="F28" s="815">
        <f>ArchetypeDemand!F32</f>
        <v>1697.5803349999996</v>
      </c>
      <c r="G28" s="815">
        <f>ArchetypeDemand!G32</f>
        <v>2088.44</v>
      </c>
      <c r="H28" s="815">
        <f>ArchetypeDemand!H32</f>
        <v>2344.86</v>
      </c>
      <c r="I28" s="815">
        <f>ArchetypeDemand!I32</f>
        <v>2570.37</v>
      </c>
      <c r="J28" s="815">
        <f>ArchetypeDemand!J32</f>
        <v>2787.97</v>
      </c>
      <c r="K28" s="815">
        <f>ArchetypeDemand!K32</f>
        <v>2997.97</v>
      </c>
      <c r="L28" s="814"/>
      <c r="M28" s="812"/>
      <c r="N28" s="812"/>
      <c r="O28" s="812"/>
      <c r="P28" s="812"/>
    </row>
    <row r="29" spans="2:17" ht="15">
      <c r="C29" s="812"/>
      <c r="D29" s="812"/>
      <c r="E29" s="812"/>
      <c r="F29" s="812"/>
      <c r="G29" s="812"/>
      <c r="H29" s="812"/>
      <c r="I29" s="812"/>
      <c r="J29" s="812"/>
      <c r="K29" s="812"/>
      <c r="L29" s="812"/>
      <c r="M29" s="812"/>
      <c r="N29" s="812"/>
      <c r="O29" s="812"/>
      <c r="P29" s="812"/>
      <c r="Q29" s="812"/>
    </row>
    <row r="30" spans="2:17" ht="15">
      <c r="C30" s="812"/>
      <c r="D30" s="812"/>
      <c r="E30" s="812"/>
      <c r="F30" s="812"/>
      <c r="G30" s="812"/>
      <c r="H30" s="812"/>
      <c r="I30" s="812"/>
      <c r="J30" s="812"/>
      <c r="K30" s="812"/>
      <c r="L30" s="812"/>
      <c r="M30" s="812"/>
      <c r="N30" s="812"/>
      <c r="O30" s="812"/>
      <c r="P30" s="812"/>
      <c r="Q30" s="812"/>
    </row>
    <row r="31" spans="2:17" ht="15">
      <c r="C31" s="812"/>
      <c r="D31" s="812"/>
      <c r="E31" s="812"/>
      <c r="F31" s="812"/>
      <c r="G31" s="812"/>
      <c r="H31" s="812"/>
      <c r="I31" s="812"/>
      <c r="J31" s="812"/>
      <c r="K31" s="812"/>
      <c r="L31" s="812"/>
      <c r="M31" s="812"/>
      <c r="N31" s="812"/>
      <c r="O31" s="812"/>
      <c r="P31" s="812"/>
      <c r="Q31" s="812"/>
    </row>
    <row r="32" spans="2:17" ht="15">
      <c r="C32" s="812"/>
      <c r="D32" s="812"/>
      <c r="E32" s="812"/>
      <c r="F32" s="812"/>
      <c r="G32" s="812"/>
      <c r="H32" s="812"/>
      <c r="I32" s="812"/>
      <c r="J32" s="812"/>
      <c r="K32" s="812"/>
      <c r="L32" s="812"/>
      <c r="M32" s="812"/>
      <c r="N32" s="812"/>
      <c r="O32" s="812"/>
      <c r="P32" s="812"/>
      <c r="Q32" s="812"/>
    </row>
    <row r="33" spans="3:17" ht="15">
      <c r="C33" s="812"/>
      <c r="D33" s="812"/>
      <c r="E33" s="812"/>
      <c r="F33" s="812"/>
      <c r="G33" s="812"/>
      <c r="H33" s="812"/>
      <c r="I33" s="812"/>
      <c r="J33" s="812"/>
      <c r="K33" s="812"/>
      <c r="L33" s="812"/>
      <c r="M33" s="812"/>
      <c r="N33" s="812"/>
      <c r="O33" s="812"/>
      <c r="P33" s="812"/>
      <c r="Q33" s="812"/>
    </row>
    <row r="34" spans="3:17" ht="15">
      <c r="C34" s="812"/>
      <c r="D34" s="812"/>
      <c r="E34" s="812"/>
      <c r="F34" s="812"/>
      <c r="G34" s="812"/>
      <c r="H34" s="812"/>
      <c r="I34" s="812"/>
      <c r="J34" s="812"/>
      <c r="K34" s="812"/>
      <c r="L34" s="812"/>
      <c r="M34" s="812"/>
      <c r="N34" s="812"/>
      <c r="O34" s="812"/>
      <c r="P34" s="812"/>
      <c r="Q34" s="812"/>
    </row>
    <row r="35" spans="3:17" ht="15">
      <c r="C35" s="812"/>
      <c r="D35" s="812"/>
      <c r="E35" s="812"/>
      <c r="F35" s="812"/>
      <c r="G35" s="812"/>
      <c r="H35" s="812"/>
      <c r="I35" s="812"/>
      <c r="J35" s="812"/>
      <c r="K35" s="812"/>
      <c r="L35" s="812"/>
      <c r="M35" s="812"/>
      <c r="N35" s="812"/>
      <c r="O35" s="812"/>
      <c r="P35" s="812"/>
      <c r="Q35" s="812"/>
    </row>
    <row r="36" spans="3:17" ht="15">
      <c r="C36" s="812"/>
      <c r="D36" s="812"/>
      <c r="E36" s="812"/>
      <c r="F36" s="812"/>
      <c r="G36" s="812"/>
      <c r="H36" s="812"/>
      <c r="I36" s="812"/>
      <c r="J36" s="812"/>
      <c r="K36" s="812"/>
      <c r="L36" s="812"/>
      <c r="M36" s="812"/>
      <c r="N36" s="812"/>
      <c r="O36" s="812"/>
      <c r="P36" s="812"/>
      <c r="Q36" s="812"/>
    </row>
    <row r="37" spans="3:17" ht="15">
      <c r="C37" s="812"/>
      <c r="D37" s="812"/>
      <c r="E37" s="812"/>
      <c r="F37" s="812"/>
      <c r="G37" s="812"/>
      <c r="H37" s="812"/>
      <c r="I37" s="812"/>
      <c r="J37" s="812"/>
      <c r="K37" s="812"/>
      <c r="L37" s="812"/>
      <c r="M37" s="812"/>
      <c r="N37" s="812"/>
      <c r="O37" s="812"/>
      <c r="P37" s="812"/>
      <c r="Q37" s="812"/>
    </row>
    <row r="38" spans="3:17" ht="15">
      <c r="C38" s="812"/>
      <c r="D38" s="812"/>
      <c r="E38" s="812"/>
      <c r="F38" s="812"/>
      <c r="G38" s="812"/>
      <c r="H38" s="812"/>
      <c r="I38" s="812"/>
      <c r="J38" s="812"/>
      <c r="K38" s="812"/>
      <c r="L38" s="812"/>
      <c r="M38" s="812"/>
      <c r="N38" s="812"/>
      <c r="O38" s="812"/>
      <c r="P38" s="812"/>
      <c r="Q38" s="812"/>
    </row>
    <row r="39" spans="3:17" ht="15">
      <c r="C39" s="812"/>
      <c r="D39" s="812"/>
      <c r="E39" s="812"/>
      <c r="F39" s="812"/>
      <c r="G39" s="812"/>
      <c r="H39" s="812"/>
      <c r="I39" s="812"/>
      <c r="J39" s="812"/>
      <c r="K39" s="812"/>
      <c r="L39" s="812"/>
      <c r="M39" s="812"/>
      <c r="N39" s="812"/>
      <c r="O39" s="812"/>
      <c r="P39" s="812"/>
      <c r="Q39" s="812"/>
    </row>
    <row r="40" spans="3:17" ht="15">
      <c r="C40" s="812"/>
      <c r="D40" s="812"/>
      <c r="E40" s="812"/>
      <c r="F40" s="812"/>
      <c r="G40" s="812"/>
      <c r="H40" s="812"/>
      <c r="I40" s="812"/>
      <c r="J40" s="812"/>
      <c r="K40" s="812"/>
      <c r="L40" s="812"/>
      <c r="M40" s="812"/>
      <c r="N40" s="812"/>
      <c r="O40" s="812"/>
      <c r="P40" s="812"/>
      <c r="Q40" s="812"/>
    </row>
    <row r="41" spans="3:17" ht="15">
      <c r="C41" s="812"/>
      <c r="D41" s="812"/>
      <c r="E41" s="812"/>
      <c r="F41" s="812"/>
      <c r="G41" s="812"/>
      <c r="H41" s="812"/>
      <c r="I41" s="812"/>
      <c r="J41" s="812"/>
      <c r="K41" s="812"/>
      <c r="L41" s="812"/>
      <c r="M41" s="812"/>
      <c r="N41" s="812"/>
      <c r="O41" s="812"/>
      <c r="P41" s="812"/>
      <c r="Q41" s="812"/>
    </row>
    <row r="42" spans="3:17" ht="15">
      <c r="C42" s="812"/>
      <c r="D42" s="812"/>
      <c r="E42" s="812"/>
      <c r="F42" s="812"/>
      <c r="G42" s="812"/>
      <c r="H42" s="812"/>
      <c r="I42" s="812"/>
      <c r="J42" s="812"/>
      <c r="K42" s="812"/>
      <c r="L42" s="812"/>
      <c r="M42" s="812"/>
      <c r="N42" s="812"/>
      <c r="O42" s="812"/>
      <c r="P42" s="812"/>
      <c r="Q42" s="812"/>
    </row>
    <row r="43" spans="3:17" ht="15">
      <c r="C43" s="812"/>
      <c r="D43" s="812"/>
      <c r="E43" s="812"/>
      <c r="F43" s="812"/>
      <c r="G43" s="812"/>
      <c r="H43" s="812"/>
      <c r="I43" s="812"/>
      <c r="J43" s="812"/>
      <c r="K43" s="812"/>
      <c r="L43" s="812"/>
      <c r="M43" s="812"/>
      <c r="N43" s="812"/>
      <c r="O43" s="812"/>
      <c r="P43" s="812"/>
      <c r="Q43" s="812"/>
    </row>
    <row r="44" spans="3:17" ht="15">
      <c r="C44" s="812"/>
      <c r="D44" s="812"/>
      <c r="E44" s="812"/>
      <c r="F44" s="812"/>
      <c r="G44" s="812"/>
      <c r="H44" s="812"/>
      <c r="I44" s="812"/>
      <c r="J44" s="812"/>
      <c r="K44" s="812"/>
      <c r="L44" s="812"/>
      <c r="M44" s="812"/>
      <c r="N44" s="812"/>
      <c r="O44" s="812"/>
      <c r="P44" s="812"/>
      <c r="Q44" s="812"/>
    </row>
    <row r="45" spans="3:17" ht="15">
      <c r="C45" s="812"/>
      <c r="D45" s="812"/>
      <c r="E45" s="812"/>
      <c r="F45" s="812"/>
      <c r="G45" s="812"/>
      <c r="H45" s="812"/>
      <c r="I45" s="812"/>
      <c r="J45" s="812"/>
      <c r="K45" s="812"/>
      <c r="L45" s="812"/>
      <c r="M45" s="812"/>
      <c r="N45" s="812"/>
      <c r="O45" s="812"/>
      <c r="P45" s="812"/>
      <c r="Q45" s="812"/>
    </row>
    <row r="46" spans="3:17" ht="15">
      <c r="C46" s="812"/>
      <c r="D46" s="812"/>
      <c r="E46" s="812"/>
      <c r="F46" s="812"/>
      <c r="G46" s="812"/>
      <c r="H46" s="812"/>
      <c r="I46" s="812"/>
      <c r="J46" s="812"/>
      <c r="K46" s="812"/>
      <c r="L46" s="812"/>
      <c r="M46" s="812"/>
      <c r="N46" s="812"/>
      <c r="O46" s="812"/>
      <c r="P46" s="812"/>
      <c r="Q46" s="812"/>
    </row>
    <row r="47" spans="3:17" ht="15">
      <c r="C47" s="812"/>
      <c r="D47" s="812"/>
      <c r="E47" s="812"/>
      <c r="F47" s="812"/>
      <c r="G47" s="812"/>
      <c r="H47" s="812"/>
      <c r="I47" s="812"/>
      <c r="J47" s="812"/>
      <c r="K47" s="812"/>
      <c r="L47" s="812"/>
      <c r="M47" s="812"/>
      <c r="N47" s="812"/>
      <c r="O47" s="812"/>
      <c r="P47" s="812"/>
      <c r="Q47" s="812"/>
    </row>
    <row r="48" spans="3:17" ht="15">
      <c r="C48" s="812"/>
      <c r="D48" s="812"/>
      <c r="E48" s="812"/>
      <c r="F48" s="812"/>
      <c r="G48" s="812"/>
      <c r="H48" s="812"/>
      <c r="I48" s="812"/>
      <c r="J48" s="812"/>
      <c r="K48" s="812"/>
      <c r="L48" s="812"/>
      <c r="M48" s="812"/>
      <c r="N48" s="812"/>
      <c r="O48" s="812"/>
      <c r="P48" s="812"/>
      <c r="Q48" s="812"/>
    </row>
    <row r="49" spans="3:17" ht="15">
      <c r="C49" s="812"/>
      <c r="D49" s="812"/>
      <c r="E49" s="812"/>
      <c r="F49" s="812"/>
      <c r="G49" s="812"/>
      <c r="H49" s="812"/>
      <c r="I49" s="812"/>
      <c r="J49" s="812"/>
      <c r="K49" s="812"/>
      <c r="L49" s="812"/>
      <c r="M49" s="812"/>
      <c r="N49" s="812"/>
      <c r="O49" s="812"/>
      <c r="P49" s="812"/>
      <c r="Q49" s="812"/>
    </row>
    <row r="50" spans="3:17" ht="15">
      <c r="C50" s="812"/>
      <c r="E50" s="812"/>
      <c r="F50" s="812"/>
      <c r="G50" s="812"/>
      <c r="H50" s="812"/>
      <c r="I50" s="812"/>
      <c r="J50" s="812"/>
      <c r="K50" s="812"/>
      <c r="L50" s="812"/>
      <c r="M50" s="812"/>
      <c r="N50" s="812"/>
      <c r="O50" s="812"/>
      <c r="P50" s="812"/>
      <c r="Q50" s="812"/>
    </row>
    <row r="51" spans="3:17" ht="15">
      <c r="C51" s="812"/>
      <c r="D51" s="812"/>
      <c r="E51" s="812"/>
      <c r="F51" s="812"/>
      <c r="G51" s="812"/>
      <c r="H51" s="812"/>
      <c r="I51" s="812"/>
      <c r="J51" s="812"/>
      <c r="K51" s="812"/>
      <c r="L51" s="812"/>
      <c r="M51" s="812"/>
      <c r="N51" s="812"/>
      <c r="O51" s="812"/>
      <c r="P51" s="812"/>
      <c r="Q51" s="812"/>
    </row>
    <row r="52" spans="3:17" ht="15">
      <c r="C52" s="812"/>
      <c r="D52" s="812"/>
      <c r="E52" s="812"/>
      <c r="F52" s="812"/>
      <c r="G52" s="812"/>
      <c r="H52" s="812"/>
      <c r="I52" s="812"/>
      <c r="J52" s="812"/>
      <c r="K52" s="812"/>
      <c r="L52" s="812"/>
      <c r="M52" s="812"/>
      <c r="N52" s="812"/>
      <c r="O52" s="812"/>
      <c r="P52" s="812"/>
      <c r="Q52" s="812"/>
    </row>
    <row r="53" spans="3:17" ht="15">
      <c r="C53" s="812"/>
      <c r="D53" s="812"/>
      <c r="E53" s="812"/>
      <c r="F53" s="812"/>
      <c r="G53" s="812"/>
      <c r="H53" s="812"/>
      <c r="I53" s="812"/>
      <c r="J53" s="812"/>
      <c r="K53" s="812"/>
      <c r="L53" s="812"/>
      <c r="M53" s="812"/>
      <c r="N53" s="812"/>
      <c r="O53" s="812"/>
      <c r="P53" s="812"/>
      <c r="Q53" s="812"/>
    </row>
    <row r="54" spans="3:17" ht="15">
      <c r="C54" s="812"/>
      <c r="D54" s="812"/>
      <c r="E54" s="812"/>
      <c r="F54" s="812"/>
      <c r="G54" s="812"/>
      <c r="H54" s="812"/>
      <c r="I54" s="812"/>
      <c r="J54" s="812"/>
      <c r="K54" s="812"/>
      <c r="L54" s="812"/>
      <c r="M54" s="812"/>
      <c r="N54" s="812"/>
      <c r="O54" s="812"/>
      <c r="P54" s="812"/>
      <c r="Q54" s="812"/>
    </row>
    <row r="55" spans="3:17" ht="15">
      <c r="C55" s="812"/>
      <c r="D55" s="812"/>
      <c r="E55" s="812"/>
      <c r="F55" s="812"/>
      <c r="G55" s="812"/>
      <c r="H55" s="812"/>
      <c r="I55" s="812"/>
      <c r="J55" s="812"/>
      <c r="K55" s="812"/>
      <c r="L55" s="812"/>
      <c r="M55" s="812"/>
      <c r="N55" s="812"/>
      <c r="O55" s="812"/>
      <c r="P55" s="812"/>
      <c r="Q55" s="812"/>
    </row>
    <row r="56" spans="3:17" ht="15">
      <c r="C56" s="812"/>
      <c r="D56" s="812"/>
      <c r="E56" s="812"/>
      <c r="F56" s="812"/>
      <c r="G56" s="812"/>
      <c r="H56" s="812"/>
      <c r="I56" s="812"/>
      <c r="J56" s="812"/>
      <c r="K56" s="812"/>
      <c r="L56" s="812"/>
      <c r="M56" s="812"/>
      <c r="N56" s="812"/>
      <c r="O56" s="812"/>
      <c r="P56" s="812"/>
      <c r="Q56" s="812"/>
    </row>
    <row r="57" spans="3:17" ht="15">
      <c r="C57" s="812"/>
      <c r="D57" s="812"/>
      <c r="E57" s="812"/>
      <c r="F57" s="812"/>
      <c r="G57" s="812"/>
      <c r="H57" s="812"/>
      <c r="I57" s="812"/>
      <c r="J57" s="812"/>
      <c r="K57" s="812"/>
      <c r="L57" s="812"/>
      <c r="M57" s="812"/>
      <c r="N57" s="812"/>
      <c r="O57" s="812"/>
      <c r="P57" s="812"/>
      <c r="Q57" s="812"/>
    </row>
    <row r="58" spans="3:17" ht="15">
      <c r="C58" s="812"/>
      <c r="D58" s="812"/>
      <c r="E58" s="812"/>
      <c r="F58" s="812"/>
      <c r="G58" s="812"/>
      <c r="H58" s="812"/>
      <c r="I58" s="812"/>
      <c r="J58" s="812"/>
      <c r="K58" s="812"/>
      <c r="L58" s="812"/>
      <c r="M58" s="812"/>
      <c r="N58" s="812"/>
      <c r="O58" s="812"/>
      <c r="P58" s="812"/>
      <c r="Q58" s="812"/>
    </row>
    <row r="59" spans="3:17" ht="15">
      <c r="C59" s="812"/>
      <c r="D59" s="812"/>
      <c r="E59" s="812"/>
      <c r="F59" s="812"/>
      <c r="G59" s="812"/>
      <c r="H59" s="812"/>
      <c r="I59" s="812"/>
      <c r="J59" s="812"/>
      <c r="K59" s="812"/>
      <c r="L59" s="812"/>
      <c r="M59" s="812"/>
      <c r="N59" s="812"/>
      <c r="O59" s="812"/>
      <c r="P59" s="812"/>
      <c r="Q59" s="812"/>
    </row>
    <row r="60" spans="3:17" ht="15">
      <c r="C60" s="812"/>
      <c r="D60" s="812"/>
      <c r="E60" s="812"/>
      <c r="F60" s="812"/>
      <c r="G60" s="812"/>
      <c r="H60" s="812"/>
      <c r="I60" s="812"/>
      <c r="J60" s="812"/>
      <c r="K60" s="812"/>
      <c r="L60" s="812"/>
      <c r="M60" s="812"/>
      <c r="N60" s="812"/>
      <c r="O60" s="812"/>
      <c r="P60" s="812"/>
      <c r="Q60" s="812"/>
    </row>
    <row r="61" spans="3:17" ht="15">
      <c r="C61" s="812"/>
      <c r="D61" s="812"/>
      <c r="E61" s="812"/>
      <c r="F61" s="812"/>
      <c r="G61" s="812"/>
      <c r="H61" s="812"/>
      <c r="I61" s="812"/>
      <c r="J61" s="812"/>
      <c r="K61" s="812"/>
      <c r="L61" s="812"/>
      <c r="M61" s="812"/>
      <c r="N61" s="812"/>
      <c r="O61" s="812"/>
      <c r="P61" s="812"/>
      <c r="Q61" s="812"/>
    </row>
    <row r="62" spans="3:17" ht="15">
      <c r="C62" s="812"/>
      <c r="D62" s="812"/>
      <c r="E62" s="812"/>
      <c r="F62" s="812"/>
      <c r="G62" s="812"/>
      <c r="H62" s="812"/>
      <c r="I62" s="812"/>
      <c r="J62" s="812"/>
      <c r="K62" s="812"/>
      <c r="L62" s="812"/>
      <c r="M62" s="812"/>
      <c r="N62" s="812"/>
      <c r="O62" s="812"/>
      <c r="P62" s="812"/>
      <c r="Q62" s="812"/>
    </row>
    <row r="63" spans="3:17" ht="15">
      <c r="C63" s="812"/>
      <c r="D63" s="812"/>
      <c r="E63" s="812"/>
      <c r="F63" s="812"/>
      <c r="G63" s="812"/>
      <c r="H63" s="812"/>
      <c r="I63" s="812"/>
      <c r="J63" s="812"/>
      <c r="K63" s="812"/>
      <c r="L63" s="812"/>
      <c r="M63" s="812"/>
      <c r="N63" s="812"/>
      <c r="O63" s="812"/>
      <c r="P63" s="812"/>
      <c r="Q63" s="812"/>
    </row>
    <row r="64" spans="3:17" ht="15">
      <c r="C64" s="812"/>
      <c r="D64" s="812"/>
      <c r="E64" s="812"/>
      <c r="F64" s="812"/>
      <c r="G64" s="812"/>
      <c r="H64" s="812"/>
      <c r="I64" s="812"/>
      <c r="J64" s="812"/>
      <c r="K64" s="812"/>
      <c r="L64" s="812"/>
      <c r="M64" s="812"/>
      <c r="N64" s="812"/>
      <c r="O64" s="812"/>
      <c r="P64" s="812"/>
      <c r="Q64" s="812"/>
    </row>
    <row r="65" spans="3:17" ht="15">
      <c r="C65" s="812"/>
      <c r="D65" s="812"/>
      <c r="E65" s="812"/>
      <c r="F65" s="812"/>
      <c r="G65" s="812"/>
      <c r="H65" s="812"/>
      <c r="I65" s="812"/>
      <c r="J65" s="812"/>
      <c r="K65" s="812"/>
      <c r="L65" s="812"/>
      <c r="M65" s="812"/>
      <c r="N65" s="812"/>
      <c r="O65" s="812"/>
      <c r="P65" s="812"/>
      <c r="Q65" s="812"/>
    </row>
    <row r="66" spans="3:17" ht="15">
      <c r="C66" s="812"/>
      <c r="D66" s="812"/>
      <c r="E66" s="812"/>
      <c r="F66" s="812"/>
      <c r="G66" s="812"/>
      <c r="H66" s="812"/>
      <c r="I66" s="812"/>
      <c r="J66" s="812"/>
      <c r="K66" s="812"/>
      <c r="L66" s="812"/>
      <c r="M66" s="812"/>
      <c r="N66" s="812"/>
      <c r="O66" s="812"/>
      <c r="P66" s="812"/>
      <c r="Q66" s="812"/>
    </row>
    <row r="67" spans="3:17" ht="15">
      <c r="C67" s="812"/>
      <c r="D67" s="812"/>
      <c r="E67" s="812"/>
      <c r="F67" s="812"/>
      <c r="G67" s="812"/>
      <c r="H67" s="812"/>
      <c r="I67" s="812"/>
      <c r="J67" s="812"/>
      <c r="K67" s="812"/>
      <c r="L67" s="812"/>
      <c r="M67" s="812"/>
      <c r="N67" s="812"/>
      <c r="O67" s="812"/>
      <c r="P67" s="812"/>
      <c r="Q67" s="812"/>
    </row>
    <row r="68" spans="3:17" ht="15">
      <c r="C68" s="812"/>
      <c r="D68" s="812"/>
      <c r="E68" s="812"/>
      <c r="F68" s="812"/>
      <c r="G68" s="812"/>
      <c r="H68" s="812"/>
      <c r="I68" s="812"/>
      <c r="J68" s="812"/>
      <c r="K68" s="812"/>
      <c r="L68" s="812"/>
      <c r="M68" s="812"/>
      <c r="N68" s="812"/>
      <c r="O68" s="812"/>
      <c r="P68" s="812"/>
      <c r="Q68" s="812"/>
    </row>
    <row r="69" spans="3:17" ht="15">
      <c r="C69" s="812"/>
      <c r="D69" s="812"/>
      <c r="E69" s="812"/>
      <c r="F69" s="812"/>
      <c r="G69" s="812"/>
      <c r="H69" s="812"/>
      <c r="I69" s="812"/>
      <c r="J69" s="812"/>
      <c r="K69" s="812"/>
      <c r="L69" s="812"/>
      <c r="M69" s="812"/>
      <c r="N69" s="812"/>
      <c r="O69" s="812"/>
      <c r="P69" s="812"/>
      <c r="Q69" s="812"/>
    </row>
    <row r="70" spans="3:17" ht="15">
      <c r="C70" s="812"/>
      <c r="D70" s="812"/>
      <c r="E70" s="812"/>
      <c r="F70" s="812"/>
      <c r="G70" s="812"/>
      <c r="H70" s="812"/>
      <c r="I70" s="812"/>
      <c r="J70" s="812"/>
      <c r="K70" s="812"/>
      <c r="L70" s="812"/>
      <c r="M70" s="812"/>
      <c r="N70" s="812"/>
      <c r="O70" s="812"/>
      <c r="P70" s="812"/>
      <c r="Q70" s="812"/>
    </row>
    <row r="71" spans="3:17" ht="15">
      <c r="C71" s="812"/>
      <c r="D71" s="812"/>
      <c r="E71" s="812"/>
      <c r="F71" s="812"/>
      <c r="G71" s="812"/>
      <c r="H71" s="812"/>
      <c r="I71" s="812"/>
      <c r="J71" s="812"/>
      <c r="K71" s="812"/>
      <c r="L71" s="812"/>
      <c r="M71" s="812"/>
      <c r="N71" s="812"/>
      <c r="O71" s="812"/>
      <c r="P71" s="812"/>
      <c r="Q71" s="812"/>
    </row>
    <row r="72" spans="3:17" ht="15">
      <c r="C72" s="812"/>
      <c r="D72" s="812"/>
      <c r="E72" s="812"/>
      <c r="F72" s="812"/>
      <c r="G72" s="812"/>
      <c r="H72" s="812"/>
      <c r="I72" s="812"/>
      <c r="J72" s="812"/>
      <c r="K72" s="812"/>
      <c r="L72" s="812"/>
      <c r="M72" s="812"/>
      <c r="N72" s="812"/>
      <c r="O72" s="812"/>
      <c r="P72" s="812"/>
      <c r="Q72" s="812"/>
    </row>
    <row r="73" spans="3:17" ht="15">
      <c r="C73" s="812"/>
      <c r="D73" s="812"/>
      <c r="E73" s="812"/>
      <c r="F73" s="812"/>
      <c r="G73" s="812"/>
      <c r="H73" s="812"/>
      <c r="I73" s="812"/>
      <c r="J73" s="812"/>
      <c r="K73" s="812"/>
      <c r="L73" s="812"/>
      <c r="M73" s="812"/>
      <c r="N73" s="812"/>
      <c r="O73" s="812"/>
      <c r="P73" s="812"/>
      <c r="Q73" s="812"/>
    </row>
    <row r="74" spans="3:17" ht="15">
      <c r="C74" s="812"/>
      <c r="D74" s="812"/>
      <c r="E74" s="812"/>
      <c r="F74" s="812"/>
      <c r="G74" s="812"/>
      <c r="H74" s="812"/>
      <c r="I74" s="812"/>
      <c r="J74" s="812"/>
      <c r="K74" s="812"/>
      <c r="L74" s="812"/>
      <c r="M74" s="812"/>
      <c r="N74" s="812"/>
      <c r="O74" s="812"/>
      <c r="P74" s="812"/>
      <c r="Q74" s="812"/>
    </row>
    <row r="75" spans="3:17" ht="15">
      <c r="C75" s="812"/>
      <c r="D75" s="812"/>
      <c r="E75" s="812"/>
      <c r="F75" s="812"/>
      <c r="G75" s="812"/>
      <c r="H75" s="812"/>
      <c r="I75" s="812"/>
      <c r="J75" s="812"/>
      <c r="K75" s="812"/>
      <c r="L75" s="812"/>
      <c r="M75" s="812"/>
      <c r="N75" s="812"/>
      <c r="O75" s="812"/>
      <c r="P75" s="812"/>
      <c r="Q75" s="812"/>
    </row>
    <row r="76" spans="3:17" ht="15">
      <c r="C76" s="812"/>
      <c r="D76" s="812"/>
      <c r="E76" s="812"/>
      <c r="F76" s="812"/>
      <c r="G76" s="812"/>
      <c r="H76" s="812"/>
      <c r="I76" s="812"/>
      <c r="J76" s="812"/>
      <c r="K76" s="812"/>
      <c r="L76" s="812"/>
      <c r="M76" s="812"/>
      <c r="N76" s="812"/>
      <c r="O76" s="812"/>
      <c r="P76" s="812"/>
      <c r="Q76" s="812"/>
    </row>
    <row r="77" spans="3:17" ht="15">
      <c r="C77" s="812"/>
      <c r="D77" s="812"/>
      <c r="E77" s="812"/>
      <c r="F77" s="812"/>
      <c r="G77" s="812"/>
      <c r="H77" s="812"/>
      <c r="I77" s="812"/>
      <c r="J77" s="812"/>
      <c r="K77" s="812"/>
      <c r="L77" s="812"/>
      <c r="M77" s="812"/>
      <c r="N77" s="812"/>
      <c r="O77" s="812"/>
      <c r="P77" s="812"/>
      <c r="Q77" s="812"/>
    </row>
    <row r="78" spans="3:17" ht="15">
      <c r="C78" s="812"/>
      <c r="D78" s="812"/>
      <c r="E78" s="812"/>
      <c r="F78" s="812"/>
      <c r="G78" s="812"/>
      <c r="H78" s="812"/>
      <c r="I78" s="812"/>
      <c r="J78" s="812"/>
      <c r="K78" s="812"/>
      <c r="L78" s="812"/>
      <c r="M78" s="812"/>
      <c r="N78" s="812"/>
      <c r="O78" s="812"/>
      <c r="P78" s="812"/>
      <c r="Q78" s="812"/>
    </row>
    <row r="79" spans="3:17" ht="15">
      <c r="C79" s="812"/>
      <c r="D79" s="812"/>
      <c r="E79" s="812"/>
      <c r="F79" s="812"/>
      <c r="G79" s="812"/>
      <c r="H79" s="812"/>
      <c r="I79" s="812"/>
      <c r="J79" s="812"/>
      <c r="K79" s="812"/>
      <c r="L79" s="812"/>
      <c r="M79" s="812"/>
      <c r="N79" s="812"/>
      <c r="O79" s="812"/>
      <c r="P79" s="812"/>
      <c r="Q79" s="812"/>
    </row>
    <row r="80" spans="3:17" ht="15">
      <c r="C80" s="812"/>
      <c r="D80" s="812"/>
      <c r="E80" s="812"/>
      <c r="F80" s="812"/>
      <c r="G80" s="812"/>
      <c r="H80" s="812"/>
      <c r="I80" s="812"/>
      <c r="J80" s="812"/>
      <c r="K80" s="812"/>
      <c r="L80" s="812"/>
      <c r="M80" s="812"/>
      <c r="N80" s="812"/>
      <c r="O80" s="812"/>
      <c r="P80" s="812"/>
      <c r="Q80" s="812"/>
    </row>
    <row r="81" spans="3:17" ht="15">
      <c r="C81" s="812"/>
      <c r="D81" s="812"/>
      <c r="E81" s="812"/>
      <c r="F81" s="812"/>
      <c r="G81" s="812"/>
      <c r="H81" s="812"/>
      <c r="I81" s="812"/>
      <c r="J81" s="812"/>
      <c r="K81" s="812"/>
      <c r="L81" s="812"/>
      <c r="M81" s="812"/>
      <c r="N81" s="812"/>
      <c r="O81" s="812"/>
      <c r="P81" s="812"/>
      <c r="Q81" s="812"/>
    </row>
    <row r="82" spans="3:17" ht="15">
      <c r="C82" s="812"/>
      <c r="D82" s="812"/>
      <c r="E82" s="812"/>
      <c r="F82" s="812"/>
      <c r="G82" s="812"/>
      <c r="H82" s="812"/>
      <c r="I82" s="812"/>
      <c r="J82" s="812"/>
      <c r="K82" s="812"/>
      <c r="L82" s="812"/>
      <c r="M82" s="812"/>
      <c r="N82" s="812"/>
      <c r="O82" s="812"/>
      <c r="P82" s="812"/>
      <c r="Q82" s="812"/>
    </row>
    <row r="83" spans="3:17" ht="15">
      <c r="C83" s="812"/>
      <c r="D83" s="812"/>
      <c r="E83" s="812"/>
      <c r="F83" s="812"/>
      <c r="G83" s="812"/>
      <c r="H83" s="812"/>
      <c r="I83" s="812"/>
      <c r="J83" s="812"/>
      <c r="K83" s="812"/>
      <c r="L83" s="812"/>
      <c r="M83" s="812"/>
      <c r="N83" s="812"/>
      <c r="O83" s="812"/>
      <c r="P83" s="812"/>
      <c r="Q83" s="812"/>
    </row>
    <row r="84" spans="3:17" ht="15">
      <c r="C84" s="812"/>
      <c r="D84" s="812"/>
      <c r="E84" s="812"/>
      <c r="F84" s="812"/>
      <c r="G84" s="812"/>
      <c r="H84" s="812"/>
      <c r="I84" s="812"/>
      <c r="J84" s="812"/>
      <c r="K84" s="812"/>
      <c r="L84" s="812"/>
      <c r="M84" s="812"/>
      <c r="N84" s="812"/>
      <c r="O84" s="812"/>
      <c r="P84" s="812"/>
      <c r="Q84" s="812"/>
    </row>
    <row r="85" spans="3:17" ht="15">
      <c r="C85" s="812"/>
      <c r="D85" s="812"/>
      <c r="E85" s="812"/>
      <c r="F85" s="812"/>
      <c r="G85" s="812"/>
      <c r="H85" s="812"/>
      <c r="I85" s="812"/>
      <c r="J85" s="812"/>
      <c r="K85" s="812"/>
      <c r="L85" s="812"/>
      <c r="M85" s="812"/>
      <c r="N85" s="812"/>
      <c r="O85" s="812"/>
      <c r="P85" s="812"/>
      <c r="Q85" s="812"/>
    </row>
    <row r="86" spans="3:17" ht="15">
      <c r="C86" s="812"/>
      <c r="D86" s="812"/>
      <c r="E86" s="812"/>
      <c r="F86" s="812"/>
      <c r="G86" s="812"/>
      <c r="H86" s="812"/>
      <c r="I86" s="812"/>
      <c r="J86" s="812"/>
      <c r="K86" s="812"/>
      <c r="L86" s="812"/>
      <c r="M86" s="812"/>
      <c r="N86" s="812"/>
      <c r="O86" s="812"/>
      <c r="P86" s="812"/>
      <c r="Q86" s="812"/>
    </row>
    <row r="87" spans="3:17" ht="15">
      <c r="C87" s="812"/>
      <c r="D87" s="812"/>
      <c r="E87" s="812"/>
      <c r="F87" s="812"/>
      <c r="G87" s="812"/>
      <c r="H87" s="812"/>
      <c r="I87" s="812"/>
      <c r="J87" s="812"/>
      <c r="K87" s="812"/>
      <c r="L87" s="812"/>
      <c r="M87" s="812"/>
      <c r="N87" s="812"/>
      <c r="O87" s="812"/>
      <c r="P87" s="812"/>
      <c r="Q87" s="812"/>
    </row>
    <row r="88" spans="3:17" ht="15">
      <c r="C88" s="812"/>
      <c r="D88" s="812"/>
      <c r="E88" s="812"/>
      <c r="F88" s="812"/>
      <c r="G88" s="812"/>
      <c r="H88" s="812"/>
      <c r="I88" s="812"/>
      <c r="J88" s="812"/>
      <c r="K88" s="812"/>
      <c r="L88" s="812"/>
      <c r="M88" s="812"/>
      <c r="N88" s="812"/>
      <c r="O88" s="812"/>
      <c r="P88" s="812"/>
      <c r="Q88" s="812"/>
    </row>
    <row r="89" spans="3:17" ht="15">
      <c r="C89" s="812"/>
      <c r="D89" s="812"/>
      <c r="E89" s="812"/>
      <c r="F89" s="812"/>
      <c r="G89" s="812"/>
      <c r="H89" s="812"/>
      <c r="I89" s="812"/>
      <c r="J89" s="812"/>
      <c r="K89" s="812"/>
      <c r="L89" s="812"/>
      <c r="M89" s="812"/>
      <c r="N89" s="812"/>
      <c r="O89" s="812"/>
      <c r="P89" s="812"/>
      <c r="Q89" s="812"/>
    </row>
    <row r="90" spans="3:17" ht="15">
      <c r="C90" s="812"/>
      <c r="D90" s="812"/>
      <c r="E90" s="812"/>
      <c r="F90" s="812"/>
      <c r="G90" s="812"/>
      <c r="H90" s="812"/>
      <c r="I90" s="812"/>
      <c r="J90" s="812"/>
      <c r="K90" s="812"/>
      <c r="L90" s="812"/>
      <c r="M90" s="812"/>
      <c r="N90" s="812"/>
      <c r="O90" s="812"/>
      <c r="P90" s="812"/>
      <c r="Q90" s="812"/>
    </row>
    <row r="91" spans="3:17" ht="15">
      <c r="C91" s="812"/>
      <c r="D91" s="812"/>
      <c r="E91" s="812"/>
      <c r="F91" s="812"/>
      <c r="G91" s="812"/>
      <c r="H91" s="812"/>
      <c r="I91" s="812"/>
      <c r="J91" s="812"/>
      <c r="K91" s="812"/>
      <c r="L91" s="812"/>
      <c r="M91" s="812"/>
      <c r="N91" s="812"/>
      <c r="O91" s="812"/>
      <c r="P91" s="812"/>
      <c r="Q91" s="812"/>
    </row>
    <row r="92" spans="3:17" ht="15">
      <c r="C92" s="812"/>
      <c r="D92" s="812"/>
      <c r="E92" s="812"/>
      <c r="F92" s="812"/>
      <c r="G92" s="812"/>
      <c r="H92" s="812"/>
      <c r="I92" s="812"/>
      <c r="J92" s="812"/>
      <c r="K92" s="812"/>
      <c r="L92" s="812"/>
      <c r="M92" s="812"/>
      <c r="N92" s="812"/>
      <c r="O92" s="812"/>
      <c r="P92" s="812"/>
      <c r="Q92" s="812"/>
    </row>
    <row r="93" spans="3:17" ht="15">
      <c r="C93" s="812"/>
      <c r="D93" s="812"/>
      <c r="E93" s="812"/>
      <c r="F93" s="812"/>
      <c r="G93" s="812"/>
      <c r="H93" s="812"/>
      <c r="I93" s="812"/>
      <c r="J93" s="812"/>
      <c r="K93" s="812"/>
      <c r="L93" s="812"/>
      <c r="M93" s="812"/>
      <c r="N93" s="812"/>
      <c r="O93" s="812"/>
      <c r="P93" s="812"/>
      <c r="Q93" s="812"/>
    </row>
    <row r="94" spans="3:17" ht="15">
      <c r="C94" s="812"/>
      <c r="D94" s="812"/>
      <c r="E94" s="812"/>
      <c r="F94" s="812"/>
      <c r="G94" s="812"/>
      <c r="H94" s="812"/>
      <c r="I94" s="812"/>
      <c r="J94" s="812"/>
      <c r="K94" s="812"/>
      <c r="L94" s="812"/>
      <c r="M94" s="812"/>
      <c r="N94" s="812"/>
      <c r="O94" s="812"/>
      <c r="P94" s="812"/>
      <c r="Q94" s="812"/>
    </row>
    <row r="95" spans="3:17" ht="15">
      <c r="C95" s="812"/>
      <c r="D95" s="812"/>
      <c r="E95" s="812"/>
      <c r="F95" s="812"/>
      <c r="G95" s="812"/>
      <c r="H95" s="812"/>
      <c r="I95" s="812"/>
      <c r="J95" s="812"/>
      <c r="K95" s="812"/>
      <c r="L95" s="812"/>
      <c r="M95" s="812"/>
      <c r="N95" s="812"/>
      <c r="O95" s="812"/>
      <c r="P95" s="812"/>
      <c r="Q95" s="812"/>
    </row>
    <row r="96" spans="3:17" ht="15">
      <c r="C96" s="812"/>
      <c r="D96" s="812"/>
      <c r="E96" s="812"/>
      <c r="F96" s="812"/>
      <c r="G96" s="812"/>
      <c r="H96" s="812"/>
      <c r="I96" s="812"/>
      <c r="J96" s="812"/>
      <c r="K96" s="812"/>
      <c r="L96" s="812"/>
      <c r="M96" s="812"/>
      <c r="N96" s="812"/>
      <c r="O96" s="812"/>
      <c r="P96" s="812"/>
      <c r="Q96" s="812"/>
    </row>
    <row r="97" spans="3:17" ht="15">
      <c r="C97" s="812"/>
      <c r="D97" s="812"/>
      <c r="E97" s="812"/>
      <c r="F97" s="812"/>
      <c r="G97" s="812"/>
      <c r="H97" s="812"/>
      <c r="I97" s="812"/>
      <c r="J97" s="812"/>
      <c r="K97" s="812"/>
      <c r="L97" s="812"/>
      <c r="M97" s="812"/>
      <c r="N97" s="812"/>
      <c r="O97" s="812"/>
      <c r="P97" s="812"/>
      <c r="Q97" s="812"/>
    </row>
    <row r="98" spans="3:17" ht="15">
      <c r="C98" s="812"/>
      <c r="D98" s="812"/>
      <c r="E98" s="812"/>
      <c r="F98" s="812"/>
      <c r="G98" s="812"/>
      <c r="H98" s="812"/>
      <c r="I98" s="812"/>
      <c r="J98" s="812"/>
      <c r="K98" s="812"/>
      <c r="L98" s="812"/>
      <c r="M98" s="812"/>
      <c r="N98" s="812"/>
      <c r="O98" s="812"/>
      <c r="P98" s="812"/>
      <c r="Q98" s="812"/>
    </row>
    <row r="99" spans="3:17" ht="15">
      <c r="C99" s="812"/>
      <c r="D99" s="812"/>
      <c r="E99" s="812"/>
      <c r="F99" s="812"/>
      <c r="G99" s="812"/>
      <c r="H99" s="812"/>
      <c r="I99" s="812"/>
      <c r="J99" s="812"/>
      <c r="K99" s="812"/>
      <c r="L99" s="812"/>
      <c r="M99" s="812"/>
      <c r="N99" s="812"/>
      <c r="O99" s="812"/>
      <c r="P99" s="812"/>
      <c r="Q99" s="812"/>
    </row>
    <row r="100" spans="3:17" ht="15">
      <c r="C100" s="812"/>
      <c r="D100" s="812"/>
      <c r="E100" s="812"/>
      <c r="F100" s="812"/>
      <c r="G100" s="812"/>
      <c r="H100" s="812"/>
      <c r="I100" s="812"/>
      <c r="J100" s="812"/>
      <c r="K100" s="812"/>
      <c r="L100" s="812"/>
      <c r="M100" s="812"/>
      <c r="N100" s="812"/>
      <c r="O100" s="812"/>
      <c r="P100" s="812"/>
      <c r="Q100" s="812"/>
    </row>
    <row r="101" spans="3:17" ht="15">
      <c r="C101" s="812"/>
      <c r="D101" s="812"/>
      <c r="E101" s="812"/>
      <c r="F101" s="812"/>
      <c r="G101" s="812"/>
      <c r="H101" s="812"/>
      <c r="I101" s="812"/>
      <c r="J101" s="812"/>
      <c r="K101" s="812"/>
      <c r="L101" s="812"/>
      <c r="M101" s="812"/>
      <c r="N101" s="812"/>
      <c r="O101" s="812"/>
      <c r="P101" s="812"/>
      <c r="Q101" s="812"/>
    </row>
    <row r="102" spans="3:17" ht="15">
      <c r="C102" s="812"/>
      <c r="D102" s="812"/>
      <c r="E102" s="812"/>
      <c r="F102" s="812"/>
      <c r="G102" s="812"/>
      <c r="H102" s="812"/>
      <c r="I102" s="812"/>
      <c r="J102" s="812"/>
      <c r="K102" s="812"/>
      <c r="L102" s="812"/>
      <c r="M102" s="812"/>
      <c r="N102" s="812"/>
      <c r="O102" s="812"/>
      <c r="P102" s="812"/>
      <c r="Q102" s="812"/>
    </row>
    <row r="103" spans="3:17" ht="15">
      <c r="C103" s="812"/>
      <c r="D103" s="812"/>
      <c r="E103" s="812"/>
      <c r="F103" s="812"/>
      <c r="G103" s="812"/>
      <c r="H103" s="812"/>
      <c r="I103" s="812"/>
      <c r="J103" s="812"/>
      <c r="K103" s="812"/>
      <c r="L103" s="812"/>
      <c r="M103" s="812"/>
      <c r="N103" s="812"/>
      <c r="O103" s="812"/>
      <c r="P103" s="812"/>
      <c r="Q103" s="812"/>
    </row>
    <row r="104" spans="3:17" ht="15">
      <c r="C104" s="812"/>
      <c r="D104" s="812"/>
      <c r="E104" s="812"/>
      <c r="F104" s="812"/>
      <c r="G104" s="812"/>
      <c r="H104" s="812"/>
      <c r="I104" s="812"/>
      <c r="J104" s="812"/>
      <c r="K104" s="812"/>
      <c r="L104" s="812"/>
      <c r="M104" s="812"/>
      <c r="N104" s="812"/>
      <c r="O104" s="812"/>
      <c r="P104" s="812"/>
      <c r="Q104" s="812"/>
    </row>
    <row r="105" spans="3:17" ht="15">
      <c r="C105" s="812"/>
      <c r="D105" s="812"/>
      <c r="E105" s="812"/>
      <c r="F105" s="812"/>
      <c r="G105" s="812"/>
      <c r="H105" s="812"/>
      <c r="I105" s="812"/>
      <c r="J105" s="812"/>
      <c r="K105" s="812"/>
      <c r="L105" s="812"/>
      <c r="M105" s="812"/>
      <c r="N105" s="812"/>
      <c r="O105" s="812"/>
      <c r="P105" s="812"/>
      <c r="Q105" s="812"/>
    </row>
    <row r="106" spans="3:17" ht="15">
      <c r="C106" s="812"/>
      <c r="D106" s="812"/>
      <c r="E106" s="812"/>
      <c r="F106" s="812"/>
      <c r="G106" s="812"/>
      <c r="H106" s="812"/>
      <c r="I106" s="812"/>
      <c r="J106" s="812"/>
      <c r="K106" s="812"/>
      <c r="L106" s="812"/>
      <c r="M106" s="812"/>
      <c r="N106" s="812"/>
      <c r="O106" s="812"/>
      <c r="P106" s="812"/>
      <c r="Q106" s="812"/>
    </row>
    <row r="107" spans="3:17" ht="15">
      <c r="C107" s="812"/>
      <c r="D107" s="812"/>
      <c r="E107" s="812"/>
      <c r="F107" s="812"/>
      <c r="G107" s="812"/>
      <c r="H107" s="812"/>
      <c r="I107" s="812"/>
      <c r="J107" s="812"/>
      <c r="K107" s="812"/>
      <c r="L107" s="812"/>
      <c r="M107" s="812"/>
      <c r="N107" s="812"/>
      <c r="O107" s="812"/>
      <c r="P107" s="812"/>
      <c r="Q107" s="812"/>
    </row>
    <row r="108" spans="3:17" ht="15">
      <c r="C108" s="812"/>
      <c r="D108" s="812"/>
      <c r="E108" s="812"/>
      <c r="F108" s="812"/>
      <c r="G108" s="812"/>
      <c r="H108" s="812"/>
      <c r="I108" s="812"/>
      <c r="J108" s="812"/>
      <c r="K108" s="812"/>
      <c r="L108" s="812"/>
      <c r="M108" s="812"/>
      <c r="N108" s="812"/>
      <c r="O108" s="812"/>
      <c r="P108" s="812"/>
      <c r="Q108" s="812"/>
    </row>
    <row r="109" spans="3:17" ht="15">
      <c r="C109" s="812"/>
      <c r="D109" s="812"/>
      <c r="E109" s="812"/>
      <c r="F109" s="812"/>
      <c r="G109" s="812"/>
      <c r="H109" s="812"/>
      <c r="I109" s="812"/>
      <c r="J109" s="812"/>
      <c r="K109" s="812"/>
      <c r="L109" s="812"/>
      <c r="M109" s="812"/>
      <c r="N109" s="812"/>
      <c r="O109" s="812"/>
      <c r="P109" s="812"/>
      <c r="Q109" s="812"/>
    </row>
    <row r="110" spans="3:17" ht="15">
      <c r="C110" s="812"/>
      <c r="D110" s="812"/>
      <c r="E110" s="812"/>
      <c r="F110" s="812"/>
      <c r="G110" s="812"/>
      <c r="H110" s="812"/>
      <c r="I110" s="812"/>
      <c r="J110" s="812"/>
      <c r="K110" s="812"/>
      <c r="L110" s="812"/>
      <c r="M110" s="812"/>
      <c r="N110" s="812"/>
      <c r="O110" s="812"/>
      <c r="P110" s="812"/>
      <c r="Q110" s="812"/>
    </row>
    <row r="111" spans="3:17" ht="15">
      <c r="C111" s="812"/>
      <c r="D111" s="812"/>
      <c r="E111" s="812"/>
      <c r="F111" s="812"/>
      <c r="G111" s="812"/>
      <c r="H111" s="812"/>
      <c r="I111" s="812"/>
      <c r="J111" s="812"/>
      <c r="K111" s="812"/>
      <c r="L111" s="812"/>
      <c r="M111" s="812"/>
      <c r="N111" s="812"/>
      <c r="O111" s="812"/>
      <c r="P111" s="812"/>
      <c r="Q111" s="812"/>
    </row>
    <row r="112" spans="3:17" ht="15">
      <c r="C112" s="812"/>
      <c r="D112" s="812"/>
      <c r="E112" s="812"/>
      <c r="F112" s="812"/>
      <c r="G112" s="812"/>
      <c r="H112" s="812"/>
      <c r="I112" s="812"/>
      <c r="J112" s="812"/>
      <c r="K112" s="812"/>
      <c r="L112" s="812"/>
      <c r="M112" s="812"/>
    </row>
    <row r="113" spans="3:13" ht="15">
      <c r="C113" s="812"/>
      <c r="D113" s="812"/>
      <c r="E113" s="812"/>
      <c r="F113" s="812"/>
      <c r="G113" s="812"/>
      <c r="H113" s="812"/>
      <c r="I113" s="812"/>
      <c r="J113" s="812"/>
      <c r="K113" s="812"/>
      <c r="L113" s="812"/>
      <c r="M113" s="812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42" t="s">
        <v>812</v>
      </c>
      <c r="R26" s="1142"/>
      <c r="S26" s="1142"/>
      <c r="T26" s="1142" t="s">
        <v>813</v>
      </c>
      <c r="U26" s="1142"/>
      <c r="V26" s="1142"/>
    </row>
    <row r="27" spans="1:22" ht="21.75" thickBot="1">
      <c r="A27" s="67"/>
      <c r="B27" s="67"/>
      <c r="C27" s="67"/>
      <c r="D27" s="67"/>
      <c r="E27" s="67"/>
      <c r="F27" s="67"/>
      <c r="H27" s="1142" t="s">
        <v>637</v>
      </c>
      <c r="I27" s="1142"/>
      <c r="J27" s="1142"/>
      <c r="K27" s="1142"/>
      <c r="L27" s="1142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3">
        <f>[3]Second_SH_Demand!$A$5</f>
        <v>1.4285714285714286</v>
      </c>
      <c r="R28" s="823">
        <f>[3]Second_SH_Demand!$K$5</f>
        <v>1.375</v>
      </c>
      <c r="S28" s="823">
        <f>[3]Second_SH_Demand!$F$5</f>
        <v>1.3478893740902476</v>
      </c>
      <c r="T28" s="716">
        <f>Q28*I29</f>
        <v>13455.569795438192</v>
      </c>
      <c r="U28" s="716">
        <f>R28*J29</f>
        <v>21274.101374868016</v>
      </c>
      <c r="V28" s="826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4">
        <f>[3]Second_SH_Demand!$A$12</f>
        <v>1</v>
      </c>
      <c r="R29" s="824">
        <f>[3]Second_SH_Demand!$K$12</f>
        <v>1</v>
      </c>
      <c r="S29" s="824">
        <f>[3]Second_SH_Demand!$F$12</f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7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5">
        <f>[3]Second_SH_Demand!$A$19</f>
        <v>1</v>
      </c>
      <c r="R30" s="825">
        <f>[3]Second_SH_Demand!$K$19</f>
        <v>1</v>
      </c>
      <c r="S30" s="825">
        <f>[3]Second_SH_Demand!$F$19</f>
        <v>1</v>
      </c>
      <c r="T30" s="720">
        <f t="shared" si="2"/>
        <v>14041.847426430093</v>
      </c>
      <c r="U30" s="720">
        <f t="shared" si="3"/>
        <v>17545.09295382088</v>
      </c>
      <c r="V30" s="828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4">
        <f>[3]Second_SH_Demand!$A$26</f>
        <v>1</v>
      </c>
      <c r="R31" s="824">
        <f>[3]Second_SH_Demand!$K$26</f>
        <v>1</v>
      </c>
      <c r="S31" s="824">
        <f>[3]Second_SH_Demand!$F$26</f>
        <v>1</v>
      </c>
      <c r="T31" s="718">
        <f t="shared" si="2"/>
        <v>19924.480375055824</v>
      </c>
      <c r="U31" s="718">
        <f t="shared" si="3"/>
        <v>49768.849685929476</v>
      </c>
      <c r="V31" s="827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5">
        <f>[3]Second_SH_Demand!$A$33</f>
        <v>0.62350597609561753</v>
      </c>
      <c r="R32" s="825">
        <f>[3]Second_SH_Demand!$K$33</f>
        <v>0.63854266538830295</v>
      </c>
      <c r="S32" s="825">
        <f>[3]Second_SH_Demand!$F$33</f>
        <v>0.65110565110565111</v>
      </c>
      <c r="T32" s="720">
        <f t="shared" si="2"/>
        <v>36727.496963354082</v>
      </c>
      <c r="U32" s="720">
        <f t="shared" si="3"/>
        <v>180165.78839768126</v>
      </c>
      <c r="V32" s="828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4">
        <f>[3]Second_SH_Demand!$A$40</f>
        <v>0.64275466284074612</v>
      </c>
      <c r="R33" s="824">
        <f>[3]Second_SH_Demand!$K$40</f>
        <v>0.6669136717302705</v>
      </c>
      <c r="S33" s="824">
        <f>[3]Second_SH_Demand!$F$40</f>
        <v>0.67542972699696668</v>
      </c>
      <c r="T33" s="718">
        <f t="shared" si="2"/>
        <v>28113.665794547433</v>
      </c>
      <c r="U33" s="718">
        <f t="shared" si="3"/>
        <v>125131.02640900291</v>
      </c>
      <c r="V33" s="827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5">
        <f>[3]Second_SH_Demand!$A$47</f>
        <v>0.65947786606129399</v>
      </c>
      <c r="R34" s="825">
        <f>[3]Second_SH_Demand!$K$47</f>
        <v>0.68235651381718798</v>
      </c>
      <c r="S34" s="825">
        <f>[3]Second_SH_Demand!$F$47</f>
        <v>0.68787878787878787</v>
      </c>
      <c r="T34" s="720">
        <f t="shared" si="2"/>
        <v>16993.344189187668</v>
      </c>
      <c r="U34" s="720">
        <f t="shared" si="3"/>
        <v>69203.844283713814</v>
      </c>
      <c r="V34" s="828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4">
        <f>[3]Second_SH_Demand!$A$54</f>
        <v>0.67760942760942755</v>
      </c>
      <c r="R35" s="824">
        <f>[3]Second_SH_Demand!$K$54</f>
        <v>0.69366197183098599</v>
      </c>
      <c r="S35" s="824">
        <f>[3]Second_SH_Demand!$F$54</f>
        <v>0.69895091794679653</v>
      </c>
      <c r="T35" s="718">
        <f t="shared" si="2"/>
        <v>8355.7192320215872</v>
      </c>
      <c r="U35" s="718">
        <f t="shared" si="3"/>
        <v>34768.978124585461</v>
      </c>
      <c r="V35" s="827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9" t="s">
        <v>68</v>
      </c>
      <c r="Q36" s="830">
        <f>[3]Second_SH_Demand!$A$61</f>
        <v>0.56219445953286251</v>
      </c>
      <c r="R36" s="830">
        <f>[3]Second_SH_Demand!$K$61</f>
        <v>0.54586660910856888</v>
      </c>
      <c r="S36" s="830">
        <f>[3]Second_SH_Demand!$F$61</f>
        <v>0.55669942286694751</v>
      </c>
      <c r="T36" s="831">
        <f t="shared" si="2"/>
        <v>8551.6367409636478</v>
      </c>
      <c r="U36" s="831">
        <f t="shared" si="3"/>
        <v>28770.813628890308</v>
      </c>
      <c r="V36" s="832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3">
        <f>SUM(T28:T36)/I38</f>
        <v>0.74286208971025169</v>
      </c>
      <c r="U37" s="833">
        <f>SUM(U28:U36)/J38</f>
        <v>0.69963472197389465</v>
      </c>
      <c r="V37" s="833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9" t="s">
        <v>307</v>
      </c>
      <c r="C58" s="1140"/>
      <c r="D58" s="1140"/>
      <c r="E58" s="1140"/>
      <c r="F58" s="1140"/>
      <c r="G58" s="1140"/>
      <c r="H58" s="1140"/>
      <c r="I58" s="1140"/>
      <c r="J58" s="1140"/>
      <c r="K58" s="1140"/>
      <c r="L58" s="1141"/>
      <c r="M58" s="1136" t="s">
        <v>308</v>
      </c>
      <c r="N58" s="1137"/>
      <c r="O58" s="1138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43" t="s">
        <v>373</v>
      </c>
      <c r="T92" s="1144"/>
      <c r="U92" s="1144"/>
      <c r="V92" s="1144"/>
      <c r="W92" s="1144"/>
      <c r="X92" s="1144"/>
      <c r="Y92" s="1144"/>
      <c r="Z92" s="1145"/>
      <c r="AB92" s="1134" t="s">
        <v>374</v>
      </c>
      <c r="AC92" s="1134"/>
      <c r="AD92" s="1134"/>
      <c r="AE92" s="1134"/>
      <c r="AF92" s="1135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34"/>
      <c r="AC93" s="1134"/>
      <c r="AD93" s="1134"/>
      <c r="AE93" s="1134"/>
      <c r="AF93" s="1135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K25" zoomScale="80" zoomScaleNormal="80" workbookViewId="0">
      <selection activeCell="U56" sqref="U56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40" t="s">
        <v>639</v>
      </c>
      <c r="B2" s="841">
        <v>3.6E-9</v>
      </c>
      <c r="C2" s="840"/>
      <c r="D2" s="840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4"/>
      <c r="AF3" s="1034"/>
      <c r="AG3" s="1034"/>
      <c r="AH3" s="1034"/>
      <c r="AI3" s="1034"/>
      <c r="AJ3" s="1034"/>
      <c r="AK3" s="660"/>
      <c r="AL3" s="660"/>
      <c r="AM3" s="660"/>
      <c r="AN3" s="660"/>
      <c r="AO3" s="660"/>
    </row>
    <row r="4" spans="1:41" ht="15" customHeight="1" thickBot="1">
      <c r="A4" s="660"/>
      <c r="B4" s="1146" t="s">
        <v>814</v>
      </c>
      <c r="C4" s="1147"/>
      <c r="D4" s="1147"/>
      <c r="E4" s="1147"/>
      <c r="F4" s="1147"/>
      <c r="G4" s="1148"/>
      <c r="H4" s="1146" t="s">
        <v>815</v>
      </c>
      <c r="I4" s="1147"/>
      <c r="J4" s="1148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1091" t="s">
        <v>983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50">
        <f>(E7+E14+E16)/SUM($E$7:$E$25)</f>
        <v>2.1588177690732664E-3</v>
      </c>
      <c r="R7" s="851">
        <f>Q7*DwellingStocks!$I$38/1000</f>
        <v>0.44644110756253896</v>
      </c>
      <c r="S7" s="947">
        <f>(R7*1000)/(E7+E14+E16)*DwellingStocks!$T$37-0.0955</f>
        <v>1.0441707013624295</v>
      </c>
      <c r="T7" s="853">
        <f>(G7+G14+G16)/300</f>
        <v>0.59018803418803423</v>
      </c>
      <c r="U7" s="853">
        <f t="shared" ref="U7:U13" si="0">Z7/R7/W7</f>
        <v>9.2214798735756998E-2</v>
      </c>
      <c r="V7" s="854">
        <v>20</v>
      </c>
      <c r="W7" s="854">
        <v>1</v>
      </c>
      <c r="X7" s="854"/>
      <c r="Y7" s="854"/>
      <c r="Z7" s="855">
        <f t="shared" ref="Z7:Z13" si="1">AA7*T7</f>
        <v>4.1168476881247973E-2</v>
      </c>
      <c r="AA7" s="855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2">M7</f>
        <v>R-SH_Apt_COA_X0</v>
      </c>
      <c r="AF7" s="697" t="str">
        <f t="shared" si="2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7">
        <f>E8/SUM($E$7:$E$25)</f>
        <v>2.2255853289415115E-5</v>
      </c>
      <c r="R8" s="858">
        <f>Q8*DwellingStocks!$I$38/1000</f>
        <v>4.6024856449746274E-3</v>
      </c>
      <c r="S8" s="859">
        <f>(R8*1000)/E8*DwellingStocks!$T$37</f>
        <v>1.139670701362429</v>
      </c>
      <c r="T8" s="868">
        <f>IF((G8/100)&gt;1,0.9)</f>
        <v>0.9</v>
      </c>
      <c r="U8" s="860">
        <f>Z8/R8/W8</f>
        <v>4.4735749332023116E-3</v>
      </c>
      <c r="V8" s="861">
        <v>20</v>
      </c>
      <c r="W8" s="861">
        <v>1</v>
      </c>
      <c r="X8" s="861"/>
      <c r="Y8" s="861"/>
      <c r="Z8" s="862">
        <f t="shared" si="1"/>
        <v>2.0589564411781966E-5</v>
      </c>
      <c r="AA8" s="863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50">
        <f>E9/SUM($E$7:$E$25)</f>
        <v>7.4186177631383719E-6</v>
      </c>
      <c r="R9" s="851">
        <f>Q9*DwellingStocks!$I$38/1000</f>
        <v>1.5341618816582091E-3</v>
      </c>
      <c r="S9" s="852">
        <f>(R9*1000)/E9*DwellingStocks!$T$37</f>
        <v>1.1396707013624292</v>
      </c>
      <c r="T9" s="869">
        <f>IF((G9/100)&gt;1,0.9)</f>
        <v>0.9</v>
      </c>
      <c r="U9" s="853">
        <f t="shared" si="0"/>
        <v>9.6274926826448623E-6</v>
      </c>
      <c r="V9" s="854">
        <v>20</v>
      </c>
      <c r="W9" s="854">
        <v>1</v>
      </c>
      <c r="X9" s="854"/>
      <c r="Y9" s="854"/>
      <c r="Z9" s="855">
        <f t="shared" si="1"/>
        <v>1.4770132289657081E-8</v>
      </c>
      <c r="AA9" s="855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2"/>
        <v>R-SH_Apt_BIOETH_X0</v>
      </c>
      <c r="AF9" s="697" t="str">
        <f t="shared" si="2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7">
        <f>(E10+E11)/SUM($E$7:$E$25)</f>
        <v>1.4139885456541736E-2</v>
      </c>
      <c r="R10" s="858">
        <f>(Q10)*DwellingStocks!$I$38/1000</f>
        <v>2.9241125464405466</v>
      </c>
      <c r="S10" s="859">
        <f>(R10*1000)/(E10+E11)*DwellingStocks!$T$37+0.1525</f>
        <v>1.2921707013624293</v>
      </c>
      <c r="T10" s="860">
        <f>(G10+G11)/200</f>
        <v>0.80677902621722841</v>
      </c>
      <c r="U10" s="860">
        <f t="shared" si="0"/>
        <v>1.7299140780158057E-2</v>
      </c>
      <c r="V10" s="861">
        <v>20</v>
      </c>
      <c r="W10" s="861">
        <v>1</v>
      </c>
      <c r="X10" s="861"/>
      <c r="Y10" s="861"/>
      <c r="Z10" s="862">
        <f t="shared" si="1"/>
        <v>5.0584634597901482E-2</v>
      </c>
      <c r="AA10" s="863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50">
        <f>E25/SUM($E$7:$E$25)</f>
        <v>0.28021603014926261</v>
      </c>
      <c r="R11" s="851">
        <f>(Q11)*DwellingStocks!$I$38/1000</f>
        <v>57.948362593993885</v>
      </c>
      <c r="S11" s="852">
        <f>(R11*1000)/(E25)*DwellingStocks!$T$37+0.084</f>
        <v>1.2236707013624295</v>
      </c>
      <c r="T11" s="853">
        <f>(G25)/100</f>
        <v>1</v>
      </c>
      <c r="U11" s="853">
        <f t="shared" si="0"/>
        <v>1.3558272842045374E-2</v>
      </c>
      <c r="V11" s="854">
        <v>20</v>
      </c>
      <c r="W11" s="854">
        <v>1</v>
      </c>
      <c r="X11" s="854"/>
      <c r="Y11" s="854"/>
      <c r="Z11" s="855">
        <f t="shared" si="1"/>
        <v>0.78567971079914534</v>
      </c>
      <c r="AA11" s="855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2"/>
        <v>R-SH_Apt_ELC_X0</v>
      </c>
      <c r="AF11" s="697" t="str">
        <f t="shared" si="2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8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7">
        <f>E12/SUM($E$7:$E$25)*0.85</f>
        <v>0.16760252529748657</v>
      </c>
      <c r="R12" s="858">
        <f>Q12*DwellingStocks!$I$38/1000</f>
        <v>34.660015354704512</v>
      </c>
      <c r="S12" s="859">
        <f>((R12+R24)*1000)/E12*DwellingStocks!$T$37+0.084</f>
        <v>1.2236707013624293</v>
      </c>
      <c r="T12" s="860">
        <f>G12/100</f>
        <v>3.0701960784313722</v>
      </c>
      <c r="U12" s="860">
        <f t="shared" si="0"/>
        <v>2.4813655183930763E-2</v>
      </c>
      <c r="V12" s="861">
        <v>20</v>
      </c>
      <c r="W12" s="861">
        <v>1</v>
      </c>
      <c r="X12" s="861"/>
      <c r="Y12" s="861"/>
      <c r="Z12" s="862">
        <f t="shared" si="1"/>
        <v>0.86004166968138351</v>
      </c>
      <c r="AA12" s="863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50">
        <f>E13/SUM($E$7:$E$25)</f>
        <v>2.9103237484791832E-2</v>
      </c>
      <c r="R13" s="851">
        <f>Q13*DwellingStocks!$I$38/1000</f>
        <v>6.0185170617451549</v>
      </c>
      <c r="S13" s="852">
        <f>(R13*1000)/E13*DwellingStocks!$T$37</f>
        <v>1.1396707013624292</v>
      </c>
      <c r="T13" s="853">
        <f>G13/100</f>
        <v>0.81016216216216219</v>
      </c>
      <c r="U13" s="853">
        <f t="shared" si="0"/>
        <v>3.0831862922372489E-2</v>
      </c>
      <c r="V13" s="854">
        <v>20</v>
      </c>
      <c r="W13" s="854">
        <v>1</v>
      </c>
      <c r="X13" s="854"/>
      <c r="Y13" s="854"/>
      <c r="Z13" s="855">
        <f t="shared" si="1"/>
        <v>0.18556209304368665</v>
      </c>
      <c r="AA13" s="855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2"/>
        <v>R-SH_Apt_OILKER_X0</v>
      </c>
      <c r="AF13" s="697" t="str">
        <f t="shared" si="2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3" t="s">
        <v>273</v>
      </c>
      <c r="M14" s="1033" t="s">
        <v>273</v>
      </c>
      <c r="N14" s="864"/>
      <c r="O14" s="864"/>
      <c r="P14" s="865"/>
      <c r="Q14" s="866"/>
      <c r="R14" s="864"/>
      <c r="S14" s="866"/>
      <c r="T14" s="864"/>
      <c r="U14" s="864"/>
      <c r="V14" s="864"/>
      <c r="W14" s="864"/>
      <c r="X14" s="864"/>
      <c r="Y14" s="864"/>
      <c r="Z14" s="864"/>
      <c r="AA14" s="864"/>
      <c r="AB14"/>
      <c r="AC14" s="867" t="s">
        <v>273</v>
      </c>
      <c r="AD14" s="867"/>
      <c r="AE14" s="864"/>
      <c r="AF14" s="864"/>
      <c r="AG14" s="864"/>
      <c r="AH14" s="864"/>
      <c r="AI14" s="864"/>
      <c r="AJ14" s="864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50">
        <f>E15/SUM($E$7:$E$25)</f>
        <v>0.4073933944627437</v>
      </c>
      <c r="R15" s="851">
        <f>Q15*DwellingStocks!$I$38/1000</f>
        <v>84.248499731260551</v>
      </c>
      <c r="S15" s="852">
        <f>(R15*1000)/E15*DwellingStocks!$T$37</f>
        <v>1.1396707013624292</v>
      </c>
      <c r="T15" s="853">
        <f>G15/100</f>
        <v>0.81026881720430111</v>
      </c>
      <c r="U15" s="853">
        <f>Z15/R15/W15</f>
        <v>1.1859086836729585E-2</v>
      </c>
      <c r="V15" s="854">
        <v>20</v>
      </c>
      <c r="W15" s="854">
        <v>1</v>
      </c>
      <c r="X15" s="854"/>
      <c r="Y15" s="854"/>
      <c r="Z15" s="855">
        <f>AA15*T15</f>
        <v>0.99911027417720799</v>
      </c>
      <c r="AA15" s="855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3" t="s">
        <v>273</v>
      </c>
      <c r="M16" s="1033" t="s">
        <v>273</v>
      </c>
      <c r="N16" s="864"/>
      <c r="O16" s="864"/>
      <c r="P16" s="865"/>
      <c r="Q16" s="866"/>
      <c r="R16" s="864"/>
      <c r="S16" s="866"/>
      <c r="T16" s="864"/>
      <c r="U16" s="864"/>
      <c r="V16" s="864"/>
      <c r="W16" s="864"/>
      <c r="X16" s="864"/>
      <c r="Y16" s="864"/>
      <c r="Z16" s="864"/>
      <c r="AA16" s="864"/>
      <c r="AB16"/>
      <c r="AC16" s="867" t="s">
        <v>273</v>
      </c>
      <c r="AD16" s="867"/>
      <c r="AE16" s="864"/>
      <c r="AF16" s="864"/>
      <c r="AG16" s="864"/>
      <c r="AH16" s="864"/>
      <c r="AI16" s="864"/>
      <c r="AJ16" s="864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50">
        <f>(E17+E18)/SUM($E$7:$E$25)</f>
        <v>1.0386064868393721E-4</v>
      </c>
      <c r="R17" s="851">
        <f>Q17*DwellingStocks!$I$38/1000</f>
        <v>2.1478266343214931E-2</v>
      </c>
      <c r="S17" s="852">
        <f>(R17*1000)/(E17+E18)*DwellingStocks!$T$37</f>
        <v>1.1396707013624292</v>
      </c>
      <c r="T17" s="853">
        <f>(G17+G18)/200</f>
        <v>0.52500000000000002</v>
      </c>
      <c r="U17" s="853">
        <f>Z17/R17/W17</f>
        <v>7.4873010592929085E-2</v>
      </c>
      <c r="V17" s="854">
        <v>20</v>
      </c>
      <c r="W17" s="854">
        <v>1</v>
      </c>
      <c r="X17" s="854"/>
      <c r="Y17" s="854"/>
      <c r="Z17" s="855">
        <f>AA17*T17</f>
        <v>1.6081424634332838E-3</v>
      </c>
      <c r="AA17" s="855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3" t="s">
        <v>273</v>
      </c>
      <c r="M18" s="1033" t="s">
        <v>273</v>
      </c>
      <c r="N18" s="864"/>
      <c r="O18" s="864"/>
      <c r="P18" s="864"/>
      <c r="Q18" s="865"/>
      <c r="R18" s="866"/>
      <c r="S18" s="864"/>
      <c r="T18" s="866"/>
      <c r="U18" s="864"/>
      <c r="V18" s="864"/>
      <c r="W18" s="864"/>
      <c r="X18" s="864"/>
      <c r="Y18" s="864"/>
      <c r="Z18" s="864"/>
      <c r="AA18" s="864"/>
      <c r="AB18" s="680"/>
      <c r="AC18" s="867" t="s">
        <v>273</v>
      </c>
      <c r="AD18" s="867"/>
      <c r="AE18" s="864"/>
      <c r="AF18" s="864"/>
      <c r="AG18" s="864"/>
      <c r="AH18" s="864"/>
      <c r="AI18" s="864"/>
      <c r="AJ18" s="864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7">
        <f>E19/SUM($E$7:$E$25)</f>
        <v>3.2493545802546068E-3</v>
      </c>
      <c r="R19" s="858">
        <f>Q19*DwellingStocks!$I$38/1000</f>
        <v>0.67196290416629567</v>
      </c>
      <c r="S19" s="859">
        <f>(R19*1000)/E19*DwellingStocks!$T$37-0.1377</f>
        <v>1.0019707013624293</v>
      </c>
      <c r="T19" s="868">
        <f>G19/100</f>
        <v>0.58177777777777773</v>
      </c>
      <c r="U19" s="860">
        <f>SUM(Z19:Z21)/R19/W19</f>
        <v>6.9528832827688458E-2</v>
      </c>
      <c r="V19" s="861">
        <v>20</v>
      </c>
      <c r="W19" s="861">
        <v>1</v>
      </c>
      <c r="X19" s="1044">
        <f>RSD_Balance!H2</f>
        <v>0.19400000000000001</v>
      </c>
      <c r="Y19" s="861">
        <v>5</v>
      </c>
      <c r="Z19" s="862">
        <f>AA19*$T$19</f>
        <v>9.0638345074561637E-3</v>
      </c>
      <c r="AA19" s="863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50"/>
      <c r="R20" s="851"/>
      <c r="S20" s="852"/>
      <c r="T20" s="869"/>
      <c r="U20" s="853"/>
      <c r="V20" s="854"/>
      <c r="W20" s="854"/>
      <c r="X20" s="1045">
        <f>RSD_Balance!H3</f>
        <v>0.74399999999999999</v>
      </c>
      <c r="Y20" s="854">
        <v>5</v>
      </c>
      <c r="Z20" s="855">
        <f t="shared" ref="Z20:Z21" si="3">AA20*$T$19</f>
        <v>3.4760272544058689E-2</v>
      </c>
      <c r="AA20" s="855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7"/>
      <c r="R21" s="858"/>
      <c r="S21" s="859"/>
      <c r="T21" s="868"/>
      <c r="U21" s="860"/>
      <c r="V21" s="861"/>
      <c r="W21" s="861"/>
      <c r="X21" s="1044">
        <f>RSD_Balance!H4</f>
        <v>6.2E-2</v>
      </c>
      <c r="Y21" s="861">
        <v>5</v>
      </c>
      <c r="Z21" s="862">
        <f t="shared" si="3"/>
        <v>2.8966893786715568E-3</v>
      </c>
      <c r="AA21" s="863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50">
        <f>(E20+E21+E22+E23)/SUM($E$7:$E$25)</f>
        <v>1.3872815217068756E-3</v>
      </c>
      <c r="R22" s="851">
        <f>Q22*DwellingStocks!$I$38/1000</f>
        <v>0.28688827187008514</v>
      </c>
      <c r="S22" s="852">
        <f>(R22*1000)/(E20+E21+E22+E23)*DwellingStocks!$T$37-0.1368</f>
        <v>1.0028707013624292</v>
      </c>
      <c r="T22" s="869">
        <f>(G21+G22+G23)/300</f>
        <v>0.6880451127819549</v>
      </c>
      <c r="U22" s="853">
        <f>Z22/R22/W22</f>
        <v>1.2758751790818573E-2</v>
      </c>
      <c r="V22" s="854">
        <v>20</v>
      </c>
      <c r="W22" s="854">
        <v>1</v>
      </c>
      <c r="X22" s="854"/>
      <c r="Y22" s="854"/>
      <c r="Z22" s="855">
        <f>AA22*T22</f>
        <v>3.6603362524872942E-3</v>
      </c>
      <c r="AA22" s="855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7">
        <f>E24/SUM($E$7:$E$25)</f>
        <v>6.5039021929434102E-2</v>
      </c>
      <c r="R23" s="858">
        <f>Q23*DwellingStocks!$I$38/1000</f>
        <v>13.449997216497518</v>
      </c>
      <c r="S23" s="859">
        <f>(R23*1000)/E24*DwellingStocks!$T$37</f>
        <v>1.139670701362429</v>
      </c>
      <c r="T23" s="868">
        <f>G24/100</f>
        <v>0.39838442187649958</v>
      </c>
      <c r="U23" s="860">
        <f>Z23/R23/W23</f>
        <v>1.1111193431909167E-3</v>
      </c>
      <c r="V23" s="861">
        <v>20</v>
      </c>
      <c r="W23" s="861">
        <v>1</v>
      </c>
      <c r="X23" s="861"/>
      <c r="Y23" s="861"/>
      <c r="Z23" s="862">
        <f>AA23*T23</f>
        <v>1.4944552073114381E-2</v>
      </c>
      <c r="AA23" s="863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50">
        <f>E12/SUM($E$7:$E$25)*0.15</f>
        <v>2.9576916228968214E-2</v>
      </c>
      <c r="R24" s="851">
        <f>Q24*DwellingStocks!$I$38/1000</f>
        <v>6.1164732978890308</v>
      </c>
      <c r="S24" s="852">
        <f>((R12+R24)*1000)/E12*DwellingStocks!$T$37+0.0095</f>
        <v>1.1491707013624293</v>
      </c>
      <c r="T24" s="869">
        <f>G12/100</f>
        <v>3.0701960784313722</v>
      </c>
      <c r="U24" s="853">
        <f>Z24/R24/W24</f>
        <v>5.0677847327291269E-2</v>
      </c>
      <c r="V24" s="854">
        <v>20</v>
      </c>
      <c r="W24" s="854">
        <v>1</v>
      </c>
      <c r="X24" s="854"/>
      <c r="Y24" s="854"/>
      <c r="Z24" s="855">
        <f>AA24*T24</f>
        <v>0.30996969997187401</v>
      </c>
      <c r="AA24" s="855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8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7"/>
      <c r="M25" s="867"/>
      <c r="N25" s="864"/>
      <c r="O25" s="864"/>
      <c r="P25" s="864"/>
      <c r="Q25" s="864"/>
      <c r="R25" s="866"/>
      <c r="S25" s="864"/>
      <c r="T25" s="866"/>
      <c r="U25" s="864"/>
      <c r="V25" s="864"/>
      <c r="W25" s="864"/>
      <c r="X25" s="864"/>
      <c r="Y25" s="864"/>
      <c r="Z25" s="864"/>
      <c r="AA25" s="864"/>
      <c r="AB25" s="680"/>
      <c r="AC25" s="870"/>
      <c r="AD25" s="870"/>
      <c r="AE25" s="870"/>
      <c r="AF25" s="870"/>
      <c r="AG25" s="870"/>
      <c r="AH25" s="870"/>
      <c r="AI25" s="870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7"/>
      <c r="M26" s="864"/>
      <c r="N26" s="864"/>
      <c r="O26" s="864"/>
      <c r="P26" s="864"/>
      <c r="Q26" s="864"/>
      <c r="R26" s="866"/>
      <c r="S26" s="864"/>
      <c r="T26" s="866"/>
      <c r="U26" s="864"/>
      <c r="V26" s="864"/>
      <c r="W26" s="864"/>
      <c r="X26" s="864"/>
      <c r="Y26" s="864"/>
      <c r="Z26" s="864"/>
      <c r="AA26" s="864"/>
      <c r="AB26" s="660"/>
      <c r="AC26" s="849"/>
      <c r="AD26" s="849"/>
      <c r="AE26" s="849"/>
      <c r="AF26" s="849"/>
      <c r="AG26" s="849"/>
      <c r="AH26" s="849"/>
      <c r="AI26" s="849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9"/>
      <c r="M27" s="849"/>
      <c r="N27" s="849"/>
      <c r="O27" s="849"/>
      <c r="P27" s="849"/>
      <c r="Q27" s="849"/>
      <c r="R27" s="844">
        <f>SUM(R6:R25)</f>
        <v>206.79888499999996</v>
      </c>
      <c r="S27" s="849"/>
      <c r="T27" s="849"/>
      <c r="U27" s="849"/>
      <c r="V27" s="849"/>
      <c r="W27" s="849"/>
      <c r="X27" s="849"/>
      <c r="Y27" s="849"/>
      <c r="Z27" s="842">
        <f>SUM(Z6:Z25)</f>
        <v>3.2990709907062121</v>
      </c>
      <c r="AA27" s="842">
        <f>SUM(AA6:AA25)</f>
        <v>2.8875500782856967</v>
      </c>
      <c r="AB27" s="660"/>
      <c r="AC27" s="849"/>
      <c r="AD27" s="849"/>
      <c r="AE27" s="849"/>
      <c r="AF27" s="849"/>
      <c r="AG27" s="849"/>
      <c r="AH27" s="849"/>
      <c r="AI27" s="849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6" t="s">
        <v>814</v>
      </c>
      <c r="C28" s="1147"/>
      <c r="D28" s="1147"/>
      <c r="E28" s="1147"/>
      <c r="F28" s="1147"/>
      <c r="G28" s="1148"/>
      <c r="H28" s="1146" t="s">
        <v>815</v>
      </c>
      <c r="I28" s="1147"/>
      <c r="J28" s="1148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9"/>
      <c r="AD28" s="849"/>
      <c r="AE28" s="849"/>
      <c r="AF28" s="849"/>
      <c r="AG28" s="849"/>
      <c r="AH28" s="849"/>
      <c r="AI28" s="849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4"/>
      <c r="AF29" s="1034"/>
      <c r="AG29" s="1034"/>
      <c r="AH29" s="1034"/>
      <c r="AI29" s="1034"/>
      <c r="AJ29" s="1034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1091" t="s">
        <v>983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2" t="s">
        <v>273</v>
      </c>
      <c r="AD31" s="872"/>
      <c r="AE31" s="872"/>
      <c r="AF31" s="873"/>
      <c r="AG31" s="872"/>
      <c r="AH31" s="872"/>
      <c r="AI31" s="872"/>
      <c r="AJ31" s="872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4" t="str">
        <f>"*"&amp; A31 &amp; " Rating"</f>
        <v>* Rating</v>
      </c>
      <c r="AD32" s="874"/>
      <c r="AE32" s="875"/>
      <c r="AF32" s="875"/>
      <c r="AG32" s="875"/>
      <c r="AH32" s="875"/>
      <c r="AI32" s="875"/>
      <c r="AJ32" s="875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50">
        <f>(E31+E38+E40)/SUM($E$31:$E$49)-($Q$50/7)</f>
        <v>3.5291010812410961E-4</v>
      </c>
      <c r="R33" s="851">
        <f>Q33*DwellingStocks!$I$38/1000</f>
        <v>7.2981416865295301E-2</v>
      </c>
      <c r="S33" s="947">
        <f>IFERROR((R33*1000)/(E31+E38+E40),0)-0.0955</f>
        <v>0.20986157684223974</v>
      </c>
      <c r="T33" s="853">
        <f t="shared" ref="T33:T39" si="5">T7</f>
        <v>0.59018803418803423</v>
      </c>
      <c r="U33" s="853">
        <f>IFERROR(Z33/R33/W33,0)</f>
        <v>6.3768329096572296E-3</v>
      </c>
      <c r="V33" s="854">
        <v>20</v>
      </c>
      <c r="W33" s="854">
        <v>1</v>
      </c>
      <c r="X33" s="854"/>
      <c r="Y33" s="854"/>
      <c r="Z33" s="855">
        <f t="shared" ref="Z33:Z39" si="6">AA33*T33</f>
        <v>4.6539030086002823E-4</v>
      </c>
      <c r="AA33" s="855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6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7">
        <f>E32/SUM($E$31:$E$49)</f>
        <v>2.9815590572310261E-5</v>
      </c>
      <c r="R34" s="858">
        <f>Q34*DwellingStocks!$I$38/1000</f>
        <v>6.1658308859702726E-3</v>
      </c>
      <c r="S34" s="859">
        <f>IFERROR((R34*1000)/E32,0)</f>
        <v>1.5414577214925682</v>
      </c>
      <c r="T34" s="868">
        <f t="shared" si="5"/>
        <v>0.9</v>
      </c>
      <c r="U34" s="860">
        <f t="shared" ref="U34:U39" si="8">Z34/R34/W34</f>
        <v>7.1004600000000011E-3</v>
      </c>
      <c r="V34" s="861">
        <v>20</v>
      </c>
      <c r="W34" s="861">
        <v>1</v>
      </c>
      <c r="X34" s="861"/>
      <c r="Y34" s="861"/>
      <c r="Z34" s="862">
        <f t="shared" si="6"/>
        <v>4.3780235572596489E-5</v>
      </c>
      <c r="AA34" s="863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50">
        <f>E33/SUM($E$31:$E$49)</f>
        <v>2.2361692929232695E-5</v>
      </c>
      <c r="R35" s="851">
        <f>Q35*DwellingStocks!$I$38/1000</f>
        <v>4.6243731644777042E-3</v>
      </c>
      <c r="S35" s="852">
        <f>IFERROR((R35*1000)/E33,0)</f>
        <v>1.5414577214925682</v>
      </c>
      <c r="T35" s="869">
        <f t="shared" si="5"/>
        <v>0.9</v>
      </c>
      <c r="U35" s="853">
        <f t="shared" si="8"/>
        <v>8.5546800000000003E-3</v>
      </c>
      <c r="V35" s="854">
        <v>20</v>
      </c>
      <c r="W35" s="854">
        <v>1</v>
      </c>
      <c r="X35" s="854"/>
      <c r="Y35" s="854"/>
      <c r="Z35" s="855">
        <f t="shared" si="6"/>
        <v>3.9560032622694131E-5</v>
      </c>
      <c r="AA35" s="855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9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6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7">
        <f>(E34+E35)/SUM($E$31:$E$49)-($Q$50/7)</f>
        <v>1.2920181534352884E-2</v>
      </c>
      <c r="R36" s="858">
        <f>(Q36)*DwellingStocks!$I$38/1000</f>
        <v>2.6718791353017655</v>
      </c>
      <c r="S36" s="859">
        <f>IFERROR((R36*1000)/(E34+E35),0)</f>
        <v>1.3879891611957222</v>
      </c>
      <c r="T36" s="860">
        <f t="shared" si="5"/>
        <v>0.80677902621722841</v>
      </c>
      <c r="U36" s="860">
        <f t="shared" si="8"/>
        <v>8.8234631689712521E-3</v>
      </c>
      <c r="V36" s="861">
        <v>20</v>
      </c>
      <c r="W36" s="861">
        <v>1</v>
      </c>
      <c r="X36" s="861"/>
      <c r="Y36" s="861"/>
      <c r="Z36" s="862">
        <f t="shared" si="6"/>
        <v>2.3575227142277885E-2</v>
      </c>
      <c r="AA36" s="863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50">
        <f>E49/SUM($E$31:$E$49)-($Q$50/7)</f>
        <v>0.28012005034575432</v>
      </c>
      <c r="R37" s="851">
        <f>Q37*DwellingStocks!$I$38/1000</f>
        <v>57.92851407764585</v>
      </c>
      <c r="S37" s="852">
        <f>IFERROR((R37*1000)/E49,0)+0.084</f>
        <v>1.6176363993870024</v>
      </c>
      <c r="T37" s="853">
        <f t="shared" si="5"/>
        <v>1</v>
      </c>
      <c r="U37" s="853">
        <f t="shared" si="8"/>
        <v>8.4736052016827264E-3</v>
      </c>
      <c r="V37" s="854">
        <v>20</v>
      </c>
      <c r="W37" s="854">
        <v>1</v>
      </c>
      <c r="X37" s="854"/>
      <c r="Y37" s="854"/>
      <c r="Z37" s="855">
        <f t="shared" si="6"/>
        <v>0.49086335821409094</v>
      </c>
      <c r="AA37" s="855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6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7">
        <f>E36/SUM($E$31:$E$49)-($Q$50/7)</f>
        <v>0.19656931166449795</v>
      </c>
      <c r="R38" s="858">
        <f>Q38*DwellingStocks!$I$38/1000</f>
        <v>40.650314477435671</v>
      </c>
      <c r="S38" s="859">
        <f>IFERROR((R38*1000)/E36,0)+0.084</f>
        <v>1.6143359740027734</v>
      </c>
      <c r="T38" s="860">
        <f t="shared" si="5"/>
        <v>3.0701960784313722</v>
      </c>
      <c r="U38" s="860">
        <f t="shared" si="8"/>
        <v>3.6997794108646502E-2</v>
      </c>
      <c r="V38" s="861">
        <v>20</v>
      </c>
      <c r="W38" s="861">
        <v>1</v>
      </c>
      <c r="X38" s="861"/>
      <c r="Y38" s="861"/>
      <c r="Z38" s="862">
        <f t="shared" si="6"/>
        <v>1.5039719654878971</v>
      </c>
      <c r="AA38" s="863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50">
        <f>E37/SUM($E$31:$E$49)-($Q$50/7)</f>
        <v>2.6940963000981786E-2</v>
      </c>
      <c r="R39" s="851">
        <f>Q39*DwellingStocks!$I$38/1000</f>
        <v>5.5713611094292865</v>
      </c>
      <c r="S39" s="947">
        <f>IFERROR((R39*1000)/E37,0)-0.414</f>
        <v>1.0498363398395394</v>
      </c>
      <c r="T39" s="853">
        <f t="shared" si="5"/>
        <v>0.81016216216216219</v>
      </c>
      <c r="U39" s="853">
        <f t="shared" si="8"/>
        <v>8.6288756048648746E-3</v>
      </c>
      <c r="V39" s="854">
        <v>20</v>
      </c>
      <c r="W39" s="854">
        <v>1</v>
      </c>
      <c r="X39" s="854"/>
      <c r="Y39" s="854"/>
      <c r="Z39" s="855">
        <f t="shared" si="6"/>
        <v>4.8074581963047272E-2</v>
      </c>
      <c r="AA39" s="855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3" t="s">
        <v>273</v>
      </c>
      <c r="M40" s="1033" t="s">
        <v>273</v>
      </c>
      <c r="N40" s="864"/>
      <c r="O40" s="864"/>
      <c r="P40" s="864"/>
      <c r="Q40" s="865"/>
      <c r="R40" s="866"/>
      <c r="S40" s="864"/>
      <c r="T40" s="866"/>
      <c r="U40" s="864"/>
      <c r="V40" s="864"/>
      <c r="W40" s="864"/>
      <c r="X40" s="864"/>
      <c r="Y40" s="864"/>
      <c r="Z40" s="864"/>
      <c r="AA40" s="864"/>
      <c r="AB40" s="660"/>
      <c r="AC40" s="867" t="s">
        <v>273</v>
      </c>
      <c r="AD40" s="867"/>
      <c r="AE40" s="864"/>
      <c r="AF40" s="864"/>
      <c r="AG40" s="864"/>
      <c r="AH40" s="864"/>
      <c r="AI40" s="864"/>
      <c r="AJ40" s="864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50">
        <f>E39/SUM($E$31:$E$49)-($Q$50/7)</f>
        <v>0.40480139622151279</v>
      </c>
      <c r="R41" s="851">
        <f>Q41*DwellingStocks!$I$38/1000</f>
        <v>83.71247738505204</v>
      </c>
      <c r="S41" s="947">
        <f>IFERROR((R41*1000)/E39,0)-0.441</f>
        <v>1.0950369435228544</v>
      </c>
      <c r="T41" s="853">
        <f>T15</f>
        <v>0.81026881720430111</v>
      </c>
      <c r="U41" s="853">
        <f>Z41/R41/W41</f>
        <v>7.099915576753736E-3</v>
      </c>
      <c r="V41" s="854">
        <v>20</v>
      </c>
      <c r="W41" s="854">
        <v>1</v>
      </c>
      <c r="X41" s="854"/>
      <c r="Y41" s="854"/>
      <c r="Z41" s="855">
        <f>AA41*T41</f>
        <v>0.59435152215477582</v>
      </c>
      <c r="AA41" s="855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71" t="s">
        <v>294</v>
      </c>
      <c r="AI41" s="871"/>
      <c r="AJ41" s="871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3" t="s">
        <v>273</v>
      </c>
      <c r="M42" s="1033" t="s">
        <v>273</v>
      </c>
      <c r="N42" s="864"/>
      <c r="O42" s="864"/>
      <c r="P42" s="864"/>
      <c r="Q42" s="865"/>
      <c r="R42" s="866"/>
      <c r="S42" s="864"/>
      <c r="T42" s="866"/>
      <c r="U42" s="864"/>
      <c r="V42" s="864"/>
      <c r="W42" s="864"/>
      <c r="X42" s="864"/>
      <c r="Y42" s="864"/>
      <c r="Z42" s="864"/>
      <c r="AA42" s="864"/>
      <c r="AB42" s="660"/>
      <c r="AC42" s="867" t="s">
        <v>273</v>
      </c>
      <c r="AD42" s="867"/>
      <c r="AE42" s="864"/>
      <c r="AF42" s="864"/>
      <c r="AG42" s="864"/>
      <c r="AH42" s="864"/>
      <c r="AI42" s="864"/>
      <c r="AJ42" s="864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50">
        <f>(E41+E42)/SUM($E$31:$E$49)</f>
        <v>9.6900669360008349E-5</v>
      </c>
      <c r="R43" s="851">
        <f>Q43*DwellingStocks!$I$38/1000</f>
        <v>2.0038950379403387E-2</v>
      </c>
      <c r="S43" s="852">
        <f>(R43*1000)/(E42+E41)</f>
        <v>1.5414577214925684</v>
      </c>
      <c r="T43" s="853">
        <f>T17</f>
        <v>0.52500000000000002</v>
      </c>
      <c r="U43" s="853">
        <f>Z43/R43/W43</f>
        <v>8.5740576923076933E-3</v>
      </c>
      <c r="V43" s="854">
        <v>20</v>
      </c>
      <c r="W43" s="854">
        <v>1</v>
      </c>
      <c r="X43" s="854"/>
      <c r="Y43" s="854"/>
      <c r="Z43" s="855">
        <f>AA43*T43</f>
        <v>1.7181511664629578E-4</v>
      </c>
      <c r="AA43" s="855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71" t="s">
        <v>294</v>
      </c>
      <c r="AI43" s="871"/>
      <c r="AJ43" s="871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3" t="s">
        <v>273</v>
      </c>
      <c r="M44" s="1033" t="s">
        <v>273</v>
      </c>
      <c r="N44" s="864"/>
      <c r="O44" s="864"/>
      <c r="P44" s="864"/>
      <c r="Q44" s="865"/>
      <c r="R44" s="866"/>
      <c r="S44" s="864"/>
      <c r="T44" s="866"/>
      <c r="U44" s="864"/>
      <c r="V44" s="864"/>
      <c r="W44" s="864"/>
      <c r="X44" s="864"/>
      <c r="Y44" s="864"/>
      <c r="Z44" s="864"/>
      <c r="AA44" s="864"/>
      <c r="AB44" s="660"/>
      <c r="AC44" s="867" t="s">
        <v>273</v>
      </c>
      <c r="AD44" s="867"/>
      <c r="AE44" s="864"/>
      <c r="AF44" s="864"/>
      <c r="AG44" s="864"/>
      <c r="AH44" s="864"/>
      <c r="AI44" s="864"/>
      <c r="AJ44" s="864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7">
        <f>E43/SUM($E$31:$E$49)</f>
        <v>2.9070200808002503E-3</v>
      </c>
      <c r="R45" s="858">
        <f>Q45*DwellingStocks!$I$38/1000</f>
        <v>0.6011685113821017</v>
      </c>
      <c r="S45" s="859">
        <f>(R45*1000)/E43-0.1377</f>
        <v>1.4037577214925685</v>
      </c>
      <c r="T45" s="868">
        <f>T19</f>
        <v>0.58177777777777773</v>
      </c>
      <c r="U45" s="860">
        <f>SUM(Z45:Z47)/R45/W45</f>
        <v>8.5332927933924746E-3</v>
      </c>
      <c r="V45" s="861">
        <v>20</v>
      </c>
      <c r="W45" s="861">
        <v>1</v>
      </c>
      <c r="X45" s="1044">
        <f>RSD_Balance!H2</f>
        <v>0.19400000000000001</v>
      </c>
      <c r="Y45" s="861">
        <v>5</v>
      </c>
      <c r="Z45" s="862">
        <f>AA45*$T$45</f>
        <v>9.9520970360352586E-4</v>
      </c>
      <c r="AA45" s="863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71" t="s">
        <v>294</v>
      </c>
      <c r="AI45" s="871"/>
      <c r="AJ45" s="871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50"/>
      <c r="R46" s="851"/>
      <c r="S46" s="852"/>
      <c r="T46" s="869"/>
      <c r="U46" s="853"/>
      <c r="V46" s="854"/>
      <c r="W46" s="854"/>
      <c r="X46" s="1045">
        <f>RSD_Balance!H3</f>
        <v>0.74399999999999999</v>
      </c>
      <c r="Y46" s="854">
        <v>5</v>
      </c>
      <c r="Z46" s="855">
        <f t="shared" ref="Z46:Z47" si="9">AA46*$T$45</f>
        <v>3.8166805127887796E-3</v>
      </c>
      <c r="AA46" s="855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7"/>
      <c r="R47" s="858"/>
      <c r="S47" s="859"/>
      <c r="T47" s="868"/>
      <c r="U47" s="860"/>
      <c r="V47" s="861"/>
      <c r="W47" s="861"/>
      <c r="X47" s="1044">
        <f>RSD_Balance!H4</f>
        <v>6.2E-2</v>
      </c>
      <c r="Y47" s="861">
        <v>5</v>
      </c>
      <c r="Z47" s="862">
        <f t="shared" si="9"/>
        <v>3.1805670939906498E-4</v>
      </c>
      <c r="AA47" s="863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71" t="s">
        <v>294</v>
      </c>
      <c r="AI47" s="871"/>
      <c r="AJ47" s="871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50">
        <f>(E47+E44+E45+E46)/SUM($E$31:$E$49)</f>
        <v>1.319339882824729E-3</v>
      </c>
      <c r="R48" s="851">
        <f>Q48*DwellingStocks!$I$38/1000</f>
        <v>0.27283801670418462</v>
      </c>
      <c r="S48" s="852">
        <f>(R48*1000)/(E47+E44+E45+E46)-0.1368</f>
        <v>1.4046577214925684</v>
      </c>
      <c r="T48" s="853">
        <f t="shared" ref="T48:T49" si="11">T22</f>
        <v>0.6880451127819549</v>
      </c>
      <c r="U48" s="853">
        <f>Z48/R48/W48</f>
        <v>7.6632802703553056E-3</v>
      </c>
      <c r="V48" s="854">
        <v>20</v>
      </c>
      <c r="W48" s="854">
        <v>1</v>
      </c>
      <c r="X48" s="854"/>
      <c r="Y48" s="854"/>
      <c r="Z48" s="855">
        <f>AA48*T48</f>
        <v>2.0908341904120492E-3</v>
      </c>
      <c r="AA48" s="855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8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6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7">
        <f>E48/SUM($E$31:$E$49)-($Q$50/7)</f>
        <v>6.3919749208289578E-2</v>
      </c>
      <c r="R49" s="858">
        <f>Q49*DwellingStocks!$I$38/1000</f>
        <v>13.218532865753916</v>
      </c>
      <c r="S49" s="859">
        <f>(R49*1000)/E48</f>
        <v>1.507760107876573</v>
      </c>
      <c r="T49" s="860">
        <f t="shared" si="11"/>
        <v>0.39838442187649958</v>
      </c>
      <c r="U49" s="860">
        <f>Z49/R49/W49</f>
        <v>3.0627633026508971E-4</v>
      </c>
      <c r="V49" s="861">
        <v>20</v>
      </c>
      <c r="W49" s="861">
        <v>1</v>
      </c>
      <c r="X49" s="861"/>
      <c r="Y49" s="861"/>
      <c r="Z49" s="862">
        <f>AA49*T49</f>
        <v>4.048523737611589E-3</v>
      </c>
      <c r="AA49" s="863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5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6">
        <v>0.01</v>
      </c>
      <c r="R50" s="851">
        <f>Q50*DwellingStocks!$I$38/1000</f>
        <v>2.0679888499999999</v>
      </c>
      <c r="S50" s="852">
        <f>MAX(S33:S49)</f>
        <v>1.6176363993870024</v>
      </c>
      <c r="T50" s="853">
        <v>1</v>
      </c>
      <c r="U50" s="853">
        <f>Z50/R50/W50</f>
        <v>8.6298729994523163E-3</v>
      </c>
      <c r="V50" s="854">
        <v>20</v>
      </c>
      <c r="W50" s="854">
        <v>1</v>
      </c>
      <c r="X50" s="854"/>
      <c r="Y50" s="854"/>
      <c r="Z50" s="855">
        <f>AA50*T50</f>
        <v>1.7846481139783446E-2</v>
      </c>
      <c r="AA50" s="855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7"/>
      <c r="M51" s="867"/>
      <c r="N51" s="864"/>
      <c r="O51" s="864"/>
      <c r="P51" s="864"/>
      <c r="Q51" s="864"/>
      <c r="R51" s="866"/>
      <c r="S51" s="864"/>
      <c r="T51" s="866"/>
      <c r="U51" s="864"/>
      <c r="V51" s="864"/>
      <c r="W51" s="864"/>
      <c r="X51" s="864"/>
      <c r="Y51" s="864"/>
      <c r="Z51" s="864"/>
      <c r="AA51" s="864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7"/>
      <c r="M52" s="864"/>
      <c r="N52" s="864"/>
      <c r="O52" s="864"/>
      <c r="P52" s="864"/>
      <c r="Q52" s="864"/>
      <c r="R52" s="866"/>
      <c r="S52" s="864"/>
      <c r="T52" s="866"/>
      <c r="U52" s="864"/>
      <c r="V52" s="864"/>
      <c r="W52" s="864"/>
      <c r="X52" s="864"/>
      <c r="Y52" s="864"/>
      <c r="Z52" s="864"/>
      <c r="AA52" s="864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3" t="s">
        <v>476</v>
      </c>
      <c r="D53" s="843" t="s">
        <v>477</v>
      </c>
      <c r="E53" s="843" t="s">
        <v>478</v>
      </c>
      <c r="F53" s="843" t="s">
        <v>479</v>
      </c>
      <c r="G53" s="700" t="s">
        <v>457</v>
      </c>
      <c r="H53" s="700" t="s">
        <v>458</v>
      </c>
      <c r="K53" s="660"/>
      <c r="L53" s="849"/>
      <c r="M53" s="849"/>
      <c r="N53" s="849"/>
      <c r="O53" s="849"/>
      <c r="P53" s="849"/>
      <c r="Q53" s="849"/>
      <c r="R53" s="844">
        <f>SUM(R31:R51)</f>
        <v>206.79888499999998</v>
      </c>
      <c r="S53" s="849"/>
      <c r="T53" s="849"/>
      <c r="U53" s="849"/>
      <c r="V53" s="849"/>
      <c r="W53" s="849"/>
      <c r="X53" s="849"/>
      <c r="Y53" s="849"/>
      <c r="Z53" s="842">
        <f>SUM(Z31:Z51)</f>
        <v>2.6906729866413892</v>
      </c>
      <c r="AA53" s="842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4"/>
      <c r="AF55" s="1034"/>
      <c r="AG55" s="1034"/>
      <c r="AH55" s="1034"/>
      <c r="AI55" s="1034"/>
      <c r="AJ55" s="1034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1091" t="s">
        <v>983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4" t="str">
        <f>_xlfn.TEXTJOIN(",",TRUE,IF(LEFT(Regions!$C$3,1)&lt;&gt;"*",Regions!$C$3,""),IF(LEFT(Regions!$D$3,1)&lt;&gt;"*",Regions!$D$3,""))</f>
        <v>IE,National</v>
      </c>
      <c r="M58" s="834" t="str">
        <f>LEFT(SETUP!B3,1)&amp;"-"&amp;RIGHT(COMM!$O$18,6)&amp;"_"&amp;SETUP!B64</f>
        <v>R-LT_Apt_X0</v>
      </c>
      <c r="N58" s="834" t="str">
        <f>COMM!$P$18&amp;" "&amp;SETUP!$C$64</f>
        <v>Residential Lighting Apartment Existing 00</v>
      </c>
      <c r="O58" s="834" t="str">
        <f>COMM!E24</f>
        <v>RSDELC</v>
      </c>
      <c r="P58" s="834" t="str">
        <f>COMM!$O$18</f>
        <v>RSDLT_Apt</v>
      </c>
      <c r="Q58" s="834">
        <v>1</v>
      </c>
      <c r="R58" s="834">
        <f>DwellingStocks!I38/1000</f>
        <v>206.79888499999998</v>
      </c>
      <c r="S58" s="834">
        <f>(R58*1000)/SUM(G54:G62)-0.188</f>
        <v>1.346150500382056</v>
      </c>
      <c r="T58" s="834">
        <f>D54/C54</f>
        <v>0.37037039770119351</v>
      </c>
      <c r="U58" s="834">
        <f>Z58/R58/W58</f>
        <v>5.9683993389879201E-4</v>
      </c>
      <c r="V58" s="835">
        <v>10</v>
      </c>
      <c r="W58" s="835">
        <v>1</v>
      </c>
      <c r="X58" s="835"/>
      <c r="Y58" s="835"/>
      <c r="Z58" s="836">
        <f>AA58*T58</f>
        <v>0.12342583285374388</v>
      </c>
      <c r="AA58" s="855">
        <f>((D54+D55+D56+D57+D58+D59+D60+D61+D62)*S58*$B$2)</f>
        <v>0.33324972411353743</v>
      </c>
      <c r="AB58" s="660"/>
      <c r="AC58" s="834" t="s">
        <v>285</v>
      </c>
      <c r="AD58" s="834" t="str">
        <f>_xlfn.TEXTJOIN(",",TRUE,IF(LEFT(Regions!$C$3,1)&lt;&gt;"*",Regions!$C$3,""),IF(LEFT(Regions!$D$3,1)&lt;&gt;"*",Regions!$D$3,""))</f>
        <v>IE,National</v>
      </c>
      <c r="AE58" s="834" t="str">
        <f>M58</f>
        <v>R-LT_Apt_X0</v>
      </c>
      <c r="AF58" s="834" t="str">
        <f>N58</f>
        <v>Residential Lighting Apartment Existing 00</v>
      </c>
      <c r="AG58" s="834" t="s">
        <v>16</v>
      </c>
      <c r="AH58" s="834" t="s">
        <v>294</v>
      </c>
      <c r="AI58" s="834"/>
      <c r="AJ58" s="834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7" t="str">
        <f>_xlfn.TEXTJOIN(",",TRUE,IF(LEFT(Regions!$C$3,1)&lt;&gt;"*",Regions!$C$3,""),IF(LEFT(Regions!$D$3,1)&lt;&gt;"*",Regions!$D$3,""))</f>
        <v>IE,National</v>
      </c>
      <c r="M59" s="837" t="str">
        <f>LEFT(SETUP!B3,1)&amp;"-"&amp;RIGHT(COMM!$O$21,6)&amp;"_"&amp;SETUP!$B$64</f>
        <v>R-PF_Apt_X0</v>
      </c>
      <c r="N59" s="837" t="str">
        <f>COMM!$P$21&amp;" "&amp;SETUP!$C$64</f>
        <v>Residential Pumps &amp; Fans Apartment Existing 00</v>
      </c>
      <c r="O59" s="837" t="str">
        <f>COMM!E24</f>
        <v>RSDELC</v>
      </c>
      <c r="P59" s="837" t="str">
        <f>COMM!$O$21</f>
        <v>RSDPF_Apt</v>
      </c>
      <c r="Q59" s="837">
        <v>1</v>
      </c>
      <c r="R59" s="837">
        <f>DwellingStocks!I38/1000</f>
        <v>206.79888499999998</v>
      </c>
      <c r="S59" s="837">
        <f>(R59*1000)/SUM(G54:G62)-0.188</f>
        <v>1.346150500382056</v>
      </c>
      <c r="T59" s="837">
        <f>D55/C55</f>
        <v>0.37037049989705056</v>
      </c>
      <c r="U59" s="837">
        <f>Z59/R59/W59</f>
        <v>1.2298414789219477E-4</v>
      </c>
      <c r="V59" s="838">
        <v>15</v>
      </c>
      <c r="W59" s="838">
        <v>1</v>
      </c>
      <c r="X59" s="838"/>
      <c r="Y59" s="838"/>
      <c r="Z59" s="839">
        <f>AA59*T59</f>
        <v>2.5432984656780976E-2</v>
      </c>
      <c r="AA59" s="863">
        <f>(F54+F55+F56+F57+F58+F59+F60+F61+F62)*S59*$B$2</f>
        <v>6.8669034558234018E-2</v>
      </c>
      <c r="AB59" s="660"/>
      <c r="AC59" s="837" t="s">
        <v>285</v>
      </c>
      <c r="AD59" s="837" t="str">
        <f>_xlfn.TEXTJOIN(",",TRUE,IF(LEFT(Regions!$C$3,1)&lt;&gt;"*",Regions!$C$3,""),IF(LEFT(Regions!$D$3,1)&lt;&gt;"*",Regions!$D$3,""))</f>
        <v>IE,National</v>
      </c>
      <c r="AE59" s="837" t="str">
        <f>M59</f>
        <v>R-PF_Apt_X0</v>
      </c>
      <c r="AF59" s="837" t="str">
        <f>N59</f>
        <v>Residential Pumps &amp; Fans Apartment Existing 00</v>
      </c>
      <c r="AG59" s="837" t="s">
        <v>16</v>
      </c>
      <c r="AH59" s="837" t="s">
        <v>294</v>
      </c>
      <c r="AI59" s="837"/>
      <c r="AJ59" s="837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1" workbookViewId="0">
      <selection activeCell="U4" sqref="U4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40" t="s">
        <v>639</v>
      </c>
      <c r="B2" s="841">
        <v>3.6E-9</v>
      </c>
      <c r="C2" s="840"/>
      <c r="D2" s="840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4"/>
      <c r="AF3" s="1034"/>
      <c r="AG3" s="1034"/>
      <c r="AH3" s="1034"/>
      <c r="AI3" s="1034"/>
      <c r="AJ3" s="1034"/>
      <c r="AK3" s="660"/>
      <c r="AL3" s="660"/>
      <c r="AM3" s="660"/>
      <c r="AN3" s="660"/>
      <c r="AO3" s="660"/>
    </row>
    <row r="4" spans="1:41" ht="15" customHeight="1" thickBot="1">
      <c r="A4" s="660"/>
      <c r="B4" s="1146" t="s">
        <v>814</v>
      </c>
      <c r="C4" s="1147"/>
      <c r="D4" s="1147"/>
      <c r="E4" s="1147"/>
      <c r="F4" s="1147"/>
      <c r="G4" s="1148"/>
      <c r="H4" s="1146" t="s">
        <v>815</v>
      </c>
      <c r="I4" s="1147"/>
      <c r="J4" s="1148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1091" t="s">
        <v>983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50">
        <f>(E7+E14+E16)/SUM($E$7:$E$25)</f>
        <v>1.6565651697171984E-2</v>
      </c>
      <c r="R7" s="851">
        <f>Q7*DwellingStocks!$J$38/1000</f>
        <v>12.695115687614317</v>
      </c>
      <c r="S7" s="947">
        <f>(R7*1000)/(E7+E14+E16)*DwellingStocks!$U$37-0.0955</f>
        <v>1.1966070314999231</v>
      </c>
      <c r="T7" s="853">
        <f>(G7+G14+G16)/300</f>
        <v>0.55798087905732663</v>
      </c>
      <c r="U7" s="853">
        <f>Z7/R7/W7</f>
        <v>0.10012798389155093</v>
      </c>
      <c r="V7" s="854">
        <v>20</v>
      </c>
      <c r="W7" s="854">
        <v>1</v>
      </c>
      <c r="X7" s="854"/>
      <c r="Y7" s="854"/>
      <c r="Z7" s="855">
        <f>AA7*T7</f>
        <v>1.2711363390708219</v>
      </c>
      <c r="AA7" s="855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7">
        <f>E8/SUM($E$7:$E$25)</f>
        <v>2.4098998686604574E-6</v>
      </c>
      <c r="R8" s="858">
        <f>Q8*DwellingStocks!$J$38/1000</f>
        <v>1.8468309117856149E-3</v>
      </c>
      <c r="S8" s="859">
        <f>(R8*1000)/E8*DwellingStocks!$U$37</f>
        <v>1.292107031499923</v>
      </c>
      <c r="T8" s="860">
        <f>(G8)/100</f>
        <v>1</v>
      </c>
      <c r="U8" s="860">
        <f>Z8/R8/W8</f>
        <v>1.5552879869479678E-2</v>
      </c>
      <c r="V8" s="861">
        <v>20</v>
      </c>
      <c r="W8" s="861">
        <v>1</v>
      </c>
      <c r="X8" s="861"/>
      <c r="Y8" s="861"/>
      <c r="Z8" s="862">
        <f>AA8*T8</f>
        <v>2.872353931024329E-5</v>
      </c>
      <c r="AA8" s="863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50">
        <f>E9/SUM($E$7:$E$25)</f>
        <v>0</v>
      </c>
      <c r="R9" s="851">
        <f>Q9*DwellingStocks!$J$38/1000</f>
        <v>0</v>
      </c>
      <c r="S9" s="852">
        <f>IFERROR((R9*1000)/E9*DwellingStocks!$U$37,0)</f>
        <v>0</v>
      </c>
      <c r="T9" s="869">
        <v>0.9</v>
      </c>
      <c r="U9" s="853">
        <f>IFERROR(Z9/R9/W9,0)</f>
        <v>0</v>
      </c>
      <c r="V9" s="854">
        <v>20</v>
      </c>
      <c r="W9" s="854">
        <v>1</v>
      </c>
      <c r="X9" s="854"/>
      <c r="Y9" s="854"/>
      <c r="Z9" s="855">
        <f>IFERROR(AA9*T9,0)</f>
        <v>0</v>
      </c>
      <c r="AA9" s="855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7">
        <f>(E10+E11)/SUM($E$7:$E$25)</f>
        <v>1.1165066091503898E-2</v>
      </c>
      <c r="R10" s="858">
        <f>(Q10)*DwellingStocks!$J$38/1000</f>
        <v>8.5563676143027525</v>
      </c>
      <c r="S10" s="859">
        <f>(R10*1000)/(E10+E11)*DwellingStocks!$U$37+0.1525</f>
        <v>1.4446070314999231</v>
      </c>
      <c r="T10" s="860">
        <f>(G10+G11)/200</f>
        <v>0.8070757743362833</v>
      </c>
      <c r="U10" s="860">
        <f t="shared" ref="U10:U23" si="1">Z10/R10/W10</f>
        <v>2.3818929075767371E-2</v>
      </c>
      <c r="V10" s="861">
        <v>20</v>
      </c>
      <c r="W10" s="861">
        <v>1</v>
      </c>
      <c r="X10" s="861"/>
      <c r="Y10" s="861"/>
      <c r="Z10" s="862">
        <f>AA10*T10</f>
        <v>0.20380351335127012</v>
      </c>
      <c r="AA10" s="863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50">
        <f>E25/SUM($E$7:$E$25)</f>
        <v>3.0714173826077527E-2</v>
      </c>
      <c r="R11" s="851">
        <f>(Q11)*DwellingStocks!$J$38/1000</f>
        <v>23.537859970707661</v>
      </c>
      <c r="S11" s="852">
        <f>(R11*1000)/(E25)*DwellingStocks!$U$37+0.084</f>
        <v>1.3761070314999231</v>
      </c>
      <c r="T11" s="853">
        <f>(G25)/100</f>
        <v>1</v>
      </c>
      <c r="U11" s="853">
        <f t="shared" si="1"/>
        <v>3.1937946954073607E-2</v>
      </c>
      <c r="V11" s="854">
        <v>20</v>
      </c>
      <c r="W11" s="854">
        <v>1</v>
      </c>
      <c r="X11" s="854"/>
      <c r="Y11" s="854"/>
      <c r="Z11" s="855">
        <f>AA11*T11</f>
        <v>0.75175092315687375</v>
      </c>
      <c r="AA11" s="855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8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7">
        <f>E12/SUM($E$7:$E$25)*0.85</f>
        <v>4.5067175958838905E-2</v>
      </c>
      <c r="R12" s="858">
        <f>Q12*DwellingStocks!$J$38/1000</f>
        <v>34.537307856666011</v>
      </c>
      <c r="S12" s="859">
        <f>(R12*1000)/E12*DwellingStocks!$U$37+0.084</f>
        <v>1.1822909767749343</v>
      </c>
      <c r="T12" s="860">
        <f>G12/100</f>
        <v>3.1157627118644071</v>
      </c>
      <c r="U12" s="860">
        <f t="shared" si="1"/>
        <v>1.7368578205622303E-2</v>
      </c>
      <c r="V12" s="861">
        <v>20</v>
      </c>
      <c r="W12" s="861">
        <v>1</v>
      </c>
      <c r="X12" s="861"/>
      <c r="Y12" s="861"/>
      <c r="Z12" s="862">
        <f>AA12*T12</f>
        <v>0.59986393252015724</v>
      </c>
      <c r="AA12" s="863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50">
        <f>E13/SUM($E$7:$E$25)</f>
        <v>0.29959152197226208</v>
      </c>
      <c r="R13" s="851">
        <f>Q13*DwellingStocks!$J$38/1000</f>
        <v>229.5924784604523</v>
      </c>
      <c r="S13" s="852">
        <f>(R13*1000)/E13*DwellingStocks!$U$37</f>
        <v>1.292107031499923</v>
      </c>
      <c r="T13" s="853">
        <f>G13/100</f>
        <v>0.81941558441558437</v>
      </c>
      <c r="U13" s="853">
        <f t="shared" si="1"/>
        <v>2.3904596338409464E-2</v>
      </c>
      <c r="V13" s="854">
        <v>20</v>
      </c>
      <c r="W13" s="854">
        <v>1</v>
      </c>
      <c r="X13" s="854"/>
      <c r="Y13" s="854"/>
      <c r="Z13" s="855">
        <f>AA13*T13</f>
        <v>5.4883155199320814</v>
      </c>
      <c r="AA13" s="855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3" t="s">
        <v>273</v>
      </c>
      <c r="M14" s="1033" t="s">
        <v>273</v>
      </c>
      <c r="N14" s="864"/>
      <c r="O14" s="864"/>
      <c r="P14" s="864"/>
      <c r="Q14" s="865"/>
      <c r="R14" s="866"/>
      <c r="S14" s="864"/>
      <c r="T14" s="866"/>
      <c r="U14" s="864"/>
      <c r="V14" s="864"/>
      <c r="W14" s="864"/>
      <c r="X14" s="864"/>
      <c r="Y14" s="864"/>
      <c r="Z14" s="864"/>
      <c r="AA14" s="864"/>
      <c r="AB14" s="680"/>
      <c r="AC14" s="867" t="s">
        <v>273</v>
      </c>
      <c r="AD14" s="867"/>
      <c r="AE14" s="864"/>
      <c r="AF14" s="864"/>
      <c r="AG14" s="864"/>
      <c r="AH14" s="864"/>
      <c r="AI14" s="864"/>
      <c r="AJ14" s="864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50">
        <f>E15/SUM($E$7:$E$25)</f>
        <v>0.54312877299948192</v>
      </c>
      <c r="R15" s="851">
        <f>Q15*DwellingStocks!$J$38/1000</f>
        <v>416.2276699127712</v>
      </c>
      <c r="S15" s="852">
        <f>(R15*1000)/E15*DwellingStocks!$U$37</f>
        <v>1.292107031499923</v>
      </c>
      <c r="T15" s="853">
        <f>G15/100</f>
        <v>0.81729411764705884</v>
      </c>
      <c r="U15" s="853">
        <f t="shared" si="1"/>
        <v>2.2095891324020785E-2</v>
      </c>
      <c r="V15" s="854">
        <v>20</v>
      </c>
      <c r="W15" s="854">
        <v>1</v>
      </c>
      <c r="X15" s="854"/>
      <c r="Y15" s="854"/>
      <c r="Z15" s="855">
        <f>AA15*T15</f>
        <v>9.1969213604429889</v>
      </c>
      <c r="AA15" s="855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3" t="s">
        <v>273</v>
      </c>
      <c r="M16" s="1033" t="s">
        <v>273</v>
      </c>
      <c r="N16" s="864"/>
      <c r="O16" s="864"/>
      <c r="P16" s="864"/>
      <c r="Q16" s="865"/>
      <c r="R16" s="866"/>
      <c r="S16" s="864"/>
      <c r="T16" s="866"/>
      <c r="U16" s="864"/>
      <c r="V16" s="864"/>
      <c r="W16" s="864"/>
      <c r="X16" s="864"/>
      <c r="Y16" s="864"/>
      <c r="Z16" s="864"/>
      <c r="AA16" s="864"/>
      <c r="AB16" s="680"/>
      <c r="AC16" s="867" t="s">
        <v>273</v>
      </c>
      <c r="AD16" s="867"/>
      <c r="AE16" s="864"/>
      <c r="AF16" s="864"/>
      <c r="AG16" s="864"/>
      <c r="AH16" s="864"/>
      <c r="AI16" s="864"/>
      <c r="AJ16" s="864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50">
        <f>(E17+E18)/SUM($E$7:$E$25)</f>
        <v>1.4917280187008229E-3</v>
      </c>
      <c r="R17" s="851">
        <f>Q17*DwellingStocks!$J$38/1000</f>
        <v>1.1431883343952955</v>
      </c>
      <c r="S17" s="852">
        <f>(R17*1000)/(E17+E18)*DwellingStocks!$U$37</f>
        <v>1.2921070314999228</v>
      </c>
      <c r="T17" s="853">
        <f>(G17+G18)/200</f>
        <v>0.5509294871794872</v>
      </c>
      <c r="U17" s="853">
        <f t="shared" si="1"/>
        <v>4.4713982884345679E-2</v>
      </c>
      <c r="V17" s="854">
        <v>20</v>
      </c>
      <c r="W17" s="854">
        <v>1</v>
      </c>
      <c r="X17" s="854"/>
      <c r="Y17" s="854"/>
      <c r="Z17" s="855">
        <f>AA17*T17</f>
        <v>5.1116503617734892E-2</v>
      </c>
      <c r="AA17" s="855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3" t="s">
        <v>273</v>
      </c>
      <c r="M18" s="1033" t="s">
        <v>273</v>
      </c>
      <c r="N18" s="864"/>
      <c r="O18" s="864"/>
      <c r="P18" s="864"/>
      <c r="Q18" s="865"/>
      <c r="R18" s="866"/>
      <c r="S18" s="864"/>
      <c r="T18" s="866"/>
      <c r="U18" s="864"/>
      <c r="V18" s="864"/>
      <c r="W18" s="864"/>
      <c r="X18" s="864"/>
      <c r="Y18" s="864"/>
      <c r="Z18" s="864"/>
      <c r="AA18" s="864"/>
      <c r="AB18" s="680"/>
      <c r="AC18" s="867" t="s">
        <v>273</v>
      </c>
      <c r="AD18" s="867"/>
      <c r="AE18" s="864"/>
      <c r="AF18" s="864"/>
      <c r="AG18" s="864"/>
      <c r="AH18" s="864"/>
      <c r="AI18" s="864"/>
      <c r="AJ18" s="864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7">
        <f>E19/SUM($E$7:$E$25)</f>
        <v>4.0705618681543779E-2</v>
      </c>
      <c r="R19" s="858">
        <f>Q19*DwellingStocks!$J$38/1000</f>
        <v>31.194820930970817</v>
      </c>
      <c r="S19" s="859">
        <f>(R19*1000)/E19*DwellingStocks!$U$37-0.1377</f>
        <v>1.1544070314999231</v>
      </c>
      <c r="T19" s="868">
        <f>G19/100</f>
        <v>0.57113772455089817</v>
      </c>
      <c r="U19" s="860">
        <f>SUM(Z19:Z21)/R19/W19</f>
        <v>4.6440816123458219E-2</v>
      </c>
      <c r="V19" s="861">
        <v>20</v>
      </c>
      <c r="W19" s="861">
        <v>1</v>
      </c>
      <c r="X19" s="1044">
        <f>RSD_Balance!$H$2</f>
        <v>0.19400000000000001</v>
      </c>
      <c r="Y19" s="861">
        <v>5</v>
      </c>
      <c r="Z19" s="862">
        <f>AA19*$T$19</f>
        <v>0.28105031091472776</v>
      </c>
      <c r="AA19" s="863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50"/>
      <c r="R20" s="851"/>
      <c r="S20" s="852"/>
      <c r="T20" s="869"/>
      <c r="U20" s="853"/>
      <c r="V20" s="854"/>
      <c r="W20" s="854"/>
      <c r="X20" s="1045">
        <f>RSD_Balance!$H$3</f>
        <v>0.74399999999999999</v>
      </c>
      <c r="Y20" s="854">
        <v>5</v>
      </c>
      <c r="Z20" s="855">
        <f t="shared" ref="Z20:Z21" si="2">AA20*$T$19</f>
        <v>1.0778424294874096</v>
      </c>
      <c r="AA20" s="855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7"/>
      <c r="R21" s="858"/>
      <c r="S21" s="859"/>
      <c r="T21" s="868"/>
      <c r="U21" s="860"/>
      <c r="V21" s="861"/>
      <c r="W21" s="861"/>
      <c r="X21" s="1044">
        <f>RSD_Balance!$H$4</f>
        <v>6.2E-2</v>
      </c>
      <c r="Y21" s="861">
        <v>5</v>
      </c>
      <c r="Z21" s="862">
        <f t="shared" si="2"/>
        <v>8.9820202457284129E-2</v>
      </c>
      <c r="AA21" s="863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50">
        <f>(E20+E21+E22+E23)/SUM($E$7:$E$25)</f>
        <v>1.1639816365630008E-3</v>
      </c>
      <c r="R22" s="851">
        <f>Q22*DwellingStocks!$J$38/1000</f>
        <v>0.89201933039245196</v>
      </c>
      <c r="S22" s="852">
        <f>(R22*1000)/(E20+E21+E22+E23)*DwellingStocks!$U$37-0.1368</f>
        <v>1.155307031499923</v>
      </c>
      <c r="T22" s="853">
        <f>(G21+G22+G23)/300</f>
        <v>0.70400656814449913</v>
      </c>
      <c r="U22" s="853">
        <f t="shared" si="1"/>
        <v>5.6329489829771769E-2</v>
      </c>
      <c r="V22" s="854">
        <v>20</v>
      </c>
      <c r="W22" s="854">
        <v>1</v>
      </c>
      <c r="X22" s="854"/>
      <c r="Y22" s="854"/>
      <c r="Z22" s="855">
        <f>AA22*T22</f>
        <v>5.0246993799301448E-2</v>
      </c>
      <c r="AA22" s="855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6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7">
        <f>E24/SUM($E$7:$E$25)</f>
        <v>2.4508681664276851E-3</v>
      </c>
      <c r="R23" s="858">
        <f>Q23*DwellingStocks!$J$38/1000</f>
        <v>1.8782270372859704</v>
      </c>
      <c r="S23" s="859">
        <f>(R23*1000)/E24*DwellingStocks!$U$37</f>
        <v>1.292107031499923</v>
      </c>
      <c r="T23" s="860">
        <f>G24/100</f>
        <v>0.60949973059968388</v>
      </c>
      <c r="U23" s="860">
        <f t="shared" si="1"/>
        <v>1.4426391204160484E-2</v>
      </c>
      <c r="V23" s="861">
        <v>20</v>
      </c>
      <c r="W23" s="861">
        <v>1</v>
      </c>
      <c r="X23" s="861"/>
      <c r="Y23" s="861"/>
      <c r="Z23" s="862">
        <f>AA23*T23</f>
        <v>2.7096038010118728E-2</v>
      </c>
      <c r="AA23" s="863">
        <f>IF(((D24+I24)*$B$2)&lt;=0,0,((D24+I24)*S23*$B$2))</f>
        <v>4.4456193579378724E-2</v>
      </c>
      <c r="AB23" s="680"/>
      <c r="AC23" s="870"/>
      <c r="AD23" s="870"/>
      <c r="AE23" s="870"/>
      <c r="AF23" s="870"/>
      <c r="AG23" s="870"/>
      <c r="AH23" s="870"/>
      <c r="AI23" s="870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50">
        <f>E12/SUM($E$7:$E$25)*0.15</f>
        <v>7.9530310515598078E-3</v>
      </c>
      <c r="R24" s="851">
        <f>Q24*DwellingStocks!$J$38/1000</f>
        <v>6.0948190335292969</v>
      </c>
      <c r="S24" s="852">
        <f>(R12*1000)/E12*DwellingStocks!$U$37+0.0095</f>
        <v>1.1077909767749343</v>
      </c>
      <c r="T24" s="853">
        <f>G12/100</f>
        <v>3.1157627118644071</v>
      </c>
      <c r="U24" s="853">
        <f t="shared" ref="U24" si="5">Z24/R24/W24</f>
        <v>0.23960518419681515</v>
      </c>
      <c r="V24" s="854">
        <v>20</v>
      </c>
      <c r="W24" s="854">
        <v>1</v>
      </c>
      <c r="X24" s="854"/>
      <c r="Y24" s="854"/>
      <c r="Z24" s="855">
        <f>AA24*T24</f>
        <v>1.4603502371750421</v>
      </c>
      <c r="AA24" s="855">
        <f>RSD_Balance!G22</f>
        <v>0.46869751397120968</v>
      </c>
      <c r="AB24" s="680"/>
      <c r="AC24" s="870"/>
      <c r="AD24" s="870"/>
      <c r="AE24" s="870"/>
      <c r="AF24" s="870"/>
      <c r="AG24" s="870"/>
      <c r="AH24" s="870"/>
      <c r="AI24" s="870"/>
      <c r="AJ24" s="660"/>
      <c r="AK24" s="660"/>
      <c r="AL24" s="660"/>
      <c r="AM24" s="660"/>
      <c r="AN24" s="660"/>
      <c r="AO24" s="660"/>
    </row>
    <row r="25" spans="1:46">
      <c r="A25" s="848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7"/>
      <c r="M25" s="1033"/>
      <c r="N25" s="864"/>
      <c r="O25" s="864"/>
      <c r="P25" s="864"/>
      <c r="Q25" s="864"/>
      <c r="R25" s="866"/>
      <c r="S25" s="864"/>
      <c r="T25" s="866"/>
      <c r="U25" s="864"/>
      <c r="V25" s="864"/>
      <c r="W25" s="864"/>
      <c r="X25" s="864"/>
      <c r="Y25" s="864"/>
      <c r="Z25" s="864"/>
      <c r="AA25" s="864"/>
      <c r="AB25" s="680"/>
      <c r="AC25" s="870"/>
      <c r="AD25" s="870"/>
      <c r="AE25" s="870"/>
      <c r="AF25" s="870"/>
      <c r="AG25" s="870"/>
      <c r="AH25" s="870"/>
      <c r="AI25" s="870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7"/>
      <c r="M26" s="864"/>
      <c r="N26" s="864"/>
      <c r="O26" s="864"/>
      <c r="P26" s="864"/>
      <c r="Q26" s="864"/>
      <c r="R26" s="866"/>
      <c r="S26" s="864"/>
      <c r="T26" s="866"/>
      <c r="U26" s="864"/>
      <c r="V26" s="864"/>
      <c r="W26" s="864"/>
      <c r="X26" s="864"/>
      <c r="Y26" s="864"/>
      <c r="Z26" s="864"/>
      <c r="AA26" s="864"/>
      <c r="AB26" s="660"/>
      <c r="AC26" s="849"/>
      <c r="AD26" s="849"/>
      <c r="AE26" s="849"/>
      <c r="AF26" s="849"/>
      <c r="AG26" s="849"/>
      <c r="AH26" s="849"/>
      <c r="AI26" s="849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9"/>
      <c r="M27" s="849"/>
      <c r="N27" s="849"/>
      <c r="O27" s="849"/>
      <c r="P27" s="849"/>
      <c r="Q27" s="849"/>
      <c r="R27" s="844">
        <f>SUM(R6:R25)</f>
        <v>766.351721</v>
      </c>
      <c r="S27" s="849"/>
      <c r="T27" s="849"/>
      <c r="U27" s="849"/>
      <c r="V27" s="849"/>
      <c r="W27" s="849"/>
      <c r="X27" s="849"/>
      <c r="Y27" s="849"/>
      <c r="Z27" s="842">
        <f>SUM(Z6:Z25)</f>
        <v>20.549343027475125</v>
      </c>
      <c r="AA27" s="842">
        <f>SUM(AA6:AA25)</f>
        <v>24.63950585517588</v>
      </c>
      <c r="AB27" s="660"/>
      <c r="AC27" s="849"/>
      <c r="AD27" s="849"/>
      <c r="AE27" s="849"/>
      <c r="AF27" s="660"/>
      <c r="AG27" s="849"/>
      <c r="AH27" s="849"/>
      <c r="AI27" s="849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6" t="s">
        <v>814</v>
      </c>
      <c r="C28" s="1147"/>
      <c r="D28" s="1147"/>
      <c r="E28" s="1147"/>
      <c r="F28" s="1147"/>
      <c r="G28" s="1148"/>
      <c r="H28" s="1146" t="s">
        <v>815</v>
      </c>
      <c r="I28" s="1147"/>
      <c r="J28" s="1148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9"/>
      <c r="AD28" s="849"/>
      <c r="AE28" s="849"/>
      <c r="AF28" s="849"/>
      <c r="AG28" s="849"/>
      <c r="AH28" s="849"/>
      <c r="AI28" s="849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4"/>
      <c r="AF29" s="1034"/>
      <c r="AG29" s="1034"/>
      <c r="AH29" s="1034"/>
      <c r="AI29" s="1034"/>
      <c r="AJ29" s="1034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1091" t="s">
        <v>983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2" t="s">
        <v>273</v>
      </c>
      <c r="AD31" s="872"/>
      <c r="AE31" s="872"/>
      <c r="AF31" s="873"/>
      <c r="AG31" s="872"/>
      <c r="AH31" s="872"/>
      <c r="AI31" s="872"/>
      <c r="AJ31" s="872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4" t="str">
        <f>"*"&amp; A31 &amp; " Rating"</f>
        <v>* Rating</v>
      </c>
      <c r="AD32" s="874"/>
      <c r="AE32" s="875"/>
      <c r="AF32" s="875"/>
      <c r="AG32" s="875"/>
      <c r="AH32" s="875"/>
      <c r="AI32" s="875"/>
      <c r="AJ32" s="875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50">
        <f>(E31+E38+E40)/SUM($E$31:$E$49)-($Q$50/7)</f>
        <v>1.4005877019013029E-2</v>
      </c>
      <c r="R33" s="851">
        <f>Q33*DwellingStocks!$J$38/1000</f>
        <v>10.733427957634982</v>
      </c>
      <c r="S33" s="947">
        <f>IFERROR((R33*1000)/(E31+E38+E40),0)-0.0955</f>
        <v>1.5905552870931483</v>
      </c>
      <c r="T33" s="853">
        <f>T7</f>
        <v>0.55798087905732663</v>
      </c>
      <c r="U33" s="853">
        <f>IFERROR(Z33/R33/W33,0)</f>
        <v>9.3819421193711786E-3</v>
      </c>
      <c r="V33" s="854">
        <v>20</v>
      </c>
      <c r="W33" s="854">
        <v>1</v>
      </c>
      <c r="X33" s="854"/>
      <c r="Y33" s="854"/>
      <c r="Z33" s="855">
        <f>AA33*T33</f>
        <v>0.1007003998409718</v>
      </c>
      <c r="AA33" s="855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6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7">
        <f>E32/SUM($E$31:$E$49)</f>
        <v>7.2735383824620442E-6</v>
      </c>
      <c r="R34" s="858">
        <f>Q34*DwellingStocks!$J$38/1000</f>
        <v>5.574088657159343E-3</v>
      </c>
      <c r="S34" s="859">
        <f>IFERROR((R34*1000)/E32,0)</f>
        <v>1.8580295523864476</v>
      </c>
      <c r="T34" s="860">
        <f>T8</f>
        <v>1</v>
      </c>
      <c r="U34" s="860">
        <f>Z34/R34/W34</f>
        <v>1.4020800000000002E-2</v>
      </c>
      <c r="V34" s="861">
        <v>20</v>
      </c>
      <c r="W34" s="861">
        <v>1</v>
      </c>
      <c r="X34" s="861"/>
      <c r="Y34" s="861"/>
      <c r="Z34" s="862">
        <f>AA34*T34</f>
        <v>7.8153182244299725E-5</v>
      </c>
      <c r="AA34" s="863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50">
        <f>E33/SUM($E$31:$E$49)</f>
        <v>2.4245127941540146E-6</v>
      </c>
      <c r="R35" s="851">
        <f>Q35*DwellingStocks!$J$38/1000</f>
        <v>1.8580295523864473E-3</v>
      </c>
      <c r="S35" s="852">
        <f>IFERROR((R35*1000)/E33,0)</f>
        <v>1.8580295523864474</v>
      </c>
      <c r="T35" s="869">
        <v>0.9</v>
      </c>
      <c r="U35" s="853">
        <f>IFERROR(Z35/R35/W35,0)</f>
        <v>1.059804E-2</v>
      </c>
      <c r="V35" s="854">
        <v>20</v>
      </c>
      <c r="W35" s="854">
        <v>1</v>
      </c>
      <c r="X35" s="854"/>
      <c r="Y35" s="854"/>
      <c r="Z35" s="855">
        <f>IFERROR(AA35*T35,0)</f>
        <v>1.9691471517373664E-5</v>
      </c>
      <c r="AA35" s="855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9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6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7">
        <f>(E34+E35)/SUM($E$31:$E$49)-($Q$50/7)</f>
        <v>9.9423935760109012E-3</v>
      </c>
      <c r="R36" s="858">
        <f>(Q36)*DwellingStocks!$J$38/1000</f>
        <v>7.6193704278352961</v>
      </c>
      <c r="S36" s="859">
        <f>IFERROR((R36*1000)/(E34+E35),0)</f>
        <v>1.6245992383444128</v>
      </c>
      <c r="T36" s="860">
        <f>T10</f>
        <v>0.8070757743362833</v>
      </c>
      <c r="U36" s="860">
        <f t="shared" ref="U36:U43" si="7">Z36/R36/W36</f>
        <v>1.1663366309857776E-2</v>
      </c>
      <c r="V36" s="861">
        <v>20</v>
      </c>
      <c r="W36" s="861">
        <v>1</v>
      </c>
      <c r="X36" s="861"/>
      <c r="Y36" s="861"/>
      <c r="Z36" s="862">
        <f>AA36*T36</f>
        <v>8.8867508350340824E-2</v>
      </c>
      <c r="AA36" s="863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50">
        <f>E49/SUM($E$31:$E$49)-($Q$50/7)</f>
        <v>2.947184413292149E-2</v>
      </c>
      <c r="R37" s="851">
        <f>Q37*DwellingStocks!$J$38/1000</f>
        <v>22.585798472308131</v>
      </c>
      <c r="S37" s="852">
        <f>IFERROR((R37*1000)/E49,0)+0.084</f>
        <v>1.856130127289771</v>
      </c>
      <c r="T37" s="853">
        <f>T11</f>
        <v>1</v>
      </c>
      <c r="U37" s="853">
        <f t="shared" si="7"/>
        <v>1.2927568470304917E-2</v>
      </c>
      <c r="V37" s="854">
        <v>20</v>
      </c>
      <c r="W37" s="854">
        <v>1</v>
      </c>
      <c r="X37" s="854"/>
      <c r="Y37" s="854"/>
      <c r="Z37" s="855">
        <f>AA37*T37</f>
        <v>0.29197945620727156</v>
      </c>
      <c r="AA37" s="855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6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7">
        <f>E36/SUM($E$31:$E$49)-($Q$50/7)</f>
        <v>5.1171233640599917E-2</v>
      </c>
      <c r="R38" s="858">
        <f>Q38*DwellingStocks!$J$38/1000</f>
        <v>39.215162966166837</v>
      </c>
      <c r="S38" s="859">
        <f>IFERROR((R38*1000)/E36,0)+0.084</f>
        <v>1.8915668571637168</v>
      </c>
      <c r="T38" s="860">
        <f>T12</f>
        <v>3.1157627118644071</v>
      </c>
      <c r="U38" s="860">
        <f t="shared" si="7"/>
        <v>2.3641548707263999E-2</v>
      </c>
      <c r="V38" s="861">
        <v>20</v>
      </c>
      <c r="W38" s="861">
        <v>1</v>
      </c>
      <c r="X38" s="861"/>
      <c r="Y38" s="861"/>
      <c r="Z38" s="862">
        <f>AA38*T38</f>
        <v>0.92710718532792857</v>
      </c>
      <c r="AA38" s="863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50">
        <f>E37/SUM($E$31:$E$49)-($Q$50/7)</f>
        <v>0.2981830216218051</v>
      </c>
      <c r="R39" s="851">
        <f>Q39*DwellingStocks!$J$38/1000</f>
        <v>228.51307179285047</v>
      </c>
      <c r="S39" s="947">
        <f>IFERROR((R39*1000)/E37,0)-0.414</f>
        <v>1.43517032265853</v>
      </c>
      <c r="T39" s="853">
        <f>T13</f>
        <v>0.81941558441558437</v>
      </c>
      <c r="U39" s="853">
        <f t="shared" si="7"/>
        <v>9.409138242511092E-3</v>
      </c>
      <c r="V39" s="854">
        <v>20</v>
      </c>
      <c r="W39" s="854">
        <v>1</v>
      </c>
      <c r="X39" s="854"/>
      <c r="Y39" s="854"/>
      <c r="Z39" s="855">
        <f>AA39*T39</f>
        <v>2.1501110827197922</v>
      </c>
      <c r="AA39" s="855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7" t="s">
        <v>273</v>
      </c>
      <c r="M40" s="867" t="s">
        <v>273</v>
      </c>
      <c r="N40" s="864"/>
      <c r="O40" s="864"/>
      <c r="P40" s="864"/>
      <c r="Q40" s="865"/>
      <c r="R40" s="866"/>
      <c r="S40" s="864"/>
      <c r="T40" s="866"/>
      <c r="U40" s="864"/>
      <c r="V40" s="864"/>
      <c r="W40" s="864"/>
      <c r="X40" s="864"/>
      <c r="Y40" s="864"/>
      <c r="Z40" s="864"/>
      <c r="AA40" s="864"/>
      <c r="AB40" s="660"/>
      <c r="AC40" s="867" t="s">
        <v>273</v>
      </c>
      <c r="AD40" s="867"/>
      <c r="AE40" s="864"/>
      <c r="AF40" s="864"/>
      <c r="AG40" s="864"/>
      <c r="AH40" s="864"/>
      <c r="AI40" s="864"/>
      <c r="AJ40" s="864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50">
        <f>E39/SUM($E$31:$E$49)-($Q$50/7)</f>
        <v>0.54301032357547752</v>
      </c>
      <c r="R41" s="851">
        <f>Q41*DwellingStocks!$J$38/1000</f>
        <v>416.13689599283396</v>
      </c>
      <c r="S41" s="947">
        <f>IFERROR((R41*1000)/E39,0)-0.441</f>
        <v>1.4121542064911823</v>
      </c>
      <c r="T41" s="853">
        <f>T15</f>
        <v>0.81729411764705884</v>
      </c>
      <c r="U41" s="853">
        <f t="shared" si="7"/>
        <v>9.2067094002643256E-3</v>
      </c>
      <c r="V41" s="854">
        <v>20</v>
      </c>
      <c r="W41" s="854">
        <v>1</v>
      </c>
      <c r="X41" s="854"/>
      <c r="Y41" s="854"/>
      <c r="Z41" s="855">
        <f>AA41*T41</f>
        <v>3.831251472134042</v>
      </c>
      <c r="AA41" s="855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71" t="s">
        <v>294</v>
      </c>
      <c r="AI41" s="871"/>
      <c r="AJ41" s="871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7" t="s">
        <v>273</v>
      </c>
      <c r="M42" s="867" t="s">
        <v>273</v>
      </c>
      <c r="N42" s="864"/>
      <c r="O42" s="864"/>
      <c r="P42" s="864"/>
      <c r="Q42" s="865"/>
      <c r="R42" s="866"/>
      <c r="S42" s="864"/>
      <c r="T42" s="866"/>
      <c r="U42" s="864"/>
      <c r="V42" s="864"/>
      <c r="W42" s="864"/>
      <c r="X42" s="864"/>
      <c r="Y42" s="864"/>
      <c r="Z42" s="864"/>
      <c r="AA42" s="864"/>
      <c r="AB42" s="660"/>
      <c r="AC42" s="867" t="s">
        <v>273</v>
      </c>
      <c r="AD42" s="867"/>
      <c r="AE42" s="864"/>
      <c r="AF42" s="864"/>
      <c r="AG42" s="864"/>
      <c r="AH42" s="864"/>
      <c r="AI42" s="864"/>
      <c r="AJ42" s="864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50">
        <f>(E41+E42)/SUM($E$31:$E$49)</f>
        <v>1.5516881882585694E-3</v>
      </c>
      <c r="R43" s="851">
        <f>Q43*DwellingStocks!$J$38/1000</f>
        <v>1.1891389135273265</v>
      </c>
      <c r="S43" s="852">
        <f>(R43*1000)/(E42+E41)</f>
        <v>1.8580295523864474</v>
      </c>
      <c r="T43" s="853">
        <f>T17</f>
        <v>0.5509294871794872</v>
      </c>
      <c r="U43" s="853">
        <f t="shared" si="7"/>
        <v>1.0871138631310095E-2</v>
      </c>
      <c r="V43" s="854">
        <v>20</v>
      </c>
      <c r="W43" s="854">
        <v>1</v>
      </c>
      <c r="X43" s="854"/>
      <c r="Y43" s="854"/>
      <c r="Z43" s="855">
        <f>AA43*T43</f>
        <v>1.2927293980841035E-2</v>
      </c>
      <c r="AA43" s="855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71" t="s">
        <v>294</v>
      </c>
      <c r="AI43" s="871"/>
      <c r="AJ43" s="871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7" t="s">
        <v>273</v>
      </c>
      <c r="M44" s="867" t="s">
        <v>273</v>
      </c>
      <c r="N44" s="864"/>
      <c r="O44" s="864"/>
      <c r="P44" s="864"/>
      <c r="Q44" s="865"/>
      <c r="R44" s="866"/>
      <c r="S44" s="864"/>
      <c r="T44" s="866"/>
      <c r="U44" s="864"/>
      <c r="V44" s="864"/>
      <c r="W44" s="864"/>
      <c r="X44" s="864"/>
      <c r="Y44" s="864"/>
      <c r="Z44" s="864"/>
      <c r="AA44" s="864"/>
      <c r="AB44" s="660"/>
      <c r="AC44" s="867" t="s">
        <v>273</v>
      </c>
      <c r="AD44" s="867"/>
      <c r="AE44" s="864"/>
      <c r="AF44" s="864"/>
      <c r="AG44" s="864"/>
      <c r="AH44" s="864"/>
      <c r="AI44" s="864"/>
      <c r="AJ44" s="864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7">
        <f>E43/SUM($E$31:$E$49)-($Q$50/7)</f>
        <v>3.9012301977917531E-2</v>
      </c>
      <c r="R45" s="858">
        <f>Q45*DwellingStocks!$J$38/1000</f>
        <v>29.897144760948795</v>
      </c>
      <c r="S45" s="859">
        <f>(R45*1000)/E43-0.1377</f>
        <v>1.654694769841055</v>
      </c>
      <c r="T45" s="868">
        <f>T19</f>
        <v>0.57113772455089817</v>
      </c>
      <c r="U45" s="860">
        <f>SUM(Z45:Z47)/R45/W45</f>
        <v>9.3095279184719493E-3</v>
      </c>
      <c r="V45" s="861">
        <v>20</v>
      </c>
      <c r="W45" s="861">
        <v>1</v>
      </c>
      <c r="X45" s="1044">
        <f>RSD_Balance!$H$2</f>
        <v>0.19400000000000001</v>
      </c>
      <c r="Y45" s="861">
        <v>5</v>
      </c>
      <c r="Z45" s="862">
        <f>AA45*$T$45</f>
        <v>5.3995690943922141E-2</v>
      </c>
      <c r="AA45" s="863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71" t="s">
        <v>294</v>
      </c>
      <c r="AI45" s="871"/>
      <c r="AJ45" s="871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50"/>
      <c r="R46" s="851"/>
      <c r="S46" s="852"/>
      <c r="T46" s="869"/>
      <c r="U46" s="853"/>
      <c r="V46" s="854"/>
      <c r="W46" s="854"/>
      <c r="X46" s="1045">
        <f>RSD_Balance!$H$3</f>
        <v>0.74399999999999999</v>
      </c>
      <c r="Y46" s="854">
        <v>5</v>
      </c>
      <c r="Z46" s="855">
        <f>AA46*$T$45</f>
        <v>0.20707625805297974</v>
      </c>
      <c r="AA46" s="855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7"/>
      <c r="R47" s="858"/>
      <c r="S47" s="859"/>
      <c r="T47" s="868"/>
      <c r="U47" s="860"/>
      <c r="V47" s="861"/>
      <c r="W47" s="861"/>
      <c r="X47" s="1044">
        <f>RSD_Balance!$H$4</f>
        <v>6.2E-2</v>
      </c>
      <c r="Y47" s="861">
        <v>5</v>
      </c>
      <c r="Z47" s="862">
        <f t="shared" ref="Z47" si="8">AA47*$T$45</f>
        <v>1.7256354837748313E-2</v>
      </c>
      <c r="AA47" s="863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71" t="s">
        <v>294</v>
      </c>
      <c r="AI47" s="871"/>
      <c r="AJ47" s="871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50">
        <f>(E47+E44+E45+E46)/SUM($E$31:$E$49)</f>
        <v>1.1758887051646972E-3</v>
      </c>
      <c r="R48" s="851">
        <f>Q48*DwellingStocks!$J$38/1000</f>
        <v>0.90114433290742701</v>
      </c>
      <c r="S48" s="852">
        <f>(R48*1000)/(E47+E44+E45+E46)-0.1368</f>
        <v>1.7212295523864474</v>
      </c>
      <c r="T48" s="853">
        <f>T22</f>
        <v>0.70400656814449913</v>
      </c>
      <c r="U48" s="853">
        <f t="shared" ref="U48:U49" si="9">Z48/R48/W48</f>
        <v>8.8655256033915858E-3</v>
      </c>
      <c r="V48" s="854">
        <v>20</v>
      </c>
      <c r="W48" s="854">
        <v>1</v>
      </c>
      <c r="X48" s="854"/>
      <c r="Y48" s="854"/>
      <c r="Z48" s="855">
        <f>AA48*T48</f>
        <v>7.9891181557420251E-3</v>
      </c>
      <c r="AA48" s="855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8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6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7">
        <f>E48/SUM($E$31:$E$49)</f>
        <v>2.465729511654633E-3</v>
      </c>
      <c r="R49" s="858">
        <f>Q49*DwellingStocks!$J$38/1000</f>
        <v>1.8896160547770171</v>
      </c>
      <c r="S49" s="859">
        <f>(R49*1000)/E48</f>
        <v>1.8580295523864474</v>
      </c>
      <c r="T49" s="860">
        <f>T23</f>
        <v>0.60949973059968388</v>
      </c>
      <c r="U49" s="860">
        <f t="shared" si="9"/>
        <v>7.6939300464232293E-4</v>
      </c>
      <c r="V49" s="861">
        <v>20</v>
      </c>
      <c r="W49" s="861">
        <v>1</v>
      </c>
      <c r="X49" s="861"/>
      <c r="Y49" s="861"/>
      <c r="Z49" s="862">
        <f>AA49*T49</f>
        <v>1.4538573740052615E-3</v>
      </c>
      <c r="AA49" s="863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50">
        <v>0.01</v>
      </c>
      <c r="R50" s="851">
        <f>Q50*DwellingStocks!$J$38/1000</f>
        <v>7.6635172099999984</v>
      </c>
      <c r="S50" s="852">
        <f>MAX(S33:S49)</f>
        <v>1.8915668571637168</v>
      </c>
      <c r="T50" s="853">
        <v>1</v>
      </c>
      <c r="U50" s="853">
        <f t="shared" ref="U50" si="12">Z50/R50/W50</f>
        <v>3.4409606285151641E-2</v>
      </c>
      <c r="V50" s="854">
        <v>20</v>
      </c>
      <c r="W50" s="854">
        <v>1</v>
      </c>
      <c r="X50" s="854"/>
      <c r="Y50" s="854"/>
      <c r="Z50" s="855">
        <f>AA50*T50</f>
        <v>0.2636986099555837</v>
      </c>
      <c r="AA50" s="855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7"/>
      <c r="M51" s="867"/>
      <c r="N51" s="864"/>
      <c r="O51" s="864"/>
      <c r="P51" s="864"/>
      <c r="Q51" s="864"/>
      <c r="R51" s="866"/>
      <c r="S51" s="864"/>
      <c r="T51" s="866"/>
      <c r="U51" s="864"/>
      <c r="V51" s="864"/>
      <c r="W51" s="864"/>
      <c r="X51" s="864"/>
      <c r="Y51" s="864"/>
      <c r="Z51" s="864"/>
      <c r="AA51" s="864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7"/>
      <c r="M52" s="867"/>
      <c r="N52" s="864"/>
      <c r="O52" s="864"/>
      <c r="P52" s="864"/>
      <c r="Q52" s="864"/>
      <c r="R52" s="866"/>
      <c r="S52" s="864"/>
      <c r="T52" s="866"/>
      <c r="U52" s="864"/>
      <c r="V52" s="864"/>
      <c r="W52" s="864"/>
      <c r="X52" s="864"/>
      <c r="Y52" s="864"/>
      <c r="Z52" s="864"/>
      <c r="AA52" s="864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3" t="s">
        <v>476</v>
      </c>
      <c r="D53" s="843" t="s">
        <v>477</v>
      </c>
      <c r="E53" s="843" t="s">
        <v>478</v>
      </c>
      <c r="F53" s="843" t="s">
        <v>479</v>
      </c>
      <c r="G53" s="700" t="s">
        <v>457</v>
      </c>
      <c r="H53" s="700" t="s">
        <v>458</v>
      </c>
      <c r="K53" s="660"/>
      <c r="L53" s="849"/>
      <c r="M53" s="849"/>
      <c r="N53" s="849"/>
      <c r="O53" s="849"/>
      <c r="P53" s="849"/>
      <c r="Q53" s="849"/>
      <c r="R53" s="844">
        <f>SUM(R31:R51)</f>
        <v>766.35172099999977</v>
      </c>
      <c r="S53" s="849"/>
      <c r="T53" s="849"/>
      <c r="U53" s="849"/>
      <c r="V53" s="849"/>
      <c r="W53" s="849"/>
      <c r="X53" s="849"/>
      <c r="Y53" s="849"/>
      <c r="Z53" s="842">
        <f>SUM(Z31:Z51)</f>
        <v>7.9545121325349308</v>
      </c>
      <c r="AA53" s="842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4"/>
      <c r="AF55" s="1034"/>
      <c r="AG55" s="1034"/>
      <c r="AH55" s="1034"/>
      <c r="AI55" s="1034"/>
      <c r="AJ55" s="1034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1091" t="s">
        <v>983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4" t="str">
        <f>_xlfn.TEXTJOIN(",",TRUE,IF(LEFT(Regions!$C$3,1)&lt;&gt;"*",Regions!$C$3,""),IF(LEFT(Regions!$D$3,1)&lt;&gt;"*",Regions!$D$3,""))</f>
        <v>IE,National</v>
      </c>
      <c r="M58" s="834" t="str">
        <f>LEFT(SETUP!B3,1)&amp;"-"&amp;RIGHT(COMM!$O$19,6)&amp;"_"&amp;SETUP!B64</f>
        <v>R-LT_Att_X0</v>
      </c>
      <c r="N58" s="834" t="str">
        <f>COMM!$P$19&amp;" "&amp;SETUP!$C$64</f>
        <v>Residential Lighting Attached Existing 00</v>
      </c>
      <c r="O58" s="834" t="str">
        <f>COMM!E24</f>
        <v>RSDELC</v>
      </c>
      <c r="P58" s="834" t="str">
        <f>COMM!$O$19</f>
        <v>RSDLT_Att</v>
      </c>
      <c r="Q58" s="834">
        <v>1</v>
      </c>
      <c r="R58" s="834">
        <f>DwellingStocks!J38/1000</f>
        <v>766.35172099999977</v>
      </c>
      <c r="S58" s="834">
        <f>(R58*1000)/SUM(G54:G62)-0.188</f>
        <v>1.6588175598494301</v>
      </c>
      <c r="T58" s="834">
        <f>D54/C54</f>
        <v>0.37037026747260959</v>
      </c>
      <c r="U58" s="834">
        <f>Z58/R58/W58</f>
        <v>8.4710237013756629E-4</v>
      </c>
      <c r="V58" s="835">
        <v>10</v>
      </c>
      <c r="W58" s="835">
        <v>1</v>
      </c>
      <c r="X58" s="835"/>
      <c r="Y58" s="835"/>
      <c r="Z58" s="836">
        <f>AA58*T58</f>
        <v>0.64917835921810274</v>
      </c>
      <c r="AA58" s="836">
        <f>(D54+D55+D56+D57+D58+D59+D60+D61+D62)*S58*$B$2</f>
        <v>1.7527820568537191</v>
      </c>
      <c r="AB58" s="660"/>
      <c r="AC58" s="834" t="s">
        <v>285</v>
      </c>
      <c r="AD58" s="834" t="str">
        <f>_xlfn.TEXTJOIN(",",TRUE,IF(LEFT(Regions!$C$3,1)&lt;&gt;"*",Regions!$C$3,""),IF(LEFT(Regions!$D$3,1)&lt;&gt;"*",Regions!$D$3,""))</f>
        <v>IE,National</v>
      </c>
      <c r="AE58" s="834" t="str">
        <f>M58</f>
        <v>R-LT_Att_X0</v>
      </c>
      <c r="AF58" s="834" t="str">
        <f>N58</f>
        <v>Residential Lighting Attached Existing 00</v>
      </c>
      <c r="AG58" s="834" t="s">
        <v>16</v>
      </c>
      <c r="AH58" s="834" t="s">
        <v>294</v>
      </c>
      <c r="AI58" s="834"/>
      <c r="AJ58" s="834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7" t="str">
        <f>_xlfn.TEXTJOIN(",",TRUE,IF(LEFT(Regions!$C$3,1)&lt;&gt;"*",Regions!$C$3,""),IF(LEFT(Regions!$D$3,1)&lt;&gt;"*",Regions!$D$3,""))</f>
        <v>IE,National</v>
      </c>
      <c r="M59" s="837" t="str">
        <f>LEFT(SETUP!B3,1)&amp;"-"&amp;RIGHT(COMM!$O$22,6)&amp;"_"&amp;SETUP!$B$64</f>
        <v>R-PF_Att_X0</v>
      </c>
      <c r="N59" s="837" t="str">
        <f>COMM!$P$22&amp;" "&amp;SETUP!$C$64</f>
        <v>Residential Pumps &amp; Fans Attached Existing 00</v>
      </c>
      <c r="O59" s="837" t="str">
        <f>COMM!E24</f>
        <v>RSDELC</v>
      </c>
      <c r="P59" s="837" t="str">
        <f>COMM!$O$22</f>
        <v>RSDPF_Att</v>
      </c>
      <c r="Q59" s="837">
        <v>1</v>
      </c>
      <c r="R59" s="837">
        <f>DwellingStocks!J38/1000</f>
        <v>766.35172099999977</v>
      </c>
      <c r="S59" s="837">
        <f>(R59*1000)/SUM(G54:G62)-0.188</f>
        <v>1.6588175598494301</v>
      </c>
      <c r="T59" s="837">
        <f>D55/C55</f>
        <v>0.37037053565156741</v>
      </c>
      <c r="U59" s="837">
        <f>Z59/R59/W59</f>
        <v>2.3457687355088344E-4</v>
      </c>
      <c r="V59" s="838">
        <v>15</v>
      </c>
      <c r="W59" s="838">
        <v>1</v>
      </c>
      <c r="X59" s="838"/>
      <c r="Y59" s="838"/>
      <c r="Z59" s="839">
        <f>AA59*T59</f>
        <v>0.17976839075251885</v>
      </c>
      <c r="AA59" s="1054">
        <f>(F54+F55+F56+F57+F58+F59+F60+F61+F62)*S59*$B$2</f>
        <v>0.48537443842897676</v>
      </c>
      <c r="AB59" s="660"/>
      <c r="AC59" s="837" t="s">
        <v>285</v>
      </c>
      <c r="AD59" s="837" t="str">
        <f>_xlfn.TEXTJOIN(",",TRUE,IF(LEFT(Regions!$C$3,1)&lt;&gt;"*",Regions!$C$3,""),IF(LEFT(Regions!$D$3,1)&lt;&gt;"*",Regions!$D$3,""))</f>
        <v>IE,National</v>
      </c>
      <c r="AE59" s="837" t="str">
        <f>M59</f>
        <v>R-PF_Att_X0</v>
      </c>
      <c r="AF59" s="837" t="str">
        <f>N59</f>
        <v>Residential Pumps &amp; Fans Attached Existing 00</v>
      </c>
      <c r="AG59" s="837" t="s">
        <v>16</v>
      </c>
      <c r="AH59" s="837" t="s">
        <v>294</v>
      </c>
      <c r="AI59" s="837"/>
      <c r="AJ59" s="837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N1" workbookViewId="0">
      <selection activeCell="U4" sqref="U4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40" t="s">
        <v>639</v>
      </c>
      <c r="B2" s="841">
        <v>3.6E-9</v>
      </c>
      <c r="C2" s="840"/>
      <c r="D2" s="840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4"/>
      <c r="AF3" s="1034"/>
      <c r="AG3" s="1034"/>
      <c r="AH3" s="1034"/>
      <c r="AI3" s="1034"/>
      <c r="AJ3" s="1034"/>
      <c r="AK3" s="660"/>
      <c r="AL3" s="660"/>
      <c r="AM3" s="660"/>
      <c r="AN3" s="660"/>
      <c r="AO3" s="660"/>
    </row>
    <row r="4" spans="1:41" ht="15" customHeight="1" thickBot="1">
      <c r="A4" s="660"/>
      <c r="B4" s="1146" t="s">
        <v>814</v>
      </c>
      <c r="C4" s="1147"/>
      <c r="D4" s="1147"/>
      <c r="E4" s="1147"/>
      <c r="F4" s="1147"/>
      <c r="G4" s="1148"/>
      <c r="H4" s="1146" t="s">
        <v>815</v>
      </c>
      <c r="I4" s="1147"/>
      <c r="J4" s="1148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1091" t="s">
        <v>983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50">
        <f>(E7+E14+E16)/SUM($E$7:$E$25)</f>
        <v>6.0080307972788707E-3</v>
      </c>
      <c r="R7" s="851">
        <f>Q7*DwellingStocks!$K$38/1000</f>
        <v>4.3523961222963861</v>
      </c>
      <c r="S7" s="852">
        <f>(R7*1000)/(E7+E14+E16)*DwellingStocks!$V$37-0.0955</f>
        <v>1.8502216031108409</v>
      </c>
      <c r="T7" s="853">
        <f>(G7+G14+G16)/300</f>
        <v>0.61986329460013678</v>
      </c>
      <c r="U7" s="853">
        <f>Z7/R7/W7</f>
        <v>0.27139198399610592</v>
      </c>
      <c r="V7" s="854">
        <v>20</v>
      </c>
      <c r="W7" s="854">
        <v>1</v>
      </c>
      <c r="X7" s="854"/>
      <c r="Y7" s="854"/>
      <c r="Z7" s="855">
        <f>AA7*T7</f>
        <v>1.1812054187669743</v>
      </c>
      <c r="AA7" s="855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7">
        <f>E8/SUM($E$7:$E$25)</f>
        <v>0</v>
      </c>
      <c r="R8" s="858">
        <f>Q8*DwellingStocks!$K$38/1000</f>
        <v>0</v>
      </c>
      <c r="S8" s="859">
        <f>IFERROR((R8*1000)/E8*DwellingStocks!$V$37,0)</f>
        <v>0</v>
      </c>
      <c r="T8" s="868">
        <v>0.9</v>
      </c>
      <c r="U8" s="860">
        <f>IFERROR(Z8/R8/W8,0)</f>
        <v>0</v>
      </c>
      <c r="V8" s="861">
        <v>20</v>
      </c>
      <c r="W8" s="861">
        <v>1</v>
      </c>
      <c r="X8" s="861"/>
      <c r="Y8" s="861"/>
      <c r="Z8" s="862">
        <f>IFERROR(AA8*T8,0)</f>
        <v>0</v>
      </c>
      <c r="AA8" s="863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50">
        <f>E9/SUM($E$7:$E$25)</f>
        <v>0</v>
      </c>
      <c r="R9" s="851">
        <f>Q9*DwellingStocks!$K$38/1000</f>
        <v>0</v>
      </c>
      <c r="S9" s="852">
        <f>IFERROR((R9*1000)/E9*DwellingStocks!$V$37,0)</f>
        <v>0</v>
      </c>
      <c r="T9" s="869">
        <v>0.9</v>
      </c>
      <c r="U9" s="853">
        <f>IFERROR(Z9/R9/W9,0)</f>
        <v>0</v>
      </c>
      <c r="V9" s="854">
        <v>20</v>
      </c>
      <c r="W9" s="854">
        <v>1</v>
      </c>
      <c r="X9" s="854"/>
      <c r="Y9" s="854"/>
      <c r="Z9" s="855">
        <f>IFERROR(AA9*T9,0)</f>
        <v>0</v>
      </c>
      <c r="AA9" s="855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7">
        <f>(E10+E11)/SUM($E$7:$E$25)</f>
        <v>2.2058324983614461E-2</v>
      </c>
      <c r="R10" s="858">
        <f>(Q10)*DwellingStocks!$K$38/1000</f>
        <v>15.979706390073751</v>
      </c>
      <c r="S10" s="859">
        <f>(R10*1000)/(E10+E11)*DwellingStocks!$V$37+0.1525</f>
        <v>2.0982216031108405</v>
      </c>
      <c r="T10" s="860">
        <f>(G10+G11)/200</f>
        <v>0.82661774762699336</v>
      </c>
      <c r="U10" s="860">
        <f t="shared" ref="U10:U23" si="1">Z10/R10/W10</f>
        <v>5.5595203690710561E-2</v>
      </c>
      <c r="V10" s="861">
        <v>20</v>
      </c>
      <c r="W10" s="861">
        <v>1</v>
      </c>
      <c r="X10" s="861"/>
      <c r="Y10" s="861"/>
      <c r="Z10" s="862">
        <f>AA10*T10</f>
        <v>0.88839503167389933</v>
      </c>
      <c r="AA10" s="863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50">
        <f>E25/SUM($E$7:$E$25)</f>
        <v>2.3727013161165898E-2</v>
      </c>
      <c r="R11" s="851">
        <f>(Q11)*DwellingStocks!$K$38/1000</f>
        <v>17.188553714322843</v>
      </c>
      <c r="S11" s="852">
        <f>(R11*1000)/(E25)*DwellingStocks!$V$37+0.084</f>
        <v>2.0297216031108407</v>
      </c>
      <c r="T11" s="853">
        <f>(G25)/100</f>
        <v>0.99952095808383234</v>
      </c>
      <c r="U11" s="853">
        <f t="shared" si="1"/>
        <v>5.1441804976465715E-2</v>
      </c>
      <c r="V11" s="854">
        <v>20</v>
      </c>
      <c r="W11" s="854">
        <v>1</v>
      </c>
      <c r="X11" s="854"/>
      <c r="Y11" s="854"/>
      <c r="Z11" s="855">
        <f>AA11*T11</f>
        <v>0.88421022799970106</v>
      </c>
      <c r="AA11" s="855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8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7">
        <f>E12/SUM($E$7:$E$25)*0.85</f>
        <v>3.7127746931949167E-2</v>
      </c>
      <c r="R12" s="858">
        <f>Q12*DwellingStocks!$K$38/1000</f>
        <v>26.896443648292511</v>
      </c>
      <c r="S12" s="859">
        <f>(R12*1000)/E12*DwellingStocks!$V$37+0.084</f>
        <v>1.7378633626442148</v>
      </c>
      <c r="T12" s="860">
        <f>G12/100</f>
        <v>3.0897837837837834</v>
      </c>
      <c r="U12" s="860">
        <f t="shared" si="1"/>
        <v>3.1787011567387828E-2</v>
      </c>
      <c r="V12" s="861">
        <v>20</v>
      </c>
      <c r="W12" s="861">
        <v>1</v>
      </c>
      <c r="X12" s="861"/>
      <c r="Y12" s="861"/>
      <c r="Z12" s="862">
        <f>AA12*T12</f>
        <v>0.85495756536986889</v>
      </c>
      <c r="AA12" s="863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50">
        <f>E13/SUM($E$7:$E$25)</f>
        <v>0.69522898319258097</v>
      </c>
      <c r="R13" s="851">
        <f>Q13*DwellingStocks!$K$38/1000</f>
        <v>503.64454388714694</v>
      </c>
      <c r="S13" s="852">
        <f>(R13*1000)/E13*DwellingStocks!$V$37</f>
        <v>1.9457216031108406</v>
      </c>
      <c r="T13" s="853">
        <f>G13/100</f>
        <v>0.82280373831775711</v>
      </c>
      <c r="U13" s="853">
        <f t="shared" si="1"/>
        <v>4.1477826816639439E-2</v>
      </c>
      <c r="V13" s="854">
        <v>20</v>
      </c>
      <c r="W13" s="854">
        <v>1</v>
      </c>
      <c r="X13" s="854"/>
      <c r="Y13" s="854"/>
      <c r="Z13" s="855">
        <f>AA13*T13</f>
        <v>20.890081168496444</v>
      </c>
      <c r="AA13" s="855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7" t="s">
        <v>273</v>
      </c>
      <c r="M14" s="867" t="s">
        <v>273</v>
      </c>
      <c r="N14" s="864"/>
      <c r="O14" s="864"/>
      <c r="P14" s="864"/>
      <c r="Q14" s="865"/>
      <c r="R14" s="866"/>
      <c r="S14" s="864"/>
      <c r="T14" s="866"/>
      <c r="U14" s="864"/>
      <c r="V14" s="864"/>
      <c r="W14" s="864"/>
      <c r="X14" s="864"/>
      <c r="Y14" s="864"/>
      <c r="Z14" s="864"/>
      <c r="AA14" s="864"/>
      <c r="AB14" s="680"/>
      <c r="AC14" s="867" t="s">
        <v>273</v>
      </c>
      <c r="AD14" s="867"/>
      <c r="AE14" s="864"/>
      <c r="AF14" s="864"/>
      <c r="AG14" s="864"/>
      <c r="AH14" s="864"/>
      <c r="AI14" s="864"/>
      <c r="AJ14" s="864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50">
        <f>E15/SUM($E$7:$E$25)</f>
        <v>0.15689058980405157</v>
      </c>
      <c r="R15" s="851">
        <f>Q15*DwellingStocks!$K$38/1000</f>
        <v>113.65620745439924</v>
      </c>
      <c r="S15" s="852">
        <f>(R15*1000)/E15*DwellingStocks!$V$37</f>
        <v>1.9457216031108406</v>
      </c>
      <c r="T15" s="853">
        <f>G15/100</f>
        <v>0.82728758169934635</v>
      </c>
      <c r="U15" s="853">
        <f t="shared" si="1"/>
        <v>3.7040631160092513E-2</v>
      </c>
      <c r="V15" s="854">
        <v>20</v>
      </c>
      <c r="W15" s="854">
        <v>1</v>
      </c>
      <c r="X15" s="854"/>
      <c r="Y15" s="854"/>
      <c r="Z15" s="855">
        <f>AA15*T15</f>
        <v>4.2098976593733592</v>
      </c>
      <c r="AA15" s="855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7" t="s">
        <v>273</v>
      </c>
      <c r="M16" s="867" t="s">
        <v>273</v>
      </c>
      <c r="N16" s="864"/>
      <c r="O16" s="864"/>
      <c r="P16" s="864"/>
      <c r="Q16" s="865"/>
      <c r="R16" s="866"/>
      <c r="S16" s="864"/>
      <c r="T16" s="866"/>
      <c r="U16" s="864"/>
      <c r="V16" s="864"/>
      <c r="W16" s="864"/>
      <c r="X16" s="864"/>
      <c r="Y16" s="864"/>
      <c r="Z16" s="864"/>
      <c r="AA16" s="864"/>
      <c r="AB16" s="680"/>
      <c r="AC16" s="867" t="s">
        <v>273</v>
      </c>
      <c r="AD16" s="867"/>
      <c r="AE16" s="864"/>
      <c r="AF16" s="864"/>
      <c r="AG16" s="864"/>
      <c r="AH16" s="864"/>
      <c r="AI16" s="864"/>
      <c r="AJ16" s="864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50">
        <f>(E17+E18)/SUM($E$7:$E$25)</f>
        <v>2.90419545122383E-3</v>
      </c>
      <c r="R17" s="851">
        <f>Q17*DwellingStocks!$K$38/1000</f>
        <v>2.1038855236931115</v>
      </c>
      <c r="S17" s="852">
        <f>(R17*1000)/(E17+E18)*DwellingStocks!$V$37+0.16</f>
        <v>2.1057216031108408</v>
      </c>
      <c r="T17" s="853">
        <f>(G17+G18)/200</f>
        <v>0.5457894736842106</v>
      </c>
      <c r="U17" s="853">
        <f t="shared" si="1"/>
        <v>9.5005552686675279E-2</v>
      </c>
      <c r="V17" s="854">
        <v>20</v>
      </c>
      <c r="W17" s="854">
        <v>1</v>
      </c>
      <c r="X17" s="854"/>
      <c r="Y17" s="854"/>
      <c r="Z17" s="855">
        <f>AA17*T17</f>
        <v>0.19988080696795932</v>
      </c>
      <c r="AA17" s="855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7" t="s">
        <v>273</v>
      </c>
      <c r="M18" s="867" t="s">
        <v>273</v>
      </c>
      <c r="N18" s="864"/>
      <c r="O18" s="864"/>
      <c r="P18" s="864"/>
      <c r="Q18" s="865"/>
      <c r="R18" s="866"/>
      <c r="S18" s="864"/>
      <c r="T18" s="866"/>
      <c r="U18" s="864"/>
      <c r="V18" s="864"/>
      <c r="W18" s="864"/>
      <c r="X18" s="864"/>
      <c r="Y18" s="864"/>
      <c r="Z18" s="864"/>
      <c r="AA18" s="864"/>
      <c r="AB18" s="680"/>
      <c r="AC18" s="867" t="s">
        <v>273</v>
      </c>
      <c r="AD18" s="867"/>
      <c r="AE18" s="864"/>
      <c r="AF18" s="864"/>
      <c r="AG18" s="864"/>
      <c r="AH18" s="864"/>
      <c r="AI18" s="864"/>
      <c r="AJ18" s="864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7">
        <f>E19/SUM($E$7:$E$25)</f>
        <v>4.3826607101153388E-2</v>
      </c>
      <c r="R19" s="858">
        <f>Q19*DwellingStocks!$K$38/1000</f>
        <v>31.749297105278025</v>
      </c>
      <c r="S19" s="859">
        <f>(R19*1000)/E19*DwellingStocks!$V$37-0.1377</f>
        <v>1.8080216031108407</v>
      </c>
      <c r="T19" s="868">
        <f>G19/100</f>
        <v>0.61474226804123711</v>
      </c>
      <c r="U19" s="860">
        <f>SUM(Z19:Z21)/R19/W19</f>
        <v>0.12981046442763902</v>
      </c>
      <c r="V19" s="861">
        <v>20</v>
      </c>
      <c r="W19" s="861">
        <v>1</v>
      </c>
      <c r="X19" s="1044">
        <f>RSD_Balance!$H$2</f>
        <v>0.19400000000000001</v>
      </c>
      <c r="Y19" s="861">
        <v>5</v>
      </c>
      <c r="Z19" s="862">
        <f>AA19*$T$19</f>
        <v>0.7995498544825238</v>
      </c>
      <c r="AA19" s="863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50"/>
      <c r="R20" s="851"/>
      <c r="S20" s="852"/>
      <c r="T20" s="869"/>
      <c r="U20" s="853"/>
      <c r="V20" s="854"/>
      <c r="W20" s="854"/>
      <c r="X20" s="1045">
        <f>RSD_Balance!$H$3</f>
        <v>0.74399999999999999</v>
      </c>
      <c r="Y20" s="854">
        <v>5</v>
      </c>
      <c r="Z20" s="855">
        <f t="shared" ref="Z20:Z21" si="2">AA20*$T$19</f>
        <v>3.0663149058505033</v>
      </c>
      <c r="AA20" s="855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7"/>
      <c r="R21" s="858"/>
      <c r="S21" s="859"/>
      <c r="T21" s="868"/>
      <c r="U21" s="860"/>
      <c r="V21" s="861"/>
      <c r="W21" s="861"/>
      <c r="X21" s="1044">
        <f>RSD_Balance!$H$4</f>
        <v>6.2E-2</v>
      </c>
      <c r="Y21" s="861">
        <v>5</v>
      </c>
      <c r="Z21" s="862">
        <f t="shared" si="2"/>
        <v>0.2555262421542086</v>
      </c>
      <c r="AA21" s="863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50">
        <f>(E20+E21+E22+E23)/SUM($E$7:$E$25)</f>
        <v>4.9608630470321458E-3</v>
      </c>
      <c r="R22" s="851">
        <f>Q22*DwellingStocks!$K$38/1000</f>
        <v>3.5937966727676112</v>
      </c>
      <c r="S22" s="852">
        <f>(R22*1000)/(E20+E21+E22+E23)*DwellingStocks!$V$37-0.125</f>
        <v>1.8207216031108406</v>
      </c>
      <c r="T22" s="853">
        <f>(G21+G22+G23)/300</f>
        <v>0.72928609692169366</v>
      </c>
      <c r="U22" s="853">
        <f t="shared" si="1"/>
        <v>7.5672129216388148E-2</v>
      </c>
      <c r="V22" s="854">
        <v>20</v>
      </c>
      <c r="W22" s="854">
        <v>1</v>
      </c>
      <c r="X22" s="854"/>
      <c r="Y22" s="854"/>
      <c r="Z22" s="855">
        <f>AA22*T22</f>
        <v>0.27195024619909647</v>
      </c>
      <c r="AA22" s="855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6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7">
        <f>E24/SUM($E$7:$E$25)</f>
        <v>7.156901890175457E-4</v>
      </c>
      <c r="R23" s="858">
        <f>Q23*DwellingStocks!$K$38/1000</f>
        <v>0.51846724967793933</v>
      </c>
      <c r="S23" s="859">
        <f>(R23*1000)/E24*DwellingStocks!$V$37</f>
        <v>1.9457216031108402</v>
      </c>
      <c r="T23" s="860">
        <f>G24/100</f>
        <v>0.65865731206453049</v>
      </c>
      <c r="U23" s="860">
        <f t="shared" si="1"/>
        <v>0.18999660278742397</v>
      </c>
      <c r="V23" s="861">
        <v>20</v>
      </c>
      <c r="W23" s="861">
        <v>1</v>
      </c>
      <c r="X23" s="861"/>
      <c r="Y23" s="861"/>
      <c r="Z23" s="862">
        <f>AA23*T23</f>
        <v>9.8507016095347608E-2</v>
      </c>
      <c r="AA23" s="863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50">
        <f>E12/SUM($E$7:$E$25)*0.15</f>
        <v>6.5519553409322051E-3</v>
      </c>
      <c r="R24" s="851">
        <f>Q24*DwellingStocks!$K$38/1000</f>
        <v>4.7464312320516191</v>
      </c>
      <c r="S24" s="852">
        <f>(R12*1000)/E12*DwellingStocks!$V$37+0.0095</f>
        <v>1.6633633626442148</v>
      </c>
      <c r="T24" s="853">
        <f>G12/100</f>
        <v>3.0897837837837834</v>
      </c>
      <c r="U24" s="853">
        <f t="shared" ref="U24" si="5">Z24/R24/W24</f>
        <v>0.21841678709847476</v>
      </c>
      <c r="V24" s="854">
        <v>20</v>
      </c>
      <c r="W24" s="854">
        <v>1</v>
      </c>
      <c r="X24" s="854"/>
      <c r="Y24" s="854"/>
      <c r="Z24" s="855">
        <f>AA24*T24</f>
        <v>1.0367002598885697</v>
      </c>
      <c r="AA24" s="855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8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7" t="s">
        <v>273</v>
      </c>
      <c r="M25" s="867" t="s">
        <v>273</v>
      </c>
      <c r="N25" s="864"/>
      <c r="O25" s="864"/>
      <c r="P25" s="864"/>
      <c r="Q25" s="864"/>
      <c r="R25" s="866"/>
      <c r="S25" s="864"/>
      <c r="T25" s="866"/>
      <c r="U25" s="864"/>
      <c r="V25" s="864"/>
      <c r="W25" s="864"/>
      <c r="X25" s="864"/>
      <c r="Y25" s="864"/>
      <c r="Z25" s="864"/>
      <c r="AA25" s="864"/>
      <c r="AB25" s="680"/>
      <c r="AC25" s="870"/>
      <c r="AD25" s="870"/>
      <c r="AE25" s="870"/>
      <c r="AF25" s="870"/>
      <c r="AG25" s="870"/>
      <c r="AH25" s="870"/>
      <c r="AI25" s="870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7"/>
      <c r="M26" s="867"/>
      <c r="N26" s="864"/>
      <c r="O26" s="864"/>
      <c r="P26" s="864"/>
      <c r="Q26" s="864"/>
      <c r="R26" s="866"/>
      <c r="S26" s="864"/>
      <c r="T26" s="866"/>
      <c r="U26" s="864"/>
      <c r="V26" s="864"/>
      <c r="W26" s="864"/>
      <c r="X26" s="864"/>
      <c r="Y26" s="864"/>
      <c r="Z26" s="864"/>
      <c r="AA26" s="864"/>
      <c r="AB26" s="660"/>
      <c r="AC26" s="849"/>
      <c r="AD26" s="849"/>
      <c r="AE26" s="849"/>
      <c r="AF26" s="849"/>
      <c r="AG26" s="849"/>
      <c r="AH26" s="849"/>
      <c r="AI26" s="849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9"/>
      <c r="M27" s="849"/>
      <c r="N27" s="849"/>
      <c r="O27" s="849"/>
      <c r="P27" s="849"/>
      <c r="Q27" s="849"/>
      <c r="R27" s="844">
        <f>SUM(R6:R25)</f>
        <v>724.42972899999995</v>
      </c>
      <c r="S27" s="849"/>
      <c r="T27" s="849"/>
      <c r="U27" s="849"/>
      <c r="V27" s="849"/>
      <c r="W27" s="849"/>
      <c r="X27" s="849"/>
      <c r="Y27" s="849"/>
      <c r="Z27" s="842">
        <f>SUM(Z6:Z25)</f>
        <v>34.637176403318456</v>
      </c>
      <c r="AA27" s="842">
        <f>SUM(AA6:AA25)</f>
        <v>42.547822373862509</v>
      </c>
      <c r="AB27" s="660"/>
      <c r="AC27" s="849"/>
      <c r="AD27" s="849"/>
      <c r="AE27" s="849"/>
      <c r="AF27" s="849"/>
      <c r="AG27" s="849"/>
      <c r="AH27" s="849"/>
      <c r="AI27" s="849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6" t="s">
        <v>814</v>
      </c>
      <c r="C28" s="1147"/>
      <c r="D28" s="1147"/>
      <c r="E28" s="1147"/>
      <c r="F28" s="1147"/>
      <c r="G28" s="1148"/>
      <c r="H28" s="1146" t="s">
        <v>815</v>
      </c>
      <c r="I28" s="1147"/>
      <c r="J28" s="1148"/>
      <c r="K28" s="660"/>
      <c r="L28" s="660"/>
      <c r="M28" s="660"/>
      <c r="N28" s="660"/>
      <c r="O28" s="660"/>
      <c r="P28" s="660"/>
      <c r="Q28" s="660"/>
      <c r="R28" s="660"/>
      <c r="S28" s="946"/>
      <c r="T28" s="660"/>
      <c r="U28" s="660"/>
      <c r="V28" s="660"/>
      <c r="W28" s="660"/>
      <c r="X28" s="660"/>
      <c r="Y28" s="660"/>
      <c r="Z28" s="660"/>
      <c r="AA28" s="660"/>
      <c r="AB28" s="660"/>
      <c r="AC28" s="849"/>
      <c r="AD28" s="849"/>
      <c r="AE28" s="849"/>
      <c r="AF28" s="849"/>
      <c r="AG28" s="849"/>
      <c r="AH28" s="849"/>
      <c r="AI28" s="849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4"/>
      <c r="AF29" s="1034"/>
      <c r="AG29" s="1034"/>
      <c r="AH29" s="1034"/>
      <c r="AI29" s="1034"/>
      <c r="AJ29" s="1034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1091" t="s">
        <v>983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2" t="s">
        <v>273</v>
      </c>
      <c r="AD31" s="872"/>
      <c r="AE31" s="872"/>
      <c r="AF31" s="873"/>
      <c r="AG31" s="872"/>
      <c r="AH31" s="872"/>
      <c r="AI31" s="872"/>
      <c r="AJ31" s="872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4" t="str">
        <f>"*"&amp; A31 &amp; " Rating"</f>
        <v>* Rating</v>
      </c>
      <c r="AD32" s="874"/>
      <c r="AE32" s="875"/>
      <c r="AF32" s="875"/>
      <c r="AG32" s="875"/>
      <c r="AH32" s="875"/>
      <c r="AI32" s="875"/>
      <c r="AJ32" s="875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50">
        <f>(E31+E38+E40)/SUM($E$31:$E$49)-($Q$50/7)</f>
        <v>4.2750604037060293E-3</v>
      </c>
      <c r="R33" s="851">
        <f>Q33*DwellingStocks!$K$38/1000</f>
        <v>3.096980849715389</v>
      </c>
      <c r="S33" s="947">
        <f>IFERROR((R33*1000)/(E31+E38+E40),0)-0.0955</f>
        <v>1.970531253979579</v>
      </c>
      <c r="T33" s="853">
        <f>T7</f>
        <v>0.61986329460013678</v>
      </c>
      <c r="U33" s="853">
        <f>IFERROR(Z33/R33/W33,0)</f>
        <v>1.1373789455284335E-2</v>
      </c>
      <c r="V33" s="854">
        <v>20</v>
      </c>
      <c r="W33" s="854">
        <v>1</v>
      </c>
      <c r="X33" s="854"/>
      <c r="Y33" s="854"/>
      <c r="Z33" s="855">
        <f>AA33*T33</f>
        <v>3.5224408131710412E-2</v>
      </c>
      <c r="AA33" s="855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6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7">
        <f>E32/SUM($E$31:$E$49)</f>
        <v>7.6099157201833988E-6</v>
      </c>
      <c r="R34" s="858">
        <f>Q34*DwellingStocks!$K$38/1000</f>
        <v>5.5128491828852991E-3</v>
      </c>
      <c r="S34" s="859">
        <f>IFERROR((R34*1000)/E32,0)</f>
        <v>2.7564245914426495</v>
      </c>
      <c r="T34" s="868">
        <v>0.9</v>
      </c>
      <c r="U34" s="860">
        <f>Z34/R34/W34</f>
        <v>1.0679040000000001E-2</v>
      </c>
      <c r="V34" s="861">
        <v>20</v>
      </c>
      <c r="W34" s="861">
        <v>1</v>
      </c>
      <c r="X34" s="861"/>
      <c r="Y34" s="861"/>
      <c r="Z34" s="862">
        <f>AA34*T34</f>
        <v>5.8871936937999427E-5</v>
      </c>
      <c r="AA34" s="863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50">
        <f>E33/SUM($E$31:$E$49)</f>
        <v>7.6099157201833988E-6</v>
      </c>
      <c r="R35" s="851">
        <f>Q35*DwellingStocks!$K$38/1000</f>
        <v>5.5128491828852991E-3</v>
      </c>
      <c r="S35" s="852">
        <f>IFERROR((R35*1000)/E33,0)</f>
        <v>2.7564245914426495</v>
      </c>
      <c r="T35" s="869">
        <v>0.9</v>
      </c>
      <c r="U35" s="853">
        <f>IFERROR(Z35/R35/W35,0)</f>
        <v>1.2096540000000001E-2</v>
      </c>
      <c r="V35" s="854">
        <v>20</v>
      </c>
      <c r="W35" s="854">
        <v>1</v>
      </c>
      <c r="X35" s="854"/>
      <c r="Y35" s="854"/>
      <c r="Z35" s="855">
        <f>IFERROR(AA35*T35,0)</f>
        <v>6.6686400654739344E-5</v>
      </c>
      <c r="AA35" s="855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9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6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7">
        <f>(E34+E35)/SUM($E$31:$E$49)-($Q$50/7)</f>
        <v>2.0773357685063637E-2</v>
      </c>
      <c r="R36" s="858">
        <f>(Q36)*DwellingStocks!$K$38/1000</f>
        <v>15.048837878210716</v>
      </c>
      <c r="S36" s="859">
        <f>IFERROR((R36*1000)/(E34+E35),0)</f>
        <v>2.5790639037207739</v>
      </c>
      <c r="T36" s="860">
        <f>T10</f>
        <v>0.82661774762699336</v>
      </c>
      <c r="U36" s="860">
        <f t="shared" ref="U36:U43" si="7">Z36/R36/W36</f>
        <v>1.4149231710993282E-2</v>
      </c>
      <c r="V36" s="861">
        <v>20</v>
      </c>
      <c r="W36" s="861">
        <v>1</v>
      </c>
      <c r="X36" s="861"/>
      <c r="Y36" s="861"/>
      <c r="Z36" s="862">
        <f>AA36*T36</f>
        <v>0.21292949411997592</v>
      </c>
      <c r="AA36" s="863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50">
        <f>E49/SUM($E$31:$E$49)-($Q$50/7)</f>
        <v>2.2538858132146188E-2</v>
      </c>
      <c r="R37" s="851">
        <f>Q37*DwellingStocks!$K$38/1000</f>
        <v>16.327818888640106</v>
      </c>
      <c r="S37" s="852">
        <f>IFERROR((R37*1000)/E49,0)+0.084</f>
        <v>2.6761287329163528</v>
      </c>
      <c r="T37" s="853">
        <f>T11</f>
        <v>0.99952095808383234</v>
      </c>
      <c r="U37" s="853">
        <f t="shared" si="7"/>
        <v>1.3328486763070335E-2</v>
      </c>
      <c r="V37" s="854">
        <v>20</v>
      </c>
      <c r="W37" s="854">
        <v>1</v>
      </c>
      <c r="X37" s="854"/>
      <c r="Y37" s="854"/>
      <c r="Z37" s="855">
        <f>AA37*T37</f>
        <v>0.21762511792704944</v>
      </c>
      <c r="AA37" s="855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6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7">
        <f>E36/SUM($E$31:$E$49)-($Q$50/7)</f>
        <v>4.2423567908985403E-2</v>
      </c>
      <c r="R38" s="858">
        <f>Q38*DwellingStocks!$K$38/1000</f>
        <v>30.732893803519389</v>
      </c>
      <c r="S38" s="859">
        <f>IFERROR((R38*1000)/E36,0)+0.084</f>
        <v>2.7506285295895352</v>
      </c>
      <c r="T38" s="860">
        <f>T12</f>
        <v>3.0897837837837834</v>
      </c>
      <c r="U38" s="860">
        <f t="shared" si="7"/>
        <v>2.249918004381397E-2</v>
      </c>
      <c r="V38" s="861">
        <v>20</v>
      </c>
      <c r="W38" s="861">
        <v>1</v>
      </c>
      <c r="X38" s="861"/>
      <c r="Y38" s="861"/>
      <c r="Z38" s="862">
        <f>AA38*T38</f>
        <v>0.6914649109527975</v>
      </c>
      <c r="AA38" s="863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50">
        <f>E37/SUM($E$31:$E$49)-($Q$50/7)</f>
        <v>0.69549131518368434</v>
      </c>
      <c r="R39" s="851">
        <f>Q39*DwellingStocks!$K$38/1000</f>
        <v>503.83458498037004</v>
      </c>
      <c r="S39" s="947">
        <f>IFERROR((R39*1000)/E37,0)-0.414</f>
        <v>2.3367743732583355</v>
      </c>
      <c r="T39" s="853">
        <f>T13</f>
        <v>0.82280373831775711</v>
      </c>
      <c r="U39" s="853">
        <f t="shared" si="7"/>
        <v>1.2270181372662557E-2</v>
      </c>
      <c r="V39" s="854">
        <v>20</v>
      </c>
      <c r="W39" s="854">
        <v>1</v>
      </c>
      <c r="X39" s="854"/>
      <c r="Y39" s="854"/>
      <c r="Z39" s="855">
        <f>AA39*T39</f>
        <v>6.1821417395293068</v>
      </c>
      <c r="AA39" s="855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7" t="s">
        <v>273</v>
      </c>
      <c r="M40" s="867" t="s">
        <v>273</v>
      </c>
      <c r="N40" s="864"/>
      <c r="O40" s="864"/>
      <c r="P40" s="864"/>
      <c r="Q40" s="865"/>
      <c r="R40" s="866"/>
      <c r="S40" s="864"/>
      <c r="T40" s="866"/>
      <c r="U40" s="864"/>
      <c r="V40" s="864"/>
      <c r="W40" s="864"/>
      <c r="X40" s="864"/>
      <c r="Y40" s="864"/>
      <c r="Z40" s="864"/>
      <c r="AA40" s="864"/>
      <c r="AB40" s="660"/>
      <c r="AC40" s="867" t="s">
        <v>273</v>
      </c>
      <c r="AD40" s="867"/>
      <c r="AE40" s="864"/>
      <c r="AF40" s="864"/>
      <c r="AG40" s="864"/>
      <c r="AH40" s="864"/>
      <c r="AI40" s="864"/>
      <c r="AJ40" s="864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50">
        <f>E39/SUM($E$31:$E$49)-($Q$50/7)</f>
        <v>0.15662937807963778</v>
      </c>
      <c r="R41" s="851">
        <f>Q41*DwellingStocks!$K$38/1000</f>
        <v>113.46697791567054</v>
      </c>
      <c r="S41" s="947">
        <f>IFERROR((R41*1000)/E39,0)-0.441</f>
        <v>2.2905112642193197</v>
      </c>
      <c r="T41" s="853">
        <f>T15</f>
        <v>0.82728758169934635</v>
      </c>
      <c r="U41" s="853">
        <f t="shared" si="7"/>
        <v>1.1853809357645259E-2</v>
      </c>
      <c r="V41" s="854">
        <v>20</v>
      </c>
      <c r="W41" s="854">
        <v>1</v>
      </c>
      <c r="X41" s="854"/>
      <c r="Y41" s="854"/>
      <c r="Z41" s="855">
        <f>AA41*T41</f>
        <v>1.3450159246005033</v>
      </c>
      <c r="AA41" s="855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71" t="s">
        <v>294</v>
      </c>
      <c r="AI41" s="871"/>
      <c r="AJ41" s="871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7" t="s">
        <v>273</v>
      </c>
      <c r="M42" s="867" t="s">
        <v>273</v>
      </c>
      <c r="N42" s="864"/>
      <c r="O42" s="864"/>
      <c r="P42" s="864"/>
      <c r="Q42" s="865"/>
      <c r="R42" s="866"/>
      <c r="S42" s="864"/>
      <c r="T42" s="866"/>
      <c r="U42" s="864"/>
      <c r="V42" s="864"/>
      <c r="W42" s="864"/>
      <c r="X42" s="864"/>
      <c r="Y42" s="864"/>
      <c r="Z42" s="864"/>
      <c r="AA42" s="864"/>
      <c r="AB42" s="660"/>
      <c r="AC42" s="867" t="s">
        <v>273</v>
      </c>
      <c r="AD42" s="867"/>
      <c r="AE42" s="864"/>
      <c r="AF42" s="864"/>
      <c r="AG42" s="864"/>
      <c r="AH42" s="864"/>
      <c r="AI42" s="864"/>
      <c r="AJ42" s="864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50">
        <f>(E41+E42)/SUM($E$31:$E$49)</f>
        <v>3.0135266251926258E-3</v>
      </c>
      <c r="R43" s="851">
        <f>Q43*DwellingStocks!$K$38/1000</f>
        <v>2.1830882764225783</v>
      </c>
      <c r="S43" s="852">
        <f>IFERROR((R38*1000)/E36,0)+0.16</f>
        <v>2.8266285295895353</v>
      </c>
      <c r="T43" s="853">
        <f>T17</f>
        <v>0.5457894736842106</v>
      </c>
      <c r="U43" s="853">
        <f t="shared" si="7"/>
        <v>1.2491580177735408E-2</v>
      </c>
      <c r="V43" s="854">
        <v>20</v>
      </c>
      <c r="W43" s="854">
        <v>1</v>
      </c>
      <c r="X43" s="854"/>
      <c r="Y43" s="854"/>
      <c r="Z43" s="855">
        <f>AA43*T43</f>
        <v>2.7270222240006838E-2</v>
      </c>
      <c r="AA43" s="855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71" t="s">
        <v>294</v>
      </c>
      <c r="AI43" s="871"/>
      <c r="AJ43" s="871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7" t="s">
        <v>273</v>
      </c>
      <c r="M44" s="867" t="s">
        <v>273</v>
      </c>
      <c r="N44" s="864"/>
      <c r="O44" s="864"/>
      <c r="P44" s="864"/>
      <c r="Q44" s="865"/>
      <c r="R44" s="866"/>
      <c r="S44" s="864"/>
      <c r="T44" s="866"/>
      <c r="U44" s="864"/>
      <c r="V44" s="864"/>
      <c r="W44" s="864"/>
      <c r="X44" s="864"/>
      <c r="Y44" s="864"/>
      <c r="Z44" s="864"/>
      <c r="AA44" s="864"/>
      <c r="AB44" s="660"/>
      <c r="AC44" s="867" t="s">
        <v>273</v>
      </c>
      <c r="AD44" s="867"/>
      <c r="AE44" s="864"/>
      <c r="AF44" s="864"/>
      <c r="AG44" s="864"/>
      <c r="AH44" s="864"/>
      <c r="AI44" s="864"/>
      <c r="AJ44" s="864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7">
        <f>E43/SUM($E$31:$E$49)-($Q$50/7)</f>
        <v>3.9265452885109291E-2</v>
      </c>
      <c r="R45" s="858">
        <f>Q45*DwellingStocks!$K$38/1000</f>
        <v>28.445061392621987</v>
      </c>
      <c r="S45" s="859">
        <f>(R45*1000)/E43-0.1377</f>
        <v>2.5219597842563801</v>
      </c>
      <c r="T45" s="868">
        <f>T19</f>
        <v>0.61474226804123711</v>
      </c>
      <c r="U45" s="860">
        <f>SUM(Z45:Z47)/R45/W45</f>
        <v>1.1286753739723236E-2</v>
      </c>
      <c r="V45" s="861">
        <v>20</v>
      </c>
      <c r="W45" s="861">
        <v>1</v>
      </c>
      <c r="X45" s="1044">
        <f>RSD_Balance!$H$2</f>
        <v>0.19400000000000001</v>
      </c>
      <c r="Y45" s="861">
        <v>5</v>
      </c>
      <c r="Z45" s="862">
        <f>AA45*$T$45</f>
        <v>6.2284166191667649E-2</v>
      </c>
      <c r="AA45" s="863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71" t="s">
        <v>294</v>
      </c>
      <c r="AI45" s="871"/>
      <c r="AJ45" s="871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50"/>
      <c r="R46" s="851"/>
      <c r="S46" s="852"/>
      <c r="T46" s="869"/>
      <c r="U46" s="853"/>
      <c r="V46" s="854"/>
      <c r="W46" s="854"/>
      <c r="X46" s="1045">
        <f>RSD_Balance!$H$3</f>
        <v>0.74399999999999999</v>
      </c>
      <c r="Y46" s="854">
        <v>5</v>
      </c>
      <c r="Z46" s="855">
        <f t="shared" ref="Z46:Z47" si="8">AA46*$T$45</f>
        <v>0.23886298786907589</v>
      </c>
      <c r="AA46" s="855">
        <f>IF(((D43+I43)*$B$2)&lt;=0,0,((D43+I43)*S45*$B$2))*X46</f>
        <v>0.38855793767064167</v>
      </c>
      <c r="AB46" s="1049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7"/>
      <c r="R47" s="858"/>
      <c r="S47" s="859"/>
      <c r="T47" s="868"/>
      <c r="U47" s="860"/>
      <c r="V47" s="861"/>
      <c r="W47" s="861"/>
      <c r="X47" s="1044">
        <f>RSD_Balance!$H$4</f>
        <v>6.2E-2</v>
      </c>
      <c r="Y47" s="861">
        <v>5</v>
      </c>
      <c r="Z47" s="862">
        <f t="shared" si="8"/>
        <v>1.9905248989089661E-2</v>
      </c>
      <c r="AA47" s="863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71" t="s">
        <v>294</v>
      </c>
      <c r="AI47" s="871"/>
      <c r="AJ47" s="871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50">
        <f>(E47+E44+E45+E46)/SUM($E$31:$E$49)</f>
        <v>4.8513212716169169E-3</v>
      </c>
      <c r="R48" s="851">
        <f>Q48*DwellingStocks!$K$38/1000</f>
        <v>3.5144413540893784</v>
      </c>
      <c r="S48" s="852">
        <f>(R48*1000)/(E47+E44+E45+E46)-0.1368</f>
        <v>2.6196245914426495</v>
      </c>
      <c r="T48" s="853">
        <f>T22</f>
        <v>0.72928609692169366</v>
      </c>
      <c r="U48" s="853">
        <f t="shared" ref="U48:U49" si="9">Z48/R48/W48</f>
        <v>1.2716454490790247E-2</v>
      </c>
      <c r="V48" s="854">
        <v>20</v>
      </c>
      <c r="W48" s="854">
        <v>1</v>
      </c>
      <c r="X48" s="854"/>
      <c r="Y48" s="854"/>
      <c r="Z48" s="855">
        <f>AA48*T48</f>
        <v>4.4691233539828831E-2</v>
      </c>
      <c r="AA48" s="855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8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6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7">
        <f>E48/SUM($E$31:$E$49)</f>
        <v>7.2294199341742292E-4</v>
      </c>
      <c r="R49" s="858">
        <f>Q49*DwellingStocks!$K$38/1000</f>
        <v>0.52372067237410336</v>
      </c>
      <c r="S49" s="859">
        <f>(R49*1000)/E48</f>
        <v>2.7564245914426495</v>
      </c>
      <c r="T49" s="860">
        <f>T23</f>
        <v>0.65865731206453049</v>
      </c>
      <c r="U49" s="860">
        <f t="shared" si="9"/>
        <v>1.2874844310725912E-3</v>
      </c>
      <c r="V49" s="861">
        <v>20</v>
      </c>
      <c r="W49" s="861">
        <v>1</v>
      </c>
      <c r="X49" s="861"/>
      <c r="Y49" s="861"/>
      <c r="Z49" s="862">
        <f>AA49*T49</f>
        <v>6.7428221191252746E-4</v>
      </c>
      <c r="AA49" s="863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50">
        <v>0.01</v>
      </c>
      <c r="R50" s="851">
        <f>Q50*DwellingStocks!$K$38/1000</f>
        <v>7.2442972899999996</v>
      </c>
      <c r="S50" s="852">
        <f>MAX(S33:S49)</f>
        <v>2.8266285295895353</v>
      </c>
      <c r="T50" s="853">
        <f>T24</f>
        <v>3.0897837837837834</v>
      </c>
      <c r="U50" s="853">
        <f t="shared" ref="U50" si="12">Z50/R50/W50</f>
        <v>0.11305151157683495</v>
      </c>
      <c r="V50" s="854">
        <v>20</v>
      </c>
      <c r="W50" s="854">
        <v>1</v>
      </c>
      <c r="X50" s="854"/>
      <c r="Y50" s="854"/>
      <c r="Z50" s="855">
        <f>AA50*T50</f>
        <v>0.81897875894646899</v>
      </c>
      <c r="AA50" s="855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7"/>
      <c r="M51" s="867"/>
      <c r="N51" s="864"/>
      <c r="O51" s="864"/>
      <c r="P51" s="864"/>
      <c r="Q51" s="864"/>
      <c r="R51" s="866"/>
      <c r="S51" s="864"/>
      <c r="T51" s="866"/>
      <c r="U51" s="864"/>
      <c r="V51" s="864"/>
      <c r="W51" s="864"/>
      <c r="X51" s="864"/>
      <c r="Y51" s="864"/>
      <c r="Z51" s="864"/>
      <c r="AA51" s="864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7"/>
      <c r="M52" s="867"/>
      <c r="N52" s="864"/>
      <c r="O52" s="864"/>
      <c r="P52" s="864"/>
      <c r="Q52" s="864"/>
      <c r="R52" s="866"/>
      <c r="S52" s="864"/>
      <c r="T52" s="866"/>
      <c r="U52" s="864"/>
      <c r="V52" s="864"/>
      <c r="W52" s="864"/>
      <c r="X52" s="864"/>
      <c r="Y52" s="864"/>
      <c r="Z52" s="864"/>
      <c r="AA52" s="864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3" t="s">
        <v>476</v>
      </c>
      <c r="D53" s="843" t="s">
        <v>477</v>
      </c>
      <c r="E53" s="843" t="s">
        <v>478</v>
      </c>
      <c r="F53" s="843" t="s">
        <v>479</v>
      </c>
      <c r="G53" s="700" t="s">
        <v>457</v>
      </c>
      <c r="H53" s="700" t="s">
        <v>458</v>
      </c>
      <c r="K53" s="660"/>
      <c r="L53" s="849"/>
      <c r="M53" s="849"/>
      <c r="N53" s="849"/>
      <c r="O53" s="849"/>
      <c r="P53" s="849"/>
      <c r="Q53" s="849"/>
      <c r="R53" s="844">
        <f>SUM(R31:R51)</f>
        <v>724.42972899999995</v>
      </c>
      <c r="S53" s="849"/>
      <c r="T53" s="849"/>
      <c r="U53" s="849"/>
      <c r="V53" s="849"/>
      <c r="W53" s="849"/>
      <c r="X53" s="849"/>
      <c r="Y53" s="849"/>
      <c r="Z53" s="842">
        <f>SUM(Z31:Z51)</f>
        <v>9.8971940535869898</v>
      </c>
      <c r="AA53" s="842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4"/>
      <c r="AF55" s="1034"/>
      <c r="AG55" s="1034"/>
      <c r="AH55" s="1034"/>
      <c r="AI55" s="1034"/>
      <c r="AJ55" s="1034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1091" t="s">
        <v>983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4" t="str">
        <f>_xlfn.TEXTJOIN(",",TRUE,IF(LEFT(Regions!$C$3,1)&lt;&gt;"*",Regions!$C$3,""),IF(LEFT(Regions!$D$3,1)&lt;&gt;"*",Regions!$D$3,""))</f>
        <v>IE,National</v>
      </c>
      <c r="M58" s="834" t="str">
        <f>LEFT(SETUP!B3,1)&amp;"-"&amp;RIGHT(COMM!$O$20,6)&amp;"_"&amp;SETUP!B64</f>
        <v>R-LT_Det_X0</v>
      </c>
      <c r="N58" s="834" t="str">
        <f>COMM!$P$20&amp;" "&amp;SETUP!$C$64</f>
        <v>Residential Lighting Detached Existing 00</v>
      </c>
      <c r="O58" s="834" t="str">
        <f>COMM!E24</f>
        <v>RSDELC</v>
      </c>
      <c r="P58" s="834" t="str">
        <f>COMM!$O$20</f>
        <v>RSDLT_Det</v>
      </c>
      <c r="Q58" s="834">
        <v>1</v>
      </c>
      <c r="R58" s="834">
        <f>DwellingStocks!K38/1000</f>
        <v>724.42972899999995</v>
      </c>
      <c r="S58" s="834">
        <f>(R58*1000)/SUM(G54:G62)-0.188</f>
        <v>2.540641381440425</v>
      </c>
      <c r="T58" s="834">
        <f>D54/C54</f>
        <v>0.37037047102933268</v>
      </c>
      <c r="U58" s="834">
        <f>Z58/R58/W58</f>
        <v>1.3953557418383549E-3</v>
      </c>
      <c r="V58" s="835">
        <v>10</v>
      </c>
      <c r="W58" s="835">
        <v>1</v>
      </c>
      <c r="X58" s="835"/>
      <c r="Y58" s="835"/>
      <c r="Z58" s="836">
        <f>AA58*T58</f>
        <v>1.0108371819185533</v>
      </c>
      <c r="AA58" s="834">
        <f>IF(((D54+D55+D56+D57+D58+D59+D60+D61+D62)*$B$2)&lt;=0,0,((D54+D55+D56+D57+D58+D59+D60+D61+D62)*S58*$B$2))</f>
        <v>2.7292596494240944</v>
      </c>
      <c r="AB58" s="660"/>
      <c r="AC58" s="834" t="s">
        <v>285</v>
      </c>
      <c r="AD58" s="834" t="str">
        <f>_xlfn.TEXTJOIN(",",TRUE,IF(LEFT(Regions!$C$3,1)&lt;&gt;"*",Regions!$C$3,""),IF(LEFT(Regions!$D$3,1)&lt;&gt;"*",Regions!$D$3,""))</f>
        <v>IE,National</v>
      </c>
      <c r="AE58" s="834" t="str">
        <f>M58</f>
        <v>R-LT_Det_X0</v>
      </c>
      <c r="AF58" s="834" t="str">
        <f>N58</f>
        <v>Residential Lighting Detached Existing 00</v>
      </c>
      <c r="AG58" s="834" t="s">
        <v>16</v>
      </c>
      <c r="AH58" s="834" t="s">
        <v>294</v>
      </c>
      <c r="AI58" s="834"/>
      <c r="AJ58" s="834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7" t="str">
        <f>_xlfn.TEXTJOIN(",",TRUE,IF(LEFT(Regions!$C$3,1)&lt;&gt;"*",Regions!$C$3,""),IF(LEFT(Regions!$D$3,1)&lt;&gt;"*",Regions!$D$3,""))</f>
        <v>IE,National</v>
      </c>
      <c r="M59" s="837" t="str">
        <f>LEFT(SETUP!B3,1)&amp;"-"&amp;RIGHT(COMM!$O$23,6)&amp;"_"&amp;SETUP!$B$64</f>
        <v>R-PF_Det_X0</v>
      </c>
      <c r="N59" s="837" t="str">
        <f>COMM!$P$23&amp;" "&amp;SETUP!$C$64</f>
        <v>Residential Pumps &amp; Fans Detached Existing 00</v>
      </c>
      <c r="O59" s="837" t="str">
        <f>COMM!E24</f>
        <v>RSDELC</v>
      </c>
      <c r="P59" s="837" t="str">
        <f>COMM!$O$23</f>
        <v>RSDPF_Det</v>
      </c>
      <c r="Q59" s="837">
        <v>1</v>
      </c>
      <c r="R59" s="837">
        <f>DwellingStocks!K38/1000</f>
        <v>724.42972899999995</v>
      </c>
      <c r="S59" s="837">
        <f>(R59*1000)/SUM(G54:G62)-0.188</f>
        <v>2.540641381440425</v>
      </c>
      <c r="T59" s="837">
        <f>D55/C55</f>
        <v>0.370370398008326</v>
      </c>
      <c r="U59" s="837">
        <f t="shared" ref="U59" si="13">Z59/R59/W59</f>
        <v>2.9043456181104398E-4</v>
      </c>
      <c r="V59" s="838">
        <v>15</v>
      </c>
      <c r="W59" s="838">
        <v>1</v>
      </c>
      <c r="X59" s="838"/>
      <c r="Y59" s="838"/>
      <c r="Z59" s="839">
        <f>AA59*T59</f>
        <v>0.21039943090500834</v>
      </c>
      <c r="AA59" s="837">
        <f>IF(((F54+F55+F56+F57+F58+F59+F60+F61+F62)*$B$2)&lt;=0,0,((F54+F55+F56+F57+F58+F59+F60+F61+F62)*S59*$B$2))</f>
        <v>0.56807842105210182</v>
      </c>
      <c r="AB59" s="660"/>
      <c r="AC59" s="837" t="s">
        <v>285</v>
      </c>
      <c r="AD59" s="837" t="str">
        <f>_xlfn.TEXTJOIN(",",TRUE,IF(LEFT(Regions!$C$3,1)&lt;&gt;"*",Regions!$C$3,""),IF(LEFT(Regions!$D$3,1)&lt;&gt;"*",Regions!$D$3,""))</f>
        <v>IE,National</v>
      </c>
      <c r="AE59" s="837" t="str">
        <f>M59</f>
        <v>R-PF_Det_X0</v>
      </c>
      <c r="AF59" s="837" t="str">
        <f>N59</f>
        <v>Residential Pumps &amp; Fans Detached Existing 00</v>
      </c>
      <c r="AG59" s="837" t="s">
        <v>16</v>
      </c>
      <c r="AH59" s="837" t="s">
        <v>294</v>
      </c>
      <c r="AI59" s="837"/>
      <c r="AJ59" s="837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1" t="s">
        <v>473</v>
      </c>
      <c r="B1" s="1131"/>
      <c r="C1" s="1131"/>
      <c r="D1" s="1131"/>
      <c r="E1" s="1131"/>
      <c r="F1" s="1131"/>
      <c r="G1" s="1131"/>
      <c r="H1" s="1131"/>
      <c r="I1" s="1131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1" t="s">
        <v>540</v>
      </c>
      <c r="B1" s="1131"/>
      <c r="C1" s="1131"/>
      <c r="D1" s="1131"/>
      <c r="E1" s="1131"/>
      <c r="F1" s="1131"/>
      <c r="G1" s="1131"/>
      <c r="H1" s="1131"/>
      <c r="I1" s="1131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1" t="s">
        <v>542</v>
      </c>
      <c r="B1" s="1131"/>
      <c r="C1" s="1131"/>
      <c r="D1" s="1131"/>
      <c r="E1" s="1131"/>
      <c r="F1" s="1131"/>
      <c r="G1" s="1131"/>
      <c r="H1" s="1131"/>
      <c r="I1" s="1131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2021-01-18T16:28:11Z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585415065288543</vt:r8>
  </property>
</Properties>
</file>