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E7857BC-0B38-42E8-9738-327DE3ACCC7B}" xr6:coauthVersionLast="45" xr6:coauthVersionMax="45" xr10:uidLastSave="{00000000-0000-0000-0000-000000000000}"/>
  <bookViews>
    <workbookView xWindow="-3233" yWindow="8002" windowWidth="20716" windowHeight="13276" activeTab="1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4" l="1"/>
  <c r="D50" i="4"/>
  <c r="D49" i="4"/>
  <c r="C49" i="4"/>
  <c r="F14" i="20" l="1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13" i="20"/>
  <c r="F91" i="20"/>
  <c r="F92" i="20"/>
  <c r="F93" i="20"/>
  <c r="F94" i="20"/>
  <c r="F90" i="20"/>
  <c r="F89" i="20"/>
  <c r="F88" i="20"/>
  <c r="F86" i="20"/>
  <c r="H85" i="20"/>
  <c r="H84" i="20"/>
  <c r="I84" i="20"/>
  <c r="E84" i="20" s="1"/>
  <c r="I85" i="20"/>
  <c r="G85" i="20" s="1"/>
  <c r="H83" i="20"/>
  <c r="J83" i="20"/>
  <c r="E85" i="20" l="1"/>
  <c r="G84" i="20"/>
  <c r="E13" i="7" l="1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H7" i="3" l="1"/>
  <c r="H5" i="3"/>
  <c r="K6" i="5"/>
  <c r="K5" i="5"/>
  <c r="J8" i="9" l="1"/>
  <c r="F20" i="5" l="1"/>
  <c r="F19" i="5"/>
  <c r="F15" i="5" s="1"/>
  <c r="B86" i="21" l="1"/>
  <c r="B87" i="21"/>
  <c r="B88" i="21"/>
  <c r="B89" i="21"/>
  <c r="B85" i="21"/>
  <c r="H94" i="20"/>
  <c r="H93" i="20"/>
  <c r="H92" i="20"/>
  <c r="H91" i="20"/>
  <c r="H90" i="20"/>
  <c r="I91" i="20"/>
  <c r="E91" i="20" s="1"/>
  <c r="C86" i="21" s="1"/>
  <c r="I92" i="20"/>
  <c r="I93" i="20"/>
  <c r="G93" i="20" s="1"/>
  <c r="I94" i="20"/>
  <c r="G94" i="20" s="1"/>
  <c r="D89" i="21" s="1"/>
  <c r="I90" i="20"/>
  <c r="G90" i="20" s="1"/>
  <c r="D85" i="21" s="1"/>
  <c r="I89" i="20"/>
  <c r="G89" i="20" s="1"/>
  <c r="B80" i="21"/>
  <c r="B81" i="21"/>
  <c r="H87" i="20"/>
  <c r="H86" i="20"/>
  <c r="I87" i="20"/>
  <c r="G87" i="20" s="1"/>
  <c r="I86" i="20"/>
  <c r="G86" i="20" s="1"/>
  <c r="J87" i="20"/>
  <c r="J86" i="20"/>
  <c r="D56" i="4"/>
  <c r="C56" i="4"/>
  <c r="E5" i="5" s="1"/>
  <c r="B83" i="21"/>
  <c r="J89" i="20"/>
  <c r="H89" i="20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8" i="20"/>
  <c r="I88" i="20"/>
  <c r="G88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Q38" i="7"/>
  <c r="Q43" i="7" s="1"/>
  <c r="D80" i="21" l="1"/>
  <c r="E89" i="20"/>
  <c r="C83" i="21" s="1"/>
  <c r="E92" i="20"/>
  <c r="C87" i="21" s="1"/>
  <c r="E94" i="20"/>
  <c r="C89" i="21" s="1"/>
  <c r="G92" i="20"/>
  <c r="D87" i="21" s="1"/>
  <c r="G91" i="20"/>
  <c r="D86" i="21" s="1"/>
  <c r="F87" i="20"/>
  <c r="D81" i="21" s="1"/>
  <c r="E90" i="20"/>
  <c r="C85" i="21" s="1"/>
  <c r="E93" i="20"/>
  <c r="C88" i="21" s="1"/>
  <c r="D88" i="21"/>
  <c r="D6" i="5"/>
  <c r="E86" i="20"/>
  <c r="C80" i="21" s="1"/>
  <c r="E87" i="20"/>
  <c r="C81" i="21" s="1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C79" i="21" s="1"/>
  <c r="D78" i="21"/>
  <c r="E53" i="20"/>
  <c r="C49" i="21" s="1"/>
  <c r="E72" i="20"/>
  <c r="C68" i="21" s="1"/>
  <c r="E74" i="20"/>
  <c r="C70" i="21" s="1"/>
  <c r="E75" i="20"/>
  <c r="C71" i="21" s="1"/>
  <c r="E57" i="20"/>
  <c r="C53" i="21" s="1"/>
  <c r="E88" i="20"/>
  <c r="C82" i="21" s="1"/>
  <c r="B40" i="10" s="1"/>
  <c r="D83" i="21"/>
  <c r="E73" i="20"/>
  <c r="C69" i="21" s="1"/>
  <c r="D58" i="21"/>
  <c r="E54" i="20"/>
  <c r="C50" i="21" s="1"/>
  <c r="D6" i="10"/>
  <c r="D15" i="10"/>
  <c r="D25" i="10"/>
  <c r="E67" i="20"/>
  <c r="C63" i="21" s="1"/>
  <c r="D10" i="10"/>
  <c r="D26" i="10"/>
  <c r="G83" i="20"/>
  <c r="D79" i="21" s="1"/>
  <c r="D20" i="10"/>
  <c r="E80" i="20"/>
  <c r="C76" i="21" s="1"/>
  <c r="D5" i="10"/>
  <c r="D30" i="10"/>
  <c r="G55" i="20"/>
  <c r="D51" i="21" s="1"/>
  <c r="E77" i="20"/>
  <c r="C73" i="21" s="1"/>
  <c r="D16" i="10"/>
  <c r="D82" i="21"/>
  <c r="C40" i="10" s="1"/>
  <c r="D75" i="21"/>
  <c r="E63" i="20"/>
  <c r="C59" i="21" s="1"/>
  <c r="D64" i="21"/>
  <c r="D73" i="21"/>
  <c r="D57" i="21"/>
  <c r="D50" i="21"/>
  <c r="E81" i="20"/>
  <c r="C77" i="21" s="1"/>
  <c r="D71" i="21"/>
  <c r="E62" i="20"/>
  <c r="C58" i="21" s="1"/>
  <c r="E68" i="20"/>
  <c r="C64" i="21" s="1"/>
  <c r="E55" i="20"/>
  <c r="C51" i="21" s="1"/>
  <c r="D77" i="21"/>
  <c r="D63" i="2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D76" i="21"/>
  <c r="D72" i="21"/>
  <c r="D74" i="21"/>
  <c r="D69" i="21"/>
  <c r="D70" i="21"/>
  <c r="D68" i="21"/>
  <c r="D67" i="21"/>
  <c r="D66" i="21"/>
  <c r="D65" i="21"/>
  <c r="D62" i="21"/>
  <c r="D61" i="21"/>
  <c r="D60" i="21"/>
  <c r="D59" i="21"/>
  <c r="D56" i="21"/>
  <c r="E58" i="20"/>
  <c r="C54" i="21" s="1"/>
  <c r="D55" i="21"/>
  <c r="D54" i="21"/>
  <c r="D53" i="21"/>
  <c r="D52" i="21"/>
  <c r="D49" i="21"/>
  <c r="D48" i="21"/>
  <c r="D47" i="21"/>
  <c r="D46" i="21"/>
  <c r="D45" i="2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D40" i="21"/>
  <c r="E44" i="20"/>
  <c r="C40" i="21" s="1"/>
  <c r="E45" i="20"/>
  <c r="C41" i="21" s="1"/>
  <c r="D41" i="21"/>
  <c r="E46" i="20"/>
  <c r="C42" i="21" s="1"/>
  <c r="E47" i="20"/>
  <c r="C43" i="21" s="1"/>
  <c r="D43" i="21"/>
  <c r="D44" i="2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7" i="4"/>
  <c r="D67" i="4"/>
  <c r="C68" i="4"/>
  <c r="D68" i="4"/>
  <c r="C64" i="4"/>
  <c r="D64" i="4"/>
  <c r="C63" i="4"/>
  <c r="D63" i="4"/>
  <c r="C51" i="4"/>
  <c r="D51" i="4"/>
  <c r="C52" i="4"/>
  <c r="D52" i="4"/>
  <c r="C53" i="4"/>
  <c r="D53" i="4"/>
  <c r="C54" i="4"/>
  <c r="D54" i="4"/>
  <c r="C55" i="4"/>
  <c r="D55" i="4"/>
  <c r="D69" i="4"/>
  <c r="C69" i="4"/>
  <c r="D70" i="4"/>
  <c r="C70" i="4"/>
  <c r="D71" i="4"/>
  <c r="C71" i="4"/>
  <c r="D65" i="4"/>
  <c r="C65" i="4"/>
  <c r="D62" i="4"/>
  <c r="C62" i="4"/>
  <c r="D66" i="4"/>
  <c r="C66" i="4"/>
  <c r="D60" i="4"/>
  <c r="C60" i="4"/>
  <c r="D59" i="4"/>
  <c r="D57" i="4"/>
  <c r="C59" i="4"/>
  <c r="C57" i="4"/>
  <c r="C58" i="4"/>
  <c r="D58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D25" i="21"/>
  <c r="D5" i="12"/>
  <c r="H83" i="21"/>
  <c r="G17" i="20"/>
  <c r="D11" i="21" s="1"/>
  <c r="D5" i="3"/>
  <c r="D6" i="3"/>
  <c r="G14" i="20"/>
  <c r="D8" i="21" s="1"/>
  <c r="G15" i="20"/>
  <c r="D9" i="21" s="1"/>
  <c r="G29" i="20"/>
  <c r="D24" i="21" s="1"/>
  <c r="D32" i="10"/>
  <c r="D22" i="10"/>
  <c r="D12" i="10"/>
  <c r="D23" i="10"/>
  <c r="D13" i="10"/>
  <c r="D33" i="10"/>
  <c r="D28" i="10"/>
  <c r="D18" i="10"/>
  <c r="D8" i="10"/>
  <c r="G26" i="20"/>
  <c r="D20" i="21" s="1"/>
  <c r="E24" i="20"/>
  <c r="C18" i="21" s="1"/>
  <c r="G24" i="20"/>
  <c r="G42" i="20"/>
  <c r="D37" i="21" s="1"/>
  <c r="D21" i="10"/>
  <c r="D11" i="10"/>
  <c r="D31" i="10"/>
  <c r="D7" i="10"/>
  <c r="D27" i="10"/>
  <c r="D17" i="10"/>
  <c r="E33" i="20"/>
  <c r="C28" i="21" s="1"/>
  <c r="G33" i="20"/>
  <c r="G41" i="20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D19" i="21" s="1"/>
  <c r="E37" i="20"/>
  <c r="C32" i="21" s="1"/>
  <c r="G37" i="20"/>
  <c r="D32" i="21" s="1"/>
  <c r="E22" i="20"/>
  <c r="C16" i="21" s="1"/>
  <c r="G22" i="20"/>
  <c r="E38" i="20"/>
  <c r="C33" i="21" s="1"/>
  <c r="G38" i="20"/>
  <c r="D33" i="21" s="1"/>
  <c r="D30" i="2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D27" i="21"/>
  <c r="D31" i="21"/>
  <c r="D7" i="21"/>
  <c r="D35" i="21"/>
  <c r="D10" i="21"/>
  <c r="D15" i="21"/>
  <c r="D34" i="21"/>
  <c r="E40" i="20"/>
  <c r="C35" i="21" s="1"/>
  <c r="D38" i="21"/>
  <c r="D42" i="21"/>
  <c r="E41" i="20"/>
  <c r="C36" i="21" s="1"/>
  <c r="E35" i="20"/>
  <c r="C30" i="21" s="1"/>
  <c r="E32" i="20"/>
  <c r="C27" i="21" s="1"/>
  <c r="E31" i="20"/>
  <c r="C26" i="21" s="1"/>
  <c r="D28" i="21"/>
  <c r="D26" i="21"/>
  <c r="D29" i="21"/>
  <c r="E21" i="20"/>
  <c r="C15" i="21" s="1"/>
  <c r="E28" i="20"/>
  <c r="C23" i="21" s="1"/>
  <c r="D23" i="2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D17" i="21" l="1"/>
  <c r="D12" i="21"/>
  <c r="D18" i="21"/>
  <c r="D13" i="21"/>
  <c r="D21" i="21"/>
  <c r="D14" i="21"/>
  <c r="D16" i="2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J5" i="12"/>
  <c r="K5" i="12" s="1"/>
  <c r="I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Q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G30" i="2"/>
  <c r="G33" i="2" s="1"/>
  <c r="E7" i="2" s="1"/>
  <c r="J20" i="5"/>
  <c r="E11" i="2" l="1"/>
  <c r="F17" i="5"/>
  <c r="F18" i="5" s="1"/>
  <c r="F22" i="5" s="1"/>
  <c r="F5" i="5" s="1"/>
  <c r="F6" i="5" s="1"/>
  <c r="E9" i="2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 l="1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D29" i="2" s="1"/>
  <c r="E25" i="2"/>
  <c r="I6" i="7"/>
  <c r="J10" i="7"/>
  <c r="I10" i="7"/>
  <c r="J6" i="7"/>
  <c r="J8" i="7"/>
  <c r="I8" i="7"/>
  <c r="J7" i="7"/>
  <c r="I7" i="7"/>
  <c r="S32" i="2"/>
  <c r="I12" i="7" l="1"/>
  <c r="I11" i="7"/>
  <c r="J11" i="7"/>
  <c r="E28" i="2"/>
  <c r="D30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<sst xmlns="http://schemas.openxmlformats.org/spreadsheetml/2006/main" count="1234" uniqueCount="514">
  <si>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</si>
  <si>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</si>
  <si>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</si>
  <si>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</si>
  <si>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</si>
  <si>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</si>
  <si>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</si>
  <si>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</si>
  <si>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</si>
  <si>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</si>
  <si>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</si>
  <si>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</si>
  <si>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</si>
  <si>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</si>
  <si>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</si>
  <si>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</si>
  <si>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</si>
  <si>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</si>
  <si>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</si>
  <si>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</si>
  <si>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</si>
  <si>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</si>
  <si>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</si>
  <si>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</si>
  <si>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</si>
  <si>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</si>
  <si>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</si>
  <si>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</si>
  <si>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</si>
  <si>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</si>
  <si>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</si>
  <si>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</si>
  <si>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</si>
  <si>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</si>
  <si>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</si>
  <si>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</si>
  <si>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</si>
  <si>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</si>
  <si>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</si>
  <si>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</si>
  <si>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</si>
  <si>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</si>
  <si>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</si>
  <si>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</si>
  <si>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</si>
  <si>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</si>
  <si>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</si>
  <si>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</si>
  <si>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</si>
  <si>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</si>
  <si>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</si>
  <si>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</si>
  <si>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</si>
  <si>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</si>
  <si>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</si>
  <si>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</si>
  <si>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</si>
  <si>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</si>
  <si>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</si>
  <si>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</si>
  <si>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</si>
  <si>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</si>
  <si>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</si>
  <si>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</si>
  <si>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</si>
  <si>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</si>
  <si>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</si>
  <si>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</si>
  <si>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</si>
  <si>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</si>
  <si>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</si>
  <si>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</si>
  <si>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</si>
  <si>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</si>
  <si>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</si>
  <si>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</si>
  <si>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</si>
  <si>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</si>
  <si>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</si>
  <si>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</si>
  <si>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</si>
  <si>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</si>
  <si>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</si>
  <si>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</si>
  <si>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</si>
  <si>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</si>
  <si>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</si>
  <si>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</si>
  <si>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</si>
  <si>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</si>
  <si>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</si>
  <si>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</si>
  <si>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</si>
  <si>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</si>
  <si>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</si>
  <si>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</si>
  <si>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</si>
  <si>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</si>
  <si>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</si>
  <si>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</si>
  <si>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</si>
  <si>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</si>
  <si>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</si>
  <si>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</si>
  <si>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</si>
  <si>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</si>
  <si>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</si>
  <si>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</si>
  <si>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</si>
  <si>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</si>
  <si>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</si>
  <si>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</si>
  <si>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</si>
  <si>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</si>
  <si>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</si>
  <si>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</si>
  <si>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</si>
  <si>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</si>
  <si>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</si>
  <si>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</si>
  <si>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</si>
  <si>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</si>
  <si>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</si>
  <si>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</si>
  <si>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</si>
  <si>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</si>
  <si>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</si>
  <si>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</si>
  <si>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</si>
  <si>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</si>
  <si>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</si>
  <si>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</si>
  <si>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</si>
  <si>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</si>
  <si>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</si>
  <si>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</si>
  <si>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</si>
  <si>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</si>
  <si>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</si>
  <si>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</si>
  <si>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</si>
  <si>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</si>
  <si>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</si>
  <si>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</si>
  <si>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</si>
  <si>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</si>
  <si>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</si>
  <si>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</si>
  <si>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</si>
  <si>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</si>
  <si>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</si>
  <si>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</si>
  <si>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</si>
  <si>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</si>
  <si>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</si>
  <si>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</si>
  <si>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</si>
  <si>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</si>
  <si>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</si>
  <si>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</si>
  <si>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</si>
  <si>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</si>
  <si>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</si>
  <si>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</si>
  <si>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</si>
  <si>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</si>
  <si>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</si>
  <si>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</si>
  <si>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</si>
  <si>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</si>
  <si>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</si>
  <si>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</si>
  <si>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</si>
  <si>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</si>
  <si>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</si>
  <si>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</si>
  <si>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</si>
  <si>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</si>
  <si>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</si>
  <si>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</si>
  <si>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</si>
  <si>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</si>
  <si>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</si>
  <si>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</si>
  <si>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</si>
  <si>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</si>
  <si>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</si>
  <si>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</si>
  <si>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</si>
  <si>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</si>
  <si>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</si>
  <si>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</si>
  <si>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</si>
  <si>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</si>
  <si>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</si>
  <si>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</si>
  <si>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</si>
  <si>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</si>
  <si>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</si>
  <si>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</si>
  <si>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</si>
  <si>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</si>
  <si>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</si>
  <si>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</si>
  <si>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</si>
  <si>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</si>
  <si>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</si>
  <si>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</si>
  <si>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</si>
  <si>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</si>
  <si>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</si>
  <si>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</si>
  <si>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</si>
  <si>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</si>
  <si>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</si>
  <si>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</si>
  <si>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</si>
  <si>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</si>
  <si>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</si>
  <si>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</si>
  <si>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</si>
  <si>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</si>
  <si>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</si>
  <si>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</si>
  <si>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</si>
  <si>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</si>
  <si>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</si>
  <si>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</si>
  <si>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</si>
  <si>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</si>
  <si>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</si>
  <si>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</si>
  <si>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</si>
  <si>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</si>
  <si>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</si>
  <si>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</si>
  <si>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</si>
  <si>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</si>
  <si>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</si>
  <si>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</si>
  <si>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</si>
  <si>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</si>
  <si>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</si>
  <si>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</si>
  <si>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</si>
  <si>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</si>
  <si>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</si>
  <si>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</si>
  <si>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</si>
  <si>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</si>
  <si>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</si>
  <si>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</si>
  <si>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</si>
  <si>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</si>
  <si>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</si>
  <si>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</si>
  <si>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</si>
  <si>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</si>
  <si>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</si>
  <si>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</si>
  <si>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</si>
  <si>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</si>
  <si>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</si>
  <si>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</si>
  <si>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</si>
  <si>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</si>
  <si>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</si>
  <si>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</si>
  <si>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</si>
  <si>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</si>
  <si>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</si>
  <si>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</si>
  <si>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</si>
  <si>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</si>
  <si>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</si>
  <si>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</si>
  <si>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</si>
  <si>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</si>
  <si>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</si>
  <si>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</si>
  <si>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</si>
  <si>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</si>
  <si>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</si>
  <si>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</si>
  <si>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</si>
  <si>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</si>
  <si>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</si>
  <si>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</si>
  <si>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</si>
  <si>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</si>
  <si>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</si>
  <si>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</si>
  <si>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</si>
  <si>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</si>
  <si>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</si>
  <si>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</si>
  <si>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</si>
  <si>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</si>
  <si>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</si>
  <si>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</si>
  <si>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</si>
  <si>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</si>
  <si>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</si>
  <si>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</si>
  <si>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</si>
  <si>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</si>
  <si>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</si>
  <si>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</si>
  <si>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</si>
  <si>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</si>
  <si>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</si>
  <si>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</si>
  <si>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</si>
  <si>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</si>
  <si>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</si>
  <si>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</si>
  <si>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</si>
  <si>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</si>
  <si>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</si>
  <si>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</si>
  <si>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</si>
  <si>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</si>
  <si>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</si>
  <si>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</si>
  <si>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</si>
  <si>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</si>
  <si>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</si>
  <si>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</si>
  <si>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</si>
  <si>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</si>
  <si>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</si>
  <si>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</si>
  <si>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</si>
  <si>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</si>
  <si>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</si>
  <si>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</si>
  <si>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</si>
  <si>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</si>
  <si>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</si>
  <si>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</si>
  <si>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</si>
  <si>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</si>
  <si>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</si>
  <si>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</si>
  <si>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</si>
  <si>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</si>
  <si>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</si>
  <si>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</si>
  <si>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</si>
  <si>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</si>
  <si>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</si>
  <si>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</si>
  <si>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</si>
  <si>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</si>
  <si>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</si>
  <si>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</si>
  <si>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</si>
  <si>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</si>
  <si>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</si>
  <si>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</si>
  <si>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</si>
  <si>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</si>
  <si>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</si>
  <si>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</si>
  <si>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</si>
  <si>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</si>
  <si>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</si>
  <si>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</si>
  <si>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</si>
  <si>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</si>
  <si>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</si>
  <si>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</si>
  <si>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</si>
  <si>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</si>
  <si>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</si>
  <si>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</si>
  <si>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</si>
  <si>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</si>
  <si>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</si>
  <si>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</si>
  <si>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</si>
  <si>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</si>
  <si>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</si>
  <si>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</si>
  <si>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</si>
  <si>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</si>
  <si>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</si>
  <si>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</si>
  <si>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</si>
  <si>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</si>
  <si>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</si>
  <si>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</si>
  <si>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</si>
  <si>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</si>
  <si>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</si>
  <si>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</si>
  <si>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</si>
  <si>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</si>
  <si>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</si>
  <si>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</si>
  <si>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</si>
  <si>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</si>
  <si>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</si>
  <si>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</si>
  <si>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</si>
  <si>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</si>
  <si>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</si>
  <si>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</si>
  <si>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</si>
  <si>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</si>
  <si>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</si>
  <si>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</si>
  <si>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</si>
  <si>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</si>
  <si>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</si>
  <si>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</si>
  <si>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</si>
  <si>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</si>
  <si>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</si>
  <si>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</si>
  <si>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</si>
  <si>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</si>
  <si>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</si>
  <si>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</si>
  <si>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</si>
  <si>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</si>
  <si>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</si>
  <si>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</si>
  <si>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</si>
  <si>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</si>
  <si>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</si>
  <si>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</si>
  <si>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</si>
  <si>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</si>
  <si>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</si>
  <si>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</si>
  <si>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</si>
  <si>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</si>
  <si>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</si>
  <si>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</si>
  <si>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</si>
  <si>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</si>
  <si>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</si>
  <si>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</si>
  <si>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</si>
  <si>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</si>
  <si>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</si>
  <si>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</si>
  <si>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</si>
  <si>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</si>
  <si>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</si>
  <si>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</si>
  <si>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</si>
  <si>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</si>
  <si>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</si>
  <si>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</si>
  <si>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</si>
  <si>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</si>
  <si>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</si>
  <si>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</si>
  <si>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</si>
  <si>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</si>
  <si>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</si>
  <si>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</si>
  <si>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</si>
  <si>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</si>
  <si>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</si>
  <si>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</si>
  <si>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</si>
  <si>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</si>
  <si>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</si>
  <si>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</si>
  <si>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</si>
  <si>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</si>
  <si>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</si>
  <si>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</si>
  <si>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</si>
  <si>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</si>
  <si>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</si>
  <si>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</si>
  <si>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</si>
  <si>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</si>
  <si>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</si>
  <si>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</si>
  <si>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</si>
  <si>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</si>
  <si>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</si>
  <si>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</si>
  <si>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</si>
  <si>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</si>
  <si>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</si>
  <si>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</si>
  <si>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</si>
  <si>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</si>
  <si>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</si>
  <si>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</si>
  <si>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</si>
  <si>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</si>
  <si>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</si>
  <si>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</si>
  <si>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</si>
  <si>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</si>
  <si>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</si>
  <si>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</si>
  <si>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</si>
  <si>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</si>
  <si>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</si>
  <si>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</si>
  <si>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Share~UP~0</t>
  </si>
  <si>
    <t>I/E rule</t>
  </si>
  <si>
    <t>CYC</t>
  </si>
  <si>
    <t>WLK</t>
  </si>
  <si>
    <t>Cycling</t>
  </si>
  <si>
    <t>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</si>
</sst>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9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4" borderId="49" xfId="8" applyNumberFormat="1" applyFont="1" applyFill="1" applyBorder="1" applyAlignment="1">
      <alignment horizontal="center"/>
    </xf>
    <xf numFmtId="38" fontId="47" fillId="24" borderId="40" xfId="8" applyNumberFormat="1" applyFont="1" applyFill="1" applyBorder="1" applyAlignment="1">
      <alignment horizontal="center"/>
    </xf>
    <xf numFmtId="38" fontId="12" fillId="24" borderId="79" xfId="8" applyNumberFormat="1" applyFont="1" applyFill="1" applyBorder="1" applyAlignment="1">
      <alignment horizontal="center"/>
    </xf>
    <xf numFmtId="38" fontId="12" fillId="24" borderId="89" xfId="8" applyNumberFormat="1" applyFont="1" applyFill="1" applyBorder="1" applyAlignment="1">
      <alignment horizontal="center"/>
    </xf>
    <xf numFmtId="38" fontId="12" fillId="24" borderId="96" xfId="8" applyNumberFormat="1" applyFont="1" applyFill="1" applyBorder="1" applyAlignment="1">
      <alignment horizontal="center"/>
    </xf>
    <xf numFmtId="38" fontId="12" fillId="24" borderId="37" xfId="8" applyNumberFormat="1" applyFont="1" applyFill="1" applyBorder="1" applyAlignment="1">
      <alignment horizontal="center"/>
    </xf>
    <xf numFmtId="38" fontId="12" fillId="24" borderId="54" xfId="8" applyNumberFormat="1" applyFont="1" applyFill="1" applyBorder="1" applyAlignment="1">
      <alignment horizontal="center"/>
    </xf>
    <xf numFmtId="38" fontId="47" fillId="24" borderId="67" xfId="8" applyNumberFormat="1" applyFont="1" applyFill="1" applyBorder="1" applyAlignment="1">
      <alignment horizontal="center"/>
    </xf>
    <xf numFmtId="38" fontId="47" fillId="24" borderId="96" xfId="8" applyNumberFormat="1" applyFont="1" applyFill="1" applyBorder="1" applyAlignment="1">
      <alignment horizontal="center"/>
    </xf>
    <xf numFmtId="38" fontId="12" fillId="24" borderId="118" xfId="8" applyNumberFormat="1" applyFont="1" applyFill="1" applyBorder="1" applyAlignment="1">
      <alignment horizontal="center"/>
    </xf>
    <xf numFmtId="38" fontId="12" fillId="24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4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17" fillId="0" borderId="0" xfId="2" applyNumberFormat="1" applyFont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26" fillId="0" borderId="123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4"/>
  <sheetViews>
    <sheetView topLeftCell="A71" zoomScaleNormal="100" workbookViewId="0">
      <selection activeCell="C97" sqref="C97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3" t="s">
        <v>346</v>
      </c>
      <c r="C2" s="294"/>
      <c r="E2" s="293" t="s">
        <v>446</v>
      </c>
      <c r="F2" s="294"/>
      <c r="I2" s="293" t="s">
        <v>471</v>
      </c>
      <c r="J2" s="294"/>
      <c r="M2" s="293" t="s">
        <v>453</v>
      </c>
      <c r="N2" s="294"/>
      <c r="P2" s="293" t="s">
        <v>456</v>
      </c>
      <c r="Q2" s="294"/>
    </row>
    <row r="3" spans="2:18" ht="15.75" thickBot="1">
      <c r="B3" s="295" t="s">
        <v>347</v>
      </c>
      <c r="C3" s="295" t="s">
        <v>348</v>
      </c>
      <c r="E3" s="295" t="s">
        <v>347</v>
      </c>
      <c r="F3" s="295" t="s">
        <v>348</v>
      </c>
      <c r="I3" s="295" t="s">
        <v>347</v>
      </c>
      <c r="J3" s="295" t="s">
        <v>348</v>
      </c>
      <c r="M3" s="295" t="s">
        <v>347</v>
      </c>
      <c r="N3" s="295" t="s">
        <v>348</v>
      </c>
      <c r="P3" s="295" t="s">
        <v>347</v>
      </c>
      <c r="Q3" s="295" t="s">
        <v>348</v>
      </c>
    </row>
    <row r="4" spans="2:18">
      <c r="B4" s="296" t="s">
        <v>403</v>
      </c>
      <c r="C4" s="296" t="s">
        <v>404</v>
      </c>
      <c r="E4" s="296" t="s">
        <v>9</v>
      </c>
      <c r="F4" s="296" t="s">
        <v>498</v>
      </c>
      <c r="I4" s="296" t="s">
        <v>447</v>
      </c>
      <c r="J4" s="296" t="s">
        <v>472</v>
      </c>
      <c r="M4" s="296" t="s">
        <v>451</v>
      </c>
      <c r="N4" s="296" t="s">
        <v>454</v>
      </c>
      <c r="P4" s="296" t="s">
        <v>457</v>
      </c>
      <c r="Q4" s="296" t="s">
        <v>459</v>
      </c>
    </row>
    <row r="5" spans="2:18">
      <c r="B5" s="296" t="s">
        <v>349</v>
      </c>
      <c r="C5" s="296" t="s">
        <v>252</v>
      </c>
      <c r="E5" s="296" t="s">
        <v>13</v>
      </c>
      <c r="F5" s="296" t="s">
        <v>468</v>
      </c>
      <c r="I5" s="296" t="s">
        <v>473</v>
      </c>
      <c r="J5" s="296"/>
      <c r="M5" s="296" t="s">
        <v>452</v>
      </c>
      <c r="N5" s="296" t="s">
        <v>455</v>
      </c>
      <c r="P5" s="296" t="s">
        <v>458</v>
      </c>
      <c r="Q5" s="296" t="s">
        <v>460</v>
      </c>
    </row>
    <row r="6" spans="2:18" s="290" customFormat="1">
      <c r="B6" s="296"/>
      <c r="C6" s="296"/>
      <c r="E6" s="296" t="s">
        <v>64</v>
      </c>
      <c r="F6" s="296" t="s">
        <v>469</v>
      </c>
      <c r="I6" s="290" t="s">
        <v>499</v>
      </c>
      <c r="J6" s="290" t="s">
        <v>500</v>
      </c>
      <c r="M6" s="296"/>
      <c r="N6" s="296"/>
      <c r="P6" s="296"/>
      <c r="Q6" s="296"/>
    </row>
    <row r="7" spans="2:18">
      <c r="B7" s="296"/>
      <c r="C7" s="296"/>
      <c r="E7" s="296" t="s">
        <v>496</v>
      </c>
      <c r="F7" s="296" t="s">
        <v>497</v>
      </c>
      <c r="I7" s="296" t="s">
        <v>477</v>
      </c>
      <c r="J7" s="296" t="s">
        <v>481</v>
      </c>
      <c r="P7" s="294"/>
      <c r="Q7" s="294"/>
    </row>
    <row r="8" spans="2:18">
      <c r="B8" s="294"/>
      <c r="C8" s="294"/>
      <c r="E8" s="296" t="s">
        <v>470</v>
      </c>
      <c r="F8" s="296" t="s">
        <v>492</v>
      </c>
      <c r="I8" s="296" t="s">
        <v>478</v>
      </c>
      <c r="J8" s="296" t="s">
        <v>482</v>
      </c>
    </row>
    <row r="9" spans="2:18" s="294" customFormat="1">
      <c r="E9" s="296" t="s">
        <v>493</v>
      </c>
      <c r="F9" s="296" t="s">
        <v>494</v>
      </c>
      <c r="I9" s="294" t="s">
        <v>479</v>
      </c>
      <c r="J9" s="296" t="s">
        <v>483</v>
      </c>
    </row>
    <row r="10" spans="2:18" s="294" customFormat="1">
      <c r="I10" s="296" t="s">
        <v>480</v>
      </c>
      <c r="J10" s="296" t="s">
        <v>484</v>
      </c>
    </row>
    <row r="11" spans="2:18" ht="18.75">
      <c r="B11" s="293" t="s">
        <v>350</v>
      </c>
      <c r="C11" s="294"/>
      <c r="E11" s="293" t="s">
        <v>467</v>
      </c>
      <c r="F11" s="294"/>
      <c r="G11" s="294"/>
      <c r="H11" s="294"/>
      <c r="I11" s="294"/>
      <c r="J11" s="294"/>
      <c r="K11" s="294"/>
      <c r="L11" t="s">
        <v>427</v>
      </c>
      <c r="M11" s="293" t="s">
        <v>405</v>
      </c>
      <c r="N11" s="294"/>
    </row>
    <row r="12" spans="2:18" ht="15.75" thickBot="1">
      <c r="B12" s="295" t="s">
        <v>347</v>
      </c>
      <c r="C12" s="295" t="s">
        <v>348</v>
      </c>
      <c r="E12" s="295" t="s">
        <v>347</v>
      </c>
      <c r="F12" s="295" t="s">
        <v>348</v>
      </c>
      <c r="G12" s="295" t="s">
        <v>410</v>
      </c>
      <c r="H12" s="295" t="s">
        <v>411</v>
      </c>
      <c r="I12" s="295" t="s">
        <v>413</v>
      </c>
      <c r="J12" s="295" t="s">
        <v>448</v>
      </c>
      <c r="K12" s="295" t="s">
        <v>412</v>
      </c>
      <c r="M12" s="295" t="s">
        <v>347</v>
      </c>
      <c r="N12" s="295" t="s">
        <v>348</v>
      </c>
    </row>
    <row r="13" spans="2:18">
      <c r="B13" s="296" t="s">
        <v>351</v>
      </c>
      <c r="C13" s="296" t="s">
        <v>88</v>
      </c>
      <c r="E13" s="296" t="str">
        <f t="shared" ref="E13" si="0">I13&amp;H13&amp;J13</f>
        <v>IMPCOABIT</v>
      </c>
      <c r="F13" s="294" t="str">
        <f>G13 &amp; " of " &amp; VLOOKUP(H13,$B$13:$C$91,2,FALSE) &amp; IF(J13&lt;&gt;0,IF(VLOOKUP(J13,$I$4:$J$10,2,FALSE)&lt;&gt;""," - " &amp; VLOOKUP(J13,$I$4:$J$10,2,FALSE),""),"")</f>
        <v xml:space="preserve">Import of Bituminous Coal </v>
      </c>
      <c r="G13" s="296" t="str">
        <f t="shared" ref="G13:G44" si="1">VLOOKUP(I13,$E$4:$F$9,2,FALSE)</f>
        <v>Import</v>
      </c>
      <c r="H13" s="296" t="str">
        <f>B46</f>
        <v>COABIT</v>
      </c>
      <c r="I13" s="296" t="str">
        <f t="shared" ref="I13:I43" si="2">$E$5</f>
        <v>IMP</v>
      </c>
      <c r="J13" s="297"/>
      <c r="K13" s="296" t="s">
        <v>13</v>
      </c>
      <c r="M13" s="296" t="s">
        <v>406</v>
      </c>
      <c r="N13" s="296" t="s">
        <v>461</v>
      </c>
    </row>
    <row r="14" spans="2:18">
      <c r="B14" s="296" t="s">
        <v>352</v>
      </c>
      <c r="C14" s="296" t="s">
        <v>353</v>
      </c>
      <c r="E14" s="296" t="str">
        <f>I14&amp;H14&amp;J14</f>
        <v>IMPCOAHAR</v>
      </c>
      <c r="F14" s="294" t="str">
        <f t="shared" ref="F14:F77" si="3">G14 &amp; " of " &amp; VLOOKUP(H14,$B$13:$C$91,2,FALSE) &amp; IF(J14&lt;&gt;0,IF(VLOOKUP(J14,$I$4:$J$10,2,FALSE)&lt;&gt;""," - " &amp; VLOOKUP(J14,$I$4:$J$10,2,FALSE),""),"")</f>
        <v xml:space="preserve">Import of Hard Coal / Antracite </v>
      </c>
      <c r="G14" s="296" t="str">
        <f t="shared" si="1"/>
        <v>Import</v>
      </c>
      <c r="H14" s="296" t="str">
        <f>B47</f>
        <v>COAHAR</v>
      </c>
      <c r="I14" s="296" t="str">
        <f t="shared" si="2"/>
        <v>IMP</v>
      </c>
      <c r="J14" s="297"/>
      <c r="K14" s="296" t="s">
        <v>13</v>
      </c>
      <c r="M14" s="296" t="s">
        <v>436</v>
      </c>
      <c r="N14" s="296" t="s">
        <v>462</v>
      </c>
    </row>
    <row r="15" spans="2:18">
      <c r="B15" s="296" t="s">
        <v>354</v>
      </c>
      <c r="C15" s="296" t="s">
        <v>355</v>
      </c>
      <c r="E15" s="296" t="str">
        <f t="shared" ref="E15:E16" si="4">I15&amp;H15&amp;J15</f>
        <v>IMPCOACOK</v>
      </c>
      <c r="F15" s="294" t="str">
        <f t="shared" si="3"/>
        <v xml:space="preserve">Import of Coke Coal </v>
      </c>
      <c r="G15" s="296" t="str">
        <f t="shared" si="1"/>
        <v>Import</v>
      </c>
      <c r="H15" s="296" t="str">
        <f>B48</f>
        <v>COACOK</v>
      </c>
      <c r="I15" s="296" t="str">
        <f t="shared" si="2"/>
        <v>IMP</v>
      </c>
      <c r="J15" s="297"/>
      <c r="K15" s="296" t="s">
        <v>13</v>
      </c>
      <c r="M15" s="296" t="s">
        <v>407</v>
      </c>
      <c r="N15" s="296" t="s">
        <v>463</v>
      </c>
    </row>
    <row r="16" spans="2:18">
      <c r="B16" s="296" t="s">
        <v>356</v>
      </c>
      <c r="C16" s="296" t="s">
        <v>357</v>
      </c>
      <c r="E16" s="296" t="str">
        <f t="shared" si="4"/>
        <v>IMPCOALIG</v>
      </c>
      <c r="F16" s="294" t="str">
        <f t="shared" si="3"/>
        <v xml:space="preserve">Import of Lignite /  Brown Coal </v>
      </c>
      <c r="G16" s="296" t="str">
        <f t="shared" si="1"/>
        <v>Import</v>
      </c>
      <c r="H16" s="296" t="str">
        <f>B49</f>
        <v>COALIG</v>
      </c>
      <c r="I16" s="296" t="str">
        <f t="shared" si="2"/>
        <v>IMP</v>
      </c>
      <c r="J16" s="297"/>
      <c r="K16" s="296" t="s">
        <v>13</v>
      </c>
      <c r="M16" s="296" t="s">
        <v>464</v>
      </c>
      <c r="N16" s="274" t="s">
        <v>465</v>
      </c>
      <c r="O16" s="294"/>
      <c r="P16" s="294"/>
      <c r="Q16" s="294"/>
      <c r="R16" s="294"/>
    </row>
    <row r="17" spans="2:14">
      <c r="B17" s="296" t="s">
        <v>358</v>
      </c>
      <c r="C17" s="296" t="s">
        <v>359</v>
      </c>
      <c r="E17" s="296" t="str">
        <f>I17&amp;H17&amp;J17</f>
        <v>IMPOILCRD</v>
      </c>
      <c r="F17" s="294" t="str">
        <f t="shared" si="3"/>
        <v xml:space="preserve">Import of Crude Oil </v>
      </c>
      <c r="G17" s="296" t="str">
        <f t="shared" si="1"/>
        <v>Import</v>
      </c>
      <c r="H17" s="296" t="str">
        <f>B51</f>
        <v>OILCRD</v>
      </c>
      <c r="I17" s="296" t="str">
        <f>$E$5</f>
        <v>IMP</v>
      </c>
      <c r="J17" s="297"/>
      <c r="K17" s="296" t="s">
        <v>13</v>
      </c>
      <c r="M17" s="296" t="s">
        <v>408</v>
      </c>
      <c r="N17" s="311" t="s">
        <v>432</v>
      </c>
    </row>
    <row r="18" spans="2:14">
      <c r="B18" s="296" t="s">
        <v>360</v>
      </c>
      <c r="C18" s="296" t="s">
        <v>361</v>
      </c>
      <c r="E18" s="296" t="str">
        <f>I18&amp;H18&amp;J18</f>
        <v>IMPOILKER</v>
      </c>
      <c r="F18" s="294" t="str">
        <f t="shared" si="3"/>
        <v xml:space="preserve">Import of Kerosene </v>
      </c>
      <c r="G18" s="296" t="str">
        <f t="shared" si="1"/>
        <v>Import</v>
      </c>
      <c r="H18" s="296" t="str">
        <f t="shared" ref="H18:H23" si="5">B53</f>
        <v>OILKER</v>
      </c>
      <c r="I18" s="296" t="str">
        <f t="shared" ref="I18:I24" si="6">$E$5</f>
        <v>IMP</v>
      </c>
      <c r="J18" s="297"/>
      <c r="K18" s="296" t="s">
        <v>13</v>
      </c>
      <c r="M18" s="296" t="s">
        <v>409</v>
      </c>
      <c r="N18" s="311" t="s">
        <v>433</v>
      </c>
    </row>
    <row r="19" spans="2:14">
      <c r="B19" s="296" t="s">
        <v>362</v>
      </c>
      <c r="C19" s="296" t="s">
        <v>87</v>
      </c>
      <c r="E19" s="296" t="str">
        <f>I19&amp;H19&amp;J19</f>
        <v>IMPOILHFO</v>
      </c>
      <c r="F19" s="294" t="str">
        <f t="shared" si="3"/>
        <v xml:space="preserve">Import of Heavy Fuel Oil </v>
      </c>
      <c r="G19" s="296" t="str">
        <f t="shared" si="1"/>
        <v>Import</v>
      </c>
      <c r="H19" s="296" t="str">
        <f t="shared" si="5"/>
        <v>OILHFO</v>
      </c>
      <c r="I19" s="296" t="str">
        <f t="shared" si="6"/>
        <v>IMP</v>
      </c>
      <c r="J19" s="297"/>
      <c r="K19" s="296" t="s">
        <v>13</v>
      </c>
      <c r="M19" s="296" t="s">
        <v>444</v>
      </c>
      <c r="N19" s="311" t="s">
        <v>445</v>
      </c>
    </row>
    <row r="20" spans="2:14">
      <c r="B20" s="296" t="s">
        <v>363</v>
      </c>
      <c r="C20" s="296" t="s">
        <v>364</v>
      </c>
      <c r="E20" s="296" t="str">
        <f>I20&amp;H20&amp;J20</f>
        <v>IMPOILDST</v>
      </c>
      <c r="F20" s="294" t="str">
        <f t="shared" si="3"/>
        <v xml:space="preserve">Import of Diesel Oil </v>
      </c>
      <c r="G20" s="296" t="str">
        <f t="shared" si="1"/>
        <v>Import</v>
      </c>
      <c r="H20" s="296" t="str">
        <f t="shared" si="5"/>
        <v>OILDST</v>
      </c>
      <c r="I20" s="296" t="str">
        <f t="shared" si="6"/>
        <v>IMP</v>
      </c>
      <c r="J20" s="297"/>
      <c r="K20" s="296" t="s">
        <v>13</v>
      </c>
      <c r="M20" s="296" t="s">
        <v>428</v>
      </c>
      <c r="N20" s="274" t="s">
        <v>431</v>
      </c>
    </row>
    <row r="21" spans="2:14">
      <c r="B21" s="296" t="s">
        <v>449</v>
      </c>
      <c r="C21" s="296" t="s">
        <v>450</v>
      </c>
      <c r="E21" s="296" t="str">
        <f t="shared" ref="E21:E22" si="7">I21&amp;H21&amp;J21</f>
        <v>IMPOILLPG</v>
      </c>
      <c r="F21" s="294" t="str">
        <f t="shared" si="3"/>
        <v xml:space="preserve">Import of Liquified Petroleum Gas </v>
      </c>
      <c r="G21" s="296" t="str">
        <f t="shared" si="1"/>
        <v>Import</v>
      </c>
      <c r="H21" s="296" t="str">
        <f t="shared" si="5"/>
        <v>OILLPG</v>
      </c>
      <c r="I21" s="296" t="str">
        <f t="shared" si="6"/>
        <v>IMP</v>
      </c>
      <c r="J21" s="297"/>
      <c r="K21" s="296" t="s">
        <v>13</v>
      </c>
      <c r="M21" s="296" t="s">
        <v>429</v>
      </c>
      <c r="N21" s="290" t="s">
        <v>434</v>
      </c>
    </row>
    <row r="22" spans="2:14">
      <c r="B22" s="296" t="s">
        <v>365</v>
      </c>
      <c r="C22" s="294" t="s">
        <v>366</v>
      </c>
      <c r="E22" s="296" t="str">
        <f t="shared" si="7"/>
        <v>IMPOILGSL</v>
      </c>
      <c r="F22" s="294" t="str">
        <f t="shared" si="3"/>
        <v xml:space="preserve">Import of Gasoline </v>
      </c>
      <c r="G22" s="296" t="str">
        <f t="shared" si="1"/>
        <v>Import</v>
      </c>
      <c r="H22" s="296" t="str">
        <f t="shared" si="5"/>
        <v>OILGSL</v>
      </c>
      <c r="I22" s="296" t="str">
        <f t="shared" si="6"/>
        <v>IMP</v>
      </c>
      <c r="J22" s="297"/>
      <c r="K22" s="296" t="s">
        <v>13</v>
      </c>
      <c r="M22" s="296" t="s">
        <v>430</v>
      </c>
      <c r="N22" s="290" t="s">
        <v>435</v>
      </c>
    </row>
    <row r="23" spans="2:14">
      <c r="B23" s="296" t="s">
        <v>367</v>
      </c>
      <c r="C23" s="296" t="s">
        <v>368</v>
      </c>
      <c r="E23" s="296" t="str">
        <f t="shared" ref="E23" si="8">I23&amp;H23&amp;J23</f>
        <v>IMPOILCOK</v>
      </c>
      <c r="F23" s="294" t="str">
        <f t="shared" si="3"/>
        <v xml:space="preserve">Import of Petroleum Coke </v>
      </c>
      <c r="G23" s="296" t="str">
        <f t="shared" si="1"/>
        <v>Import</v>
      </c>
      <c r="H23" s="296" t="str">
        <f t="shared" si="5"/>
        <v>OILCOK</v>
      </c>
      <c r="I23" s="296" t="str">
        <f t="shared" si="6"/>
        <v>IMP</v>
      </c>
      <c r="J23" s="297"/>
      <c r="K23" s="296" t="s">
        <v>13</v>
      </c>
      <c r="M23" s="290"/>
    </row>
    <row r="24" spans="2:14">
      <c r="B24" s="296" t="s">
        <v>369</v>
      </c>
      <c r="C24" s="296" t="s">
        <v>370</v>
      </c>
      <c r="E24" s="296" t="str">
        <f>I24&amp;H24&amp;J24</f>
        <v>IMPOILNEU</v>
      </c>
      <c r="F24" s="294" t="str">
        <f t="shared" si="3"/>
        <v>Import of Oil for Non-Energy uses</v>
      </c>
      <c r="G24" s="296" t="str">
        <f t="shared" si="1"/>
        <v>Import</v>
      </c>
      <c r="H24" s="296" t="str">
        <f>B60</f>
        <v>OILNEU</v>
      </c>
      <c r="I24" s="296" t="str">
        <f t="shared" si="6"/>
        <v>IMP</v>
      </c>
      <c r="J24" s="297"/>
      <c r="K24" s="296" t="s">
        <v>13</v>
      </c>
    </row>
    <row r="25" spans="2:14">
      <c r="B25" s="296" t="s">
        <v>371</v>
      </c>
      <c r="C25" s="296" t="s">
        <v>439</v>
      </c>
      <c r="E25" s="296" t="str">
        <f>I25&amp;H25&amp;J25</f>
        <v>IMPGASNAT_UK</v>
      </c>
      <c r="F25" s="294" t="str">
        <f t="shared" si="3"/>
        <v>Import of Natural Gas  - UK</v>
      </c>
      <c r="G25" s="296" t="str">
        <f t="shared" si="1"/>
        <v>Import</v>
      </c>
      <c r="H25" s="296" t="str">
        <f>B61</f>
        <v>GASNAT</v>
      </c>
      <c r="I25" s="296" t="str">
        <f t="shared" si="2"/>
        <v>IMP</v>
      </c>
      <c r="J25" s="296" t="str">
        <f>I4</f>
        <v>_UK</v>
      </c>
      <c r="K25" s="296" t="s">
        <v>13</v>
      </c>
    </row>
    <row r="26" spans="2:14">
      <c r="B26" s="296" t="s">
        <v>372</v>
      </c>
      <c r="C26" s="296" t="s">
        <v>373</v>
      </c>
      <c r="E26" s="296" t="str">
        <f>I26&amp;H26&amp;J26</f>
        <v>IMPGASLNG_GLOBAL</v>
      </c>
      <c r="F26" s="294" t="str">
        <f t="shared" si="3"/>
        <v xml:space="preserve">Import of Liquified Natural Gas </v>
      </c>
      <c r="G26" s="296" t="str">
        <f t="shared" si="1"/>
        <v>Import</v>
      </c>
      <c r="H26" s="296" t="str">
        <f>B62</f>
        <v>GASLNG</v>
      </c>
      <c r="I26" s="296" t="str">
        <f t="shared" si="2"/>
        <v>IMP</v>
      </c>
      <c r="J26" s="296" t="str">
        <f>I5</f>
        <v>_GLOBAL</v>
      </c>
      <c r="K26" s="296" t="s">
        <v>13</v>
      </c>
    </row>
    <row r="27" spans="2:14">
      <c r="B27" s="296" t="s">
        <v>374</v>
      </c>
      <c r="C27" s="296" t="s">
        <v>375</v>
      </c>
      <c r="E27" s="296" t="str">
        <f>I27&amp;H27&amp;J27</f>
        <v>IMPNUCURM</v>
      </c>
      <c r="F27" s="294" t="str">
        <f t="shared" si="3"/>
        <v>Import of Uranium</v>
      </c>
      <c r="G27" s="296" t="str">
        <f t="shared" si="1"/>
        <v>Import</v>
      </c>
      <c r="H27" s="296" t="str">
        <f>B63</f>
        <v>NUCURM</v>
      </c>
      <c r="I27" s="296" t="str">
        <f t="shared" si="2"/>
        <v>IMP</v>
      </c>
      <c r="J27" s="296"/>
      <c r="K27" s="296" t="s">
        <v>13</v>
      </c>
    </row>
    <row r="28" spans="2:14">
      <c r="B28" s="296" t="s">
        <v>441</v>
      </c>
      <c r="C28" s="296" t="s">
        <v>376</v>
      </c>
      <c r="E28" s="296" t="str">
        <f>I28&amp;H28&amp;J28</f>
        <v>IMPBIOETH1G_S1</v>
      </c>
      <c r="F28" s="294" t="str">
        <f t="shared" si="3"/>
        <v>Import of Ethanol 1st generation  - Step 1</v>
      </c>
      <c r="G28" s="296" t="str">
        <f t="shared" si="1"/>
        <v>Import</v>
      </c>
      <c r="H28" s="296" t="str">
        <f>B70</f>
        <v>BIOETH1G</v>
      </c>
      <c r="I28" s="296" t="str">
        <f t="shared" si="2"/>
        <v>IMP</v>
      </c>
      <c r="J28" s="296" t="str">
        <f>$I$7</f>
        <v>_S1</v>
      </c>
      <c r="K28" s="296" t="s">
        <v>13</v>
      </c>
    </row>
    <row r="29" spans="2:14">
      <c r="B29" s="296" t="s">
        <v>440</v>
      </c>
      <c r="C29" s="296" t="s">
        <v>377</v>
      </c>
      <c r="E29" s="296" t="str">
        <f t="shared" ref="E29:E35" si="9">I29&amp;H29&amp;J29</f>
        <v>IMPBIOETH1G_S2</v>
      </c>
      <c r="F29" s="294" t="str">
        <f t="shared" si="3"/>
        <v>Import of Ethanol 1st generation  - Step 2</v>
      </c>
      <c r="G29" s="296" t="str">
        <f t="shared" si="1"/>
        <v>Import</v>
      </c>
      <c r="H29" s="296" t="str">
        <f>B70</f>
        <v>BIOETH1G</v>
      </c>
      <c r="I29" s="296" t="str">
        <f t="shared" si="2"/>
        <v>IMP</v>
      </c>
      <c r="J29" s="296" t="str">
        <f>$I$8</f>
        <v>_S2</v>
      </c>
      <c r="K29" s="296" t="s">
        <v>13</v>
      </c>
    </row>
    <row r="30" spans="2:14">
      <c r="B30" s="296" t="s">
        <v>369</v>
      </c>
      <c r="C30" s="296" t="s">
        <v>378</v>
      </c>
      <c r="E30" s="296" t="str">
        <f t="shared" si="9"/>
        <v>IMPBIOETH1G_S3</v>
      </c>
      <c r="F30" s="294" t="str">
        <f t="shared" si="3"/>
        <v>Import of Ethanol 1st generation  - Step 3</v>
      </c>
      <c r="G30" s="296" t="str">
        <f t="shared" si="1"/>
        <v>Import</v>
      </c>
      <c r="H30" s="296" t="str">
        <f>B70</f>
        <v>BIOETH1G</v>
      </c>
      <c r="I30" s="296" t="str">
        <f t="shared" si="2"/>
        <v>IMP</v>
      </c>
      <c r="J30" s="296" t="str">
        <f>$I$9</f>
        <v>_S3</v>
      </c>
      <c r="K30" s="296" t="s">
        <v>13</v>
      </c>
    </row>
    <row r="31" spans="2:14">
      <c r="B31" s="296" t="s">
        <v>379</v>
      </c>
      <c r="C31" s="296" t="s">
        <v>380</v>
      </c>
      <c r="E31" s="296" t="str">
        <f t="shared" si="9"/>
        <v>IMPBIOETH1G_S4</v>
      </c>
      <c r="F31" s="294" t="str">
        <f t="shared" si="3"/>
        <v>Import of Ethanol 1st generation  - Step 4</v>
      </c>
      <c r="G31" s="296" t="str">
        <f t="shared" si="1"/>
        <v>Import</v>
      </c>
      <c r="H31" s="296" t="str">
        <f>B70</f>
        <v>BIOETH1G</v>
      </c>
      <c r="I31" s="296" t="str">
        <f t="shared" si="2"/>
        <v>IMP</v>
      </c>
      <c r="J31" s="296" t="str">
        <f>$I$10</f>
        <v>_S4</v>
      </c>
      <c r="K31" s="296" t="s">
        <v>13</v>
      </c>
    </row>
    <row r="32" spans="2:14">
      <c r="B32" s="296" t="s">
        <v>381</v>
      </c>
      <c r="C32" s="296" t="s">
        <v>382</v>
      </c>
      <c r="E32" s="296" t="str">
        <f t="shared" si="9"/>
        <v>IMPBIODST1G_S1</v>
      </c>
      <c r="F32" s="294" t="str">
        <f t="shared" si="3"/>
        <v>Import of Biodiesel 1st generation  - Step 1</v>
      </c>
      <c r="G32" s="296" t="str">
        <f t="shared" si="1"/>
        <v>Import</v>
      </c>
      <c r="H32" s="296" t="str">
        <f>B72</f>
        <v>BIODST1G</v>
      </c>
      <c r="I32" s="296" t="str">
        <f t="shared" si="2"/>
        <v>IMP</v>
      </c>
      <c r="J32" s="296" t="str">
        <f>$I$7</f>
        <v>_S1</v>
      </c>
      <c r="K32" s="296" t="s">
        <v>13</v>
      </c>
    </row>
    <row r="33" spans="2:20">
      <c r="B33" s="313" t="s">
        <v>383</v>
      </c>
      <c r="C33" s="315" t="s">
        <v>384</v>
      </c>
      <c r="E33" s="296" t="str">
        <f t="shared" si="9"/>
        <v>IMPBIODST1G_S2</v>
      </c>
      <c r="F33" s="294" t="str">
        <f t="shared" si="3"/>
        <v>Import of Biodiesel 1st generation  - Step 2</v>
      </c>
      <c r="G33" s="296" t="str">
        <f t="shared" si="1"/>
        <v>Import</v>
      </c>
      <c r="H33" s="296" t="str">
        <f>B72</f>
        <v>BIODST1G</v>
      </c>
      <c r="I33" s="296" t="str">
        <f t="shared" si="2"/>
        <v>IMP</v>
      </c>
      <c r="J33" s="296" t="str">
        <f>$I$8</f>
        <v>_S2</v>
      </c>
      <c r="K33" s="296" t="s">
        <v>13</v>
      </c>
    </row>
    <row r="34" spans="2:20">
      <c r="B34" s="313" t="s">
        <v>385</v>
      </c>
      <c r="C34" s="315" t="s">
        <v>386</v>
      </c>
      <c r="E34" s="296" t="str">
        <f t="shared" si="9"/>
        <v>IMPBIODST1G_S3</v>
      </c>
      <c r="F34" s="294" t="str">
        <f t="shared" si="3"/>
        <v>Import of Biodiesel 1st generation  - Step 3</v>
      </c>
      <c r="G34" s="296" t="str">
        <f t="shared" si="1"/>
        <v>Import</v>
      </c>
      <c r="H34" s="296" t="str">
        <f>B72</f>
        <v>BIODST1G</v>
      </c>
      <c r="I34" s="296" t="str">
        <f t="shared" si="2"/>
        <v>IMP</v>
      </c>
      <c r="J34" s="296" t="str">
        <f>$I$9</f>
        <v>_S3</v>
      </c>
      <c r="K34" s="296" t="s">
        <v>13</v>
      </c>
    </row>
    <row r="35" spans="2:20">
      <c r="B35" s="313" t="s">
        <v>387</v>
      </c>
      <c r="C35" s="313" t="s">
        <v>388</v>
      </c>
      <c r="E35" s="296" t="str">
        <f t="shared" si="9"/>
        <v>IMPBIODST1G_S4</v>
      </c>
      <c r="F35" s="294" t="str">
        <f t="shared" si="3"/>
        <v>Import of Biodiesel 1st generation  - Step 4</v>
      </c>
      <c r="G35" s="296" t="str">
        <f t="shared" si="1"/>
        <v>Import</v>
      </c>
      <c r="H35" s="296" t="str">
        <f>B72</f>
        <v>BIODST1G</v>
      </c>
      <c r="I35" s="296" t="str">
        <f t="shared" si="2"/>
        <v>IMP</v>
      </c>
      <c r="J35" s="296" t="str">
        <f>$I$10</f>
        <v>_S4</v>
      </c>
      <c r="K35" s="296" t="s">
        <v>13</v>
      </c>
    </row>
    <row r="36" spans="2:20">
      <c r="B36" s="313" t="s">
        <v>389</v>
      </c>
      <c r="C36" s="313" t="s">
        <v>390</v>
      </c>
      <c r="E36" s="296" t="str">
        <f t="shared" ref="E36:E48" si="10">I36&amp;H36&amp;J36</f>
        <v>IMPBIOWPE_S1</v>
      </c>
      <c r="F36" s="294" t="str">
        <f t="shared" si="3"/>
        <v>Import of Wood Pellets  - Step 1</v>
      </c>
      <c r="G36" s="296" t="str">
        <f t="shared" si="1"/>
        <v>Import</v>
      </c>
      <c r="H36" s="296" t="str">
        <f>B80</f>
        <v>BIOWPE</v>
      </c>
      <c r="I36" s="296" t="str">
        <f t="shared" si="2"/>
        <v>IMP</v>
      </c>
      <c r="J36" s="296" t="str">
        <f>$I$7</f>
        <v>_S1</v>
      </c>
      <c r="K36" s="296" t="s">
        <v>13</v>
      </c>
    </row>
    <row r="37" spans="2:20">
      <c r="B37" s="313" t="s">
        <v>391</v>
      </c>
      <c r="C37" s="315" t="s">
        <v>392</v>
      </c>
      <c r="E37" s="296" t="str">
        <f t="shared" si="10"/>
        <v>IMPBIOWPE_S2</v>
      </c>
      <c r="F37" s="294" t="str">
        <f t="shared" si="3"/>
        <v>Import of Wood Pellets  - Step 2</v>
      </c>
      <c r="G37" s="296" t="str">
        <f t="shared" si="1"/>
        <v>Import</v>
      </c>
      <c r="H37" s="296" t="str">
        <f>B80</f>
        <v>BIOWPE</v>
      </c>
      <c r="I37" s="296" t="str">
        <f t="shared" si="2"/>
        <v>IMP</v>
      </c>
      <c r="J37" s="296" t="str">
        <f>$I$8</f>
        <v>_S2</v>
      </c>
      <c r="K37" s="296" t="s">
        <v>13</v>
      </c>
    </row>
    <row r="38" spans="2:20">
      <c r="B38" s="313" t="s">
        <v>393</v>
      </c>
      <c r="C38" s="315" t="s">
        <v>394</v>
      </c>
      <c r="E38" s="296" t="str">
        <f t="shared" si="10"/>
        <v>IMPBIOWPE_S3</v>
      </c>
      <c r="F38" s="294" t="str">
        <f t="shared" si="3"/>
        <v>Import of Wood Pellets  - Step 3</v>
      </c>
      <c r="G38" s="296" t="str">
        <f t="shared" si="1"/>
        <v>Import</v>
      </c>
      <c r="H38" s="296" t="str">
        <f>B80</f>
        <v>BIOWPE</v>
      </c>
      <c r="I38" s="296" t="str">
        <f t="shared" si="2"/>
        <v>IMP</v>
      </c>
      <c r="J38" s="296" t="str">
        <f>$I$9</f>
        <v>_S3</v>
      </c>
      <c r="K38" s="296" t="s">
        <v>13</v>
      </c>
    </row>
    <row r="39" spans="2:20">
      <c r="B39" s="313" t="s">
        <v>395</v>
      </c>
      <c r="C39" s="296" t="s">
        <v>396</v>
      </c>
      <c r="E39" s="296" t="str">
        <f t="shared" si="10"/>
        <v>IMPBIOWPE_S4</v>
      </c>
      <c r="F39" s="294" t="str">
        <f t="shared" si="3"/>
        <v>Import of Wood Pellets  - Step 4</v>
      </c>
      <c r="G39" s="296" t="str">
        <f t="shared" si="1"/>
        <v>Import</v>
      </c>
      <c r="H39" s="296" t="str">
        <f>B80</f>
        <v>BIOWPE</v>
      </c>
      <c r="I39" s="296" t="str">
        <f t="shared" si="2"/>
        <v>IMP</v>
      </c>
      <c r="J39" s="296" t="str">
        <f>$I$10</f>
        <v>_S4</v>
      </c>
      <c r="K39" s="296" t="s">
        <v>13</v>
      </c>
    </row>
    <row r="40" spans="2:20">
      <c r="B40" s="313" t="s">
        <v>397</v>
      </c>
      <c r="C40" s="296" t="s">
        <v>398</v>
      </c>
      <c r="E40" s="296" t="str">
        <f t="shared" si="10"/>
        <v>IMPBIOWCH_S1</v>
      </c>
      <c r="F40" s="294" t="str">
        <f t="shared" si="3"/>
        <v>Import of Wood Chip  - Step 1</v>
      </c>
      <c r="G40" s="296" t="str">
        <f t="shared" si="1"/>
        <v>Import</v>
      </c>
      <c r="H40" s="296" t="str">
        <f>B81</f>
        <v>BIOWCH</v>
      </c>
      <c r="I40" s="296" t="str">
        <f t="shared" si="2"/>
        <v>IMP</v>
      </c>
      <c r="J40" s="296" t="str">
        <f>$I$7</f>
        <v>_S1</v>
      </c>
      <c r="K40" s="296" t="s">
        <v>13</v>
      </c>
    </row>
    <row r="41" spans="2:20">
      <c r="B41" s="313" t="s">
        <v>399</v>
      </c>
      <c r="C41" s="296" t="s">
        <v>400</v>
      </c>
      <c r="E41" s="296" t="str">
        <f t="shared" si="10"/>
        <v>IMPBIOWCH_S2</v>
      </c>
      <c r="F41" s="294" t="str">
        <f t="shared" si="3"/>
        <v>Import of Wood Chip  - Step 2</v>
      </c>
      <c r="G41" s="296" t="str">
        <f t="shared" si="1"/>
        <v>Import</v>
      </c>
      <c r="H41" s="296" t="str">
        <f>B81</f>
        <v>BIOWCH</v>
      </c>
      <c r="I41" s="296" t="str">
        <f t="shared" si="2"/>
        <v>IMP</v>
      </c>
      <c r="J41" s="296" t="str">
        <f>$I$8</f>
        <v>_S2</v>
      </c>
      <c r="K41" s="296" t="s">
        <v>13</v>
      </c>
    </row>
    <row r="42" spans="2:20">
      <c r="B42" s="313" t="s">
        <v>401</v>
      </c>
      <c r="C42" s="296" t="s">
        <v>333</v>
      </c>
      <c r="E42" s="296" t="str">
        <f t="shared" si="10"/>
        <v>IMPBIOWCH_S3</v>
      </c>
      <c r="F42" s="294" t="str">
        <f t="shared" si="3"/>
        <v>Import of Wood Chip  - Step 3</v>
      </c>
      <c r="G42" s="296" t="str">
        <f t="shared" si="1"/>
        <v>Import</v>
      </c>
      <c r="H42" s="296" t="str">
        <f>B81</f>
        <v>BIOWCH</v>
      </c>
      <c r="I42" s="296" t="str">
        <f t="shared" si="2"/>
        <v>IMP</v>
      </c>
      <c r="J42" s="296" t="str">
        <f>$I$9</f>
        <v>_S3</v>
      </c>
      <c r="K42" s="296" t="s">
        <v>13</v>
      </c>
    </row>
    <row r="43" spans="2:20">
      <c r="B43" s="313" t="s">
        <v>349</v>
      </c>
      <c r="C43" s="296" t="s">
        <v>252</v>
      </c>
      <c r="E43" s="296" t="str">
        <f t="shared" si="10"/>
        <v>IMPBIOWCH_S4</v>
      </c>
      <c r="F43" s="294" t="str">
        <f t="shared" si="3"/>
        <v>Import of Wood Chip  - Step 4</v>
      </c>
      <c r="G43" s="296" t="str">
        <f t="shared" si="1"/>
        <v>Import</v>
      </c>
      <c r="H43" s="296" t="str">
        <f>B81</f>
        <v>BIOWCH</v>
      </c>
      <c r="I43" s="296" t="str">
        <f t="shared" si="2"/>
        <v>IMP</v>
      </c>
      <c r="J43" s="296" t="str">
        <f>$I$10</f>
        <v>_S4</v>
      </c>
      <c r="K43" s="296" t="s">
        <v>13</v>
      </c>
    </row>
    <row r="44" spans="2:20" s="290" customFormat="1">
      <c r="B44" s="313" t="s">
        <v>402</v>
      </c>
      <c r="C44" s="296" t="s">
        <v>253</v>
      </c>
      <c r="E44" s="296" t="str">
        <f t="shared" si="10"/>
        <v>MINGASNAT_S1</v>
      </c>
      <c r="F44" s="294" t="str">
        <f t="shared" si="3"/>
        <v>Domestic Potential of Natural Gas  - Step 1</v>
      </c>
      <c r="G44" s="296" t="str">
        <f t="shared" si="1"/>
        <v>Domestic Potential</v>
      </c>
      <c r="H44" s="296" t="str">
        <f>B61</f>
        <v>GASNAT</v>
      </c>
      <c r="I44" s="296" t="str">
        <f>$E$4</f>
        <v>MIN</v>
      </c>
      <c r="J44" s="296" t="str">
        <f>$I$7</f>
        <v>_S1</v>
      </c>
      <c r="K44" s="296" t="s">
        <v>9</v>
      </c>
      <c r="M44" s="275"/>
      <c r="N44" s="275"/>
      <c r="O44" s="275"/>
      <c r="P44" s="275"/>
      <c r="Q44" s="199"/>
      <c r="R44" s="58"/>
      <c r="S44" s="275"/>
      <c r="T44" s="199"/>
    </row>
    <row r="45" spans="2:20">
      <c r="B45" s="314" t="s">
        <v>437</v>
      </c>
      <c r="C45" s="296" t="s">
        <v>438</v>
      </c>
      <c r="E45" s="296" t="str">
        <f t="shared" si="10"/>
        <v>MINGASNAT_S2</v>
      </c>
      <c r="F45" s="294" t="str">
        <f t="shared" si="3"/>
        <v>Domestic Potential of Natural Gas  - Step 2</v>
      </c>
      <c r="G45" s="296" t="str">
        <f t="shared" ref="G45:G76" si="11">VLOOKUP(I45,$E$4:$F$9,2,FALSE)</f>
        <v>Domestic Potential</v>
      </c>
      <c r="H45" s="296" t="str">
        <f>B61</f>
        <v>GASNAT</v>
      </c>
      <c r="I45" s="296" t="str">
        <f>$E$4</f>
        <v>MIN</v>
      </c>
      <c r="J45" s="296" t="str">
        <f>$I$8</f>
        <v>_S2</v>
      </c>
      <c r="K45" s="296" t="s">
        <v>9</v>
      </c>
      <c r="M45" s="291"/>
      <c r="N45" s="291"/>
      <c r="O45" s="275"/>
      <c r="P45" s="291"/>
      <c r="Q45" s="291"/>
      <c r="R45" s="58"/>
      <c r="S45" s="291"/>
      <c r="T45" s="291"/>
    </row>
    <row r="46" spans="2:20">
      <c r="B46" s="313" t="s">
        <v>24</v>
      </c>
      <c r="C46" s="296" t="s">
        <v>298</v>
      </c>
      <c r="E46" s="296" t="str">
        <f t="shared" si="10"/>
        <v>MINPEAT_S1</v>
      </c>
      <c r="F46" s="294" t="str">
        <f t="shared" si="3"/>
        <v>Domestic Potential of Peat  - Step 1</v>
      </c>
      <c r="G46" s="296" t="str">
        <f t="shared" si="11"/>
        <v>Domestic Potential</v>
      </c>
      <c r="H46" s="296" t="str">
        <f>B50</f>
        <v>PEAT</v>
      </c>
      <c r="I46" s="296" t="str">
        <f t="shared" ref="I46:I85" si="12">$E$4</f>
        <v>MIN</v>
      </c>
      <c r="J46" s="296" t="str">
        <f>$I$7</f>
        <v>_S1</v>
      </c>
      <c r="K46" s="296" t="s">
        <v>9</v>
      </c>
      <c r="M46" s="199"/>
      <c r="N46" s="275"/>
      <c r="O46" s="275"/>
      <c r="P46" s="275"/>
      <c r="Q46" s="199"/>
      <c r="R46" s="58"/>
      <c r="S46" s="275"/>
      <c r="T46" s="199"/>
    </row>
    <row r="47" spans="2:20">
      <c r="B47" s="313" t="s">
        <v>26</v>
      </c>
      <c r="C47" s="296" t="s">
        <v>299</v>
      </c>
      <c r="E47" s="296" t="str">
        <f t="shared" si="10"/>
        <v>MINPEAT_S2</v>
      </c>
      <c r="F47" s="294" t="str">
        <f t="shared" si="3"/>
        <v>Domestic Potential of Peat  - Step 2</v>
      </c>
      <c r="G47" s="296" t="str">
        <f t="shared" si="11"/>
        <v>Domestic Potential</v>
      </c>
      <c r="H47" s="296" t="str">
        <f>B50</f>
        <v>PEAT</v>
      </c>
      <c r="I47" s="296" t="str">
        <f t="shared" si="12"/>
        <v>MIN</v>
      </c>
      <c r="J47" s="296" t="str">
        <f>$I$8</f>
        <v>_S2</v>
      </c>
      <c r="K47" s="296" t="s">
        <v>9</v>
      </c>
    </row>
    <row r="48" spans="2:20">
      <c r="B48" s="313" t="s">
        <v>25</v>
      </c>
      <c r="C48" s="296" t="s">
        <v>300</v>
      </c>
      <c r="E48" s="296" t="str">
        <f t="shared" si="10"/>
        <v>MINRENHYD</v>
      </c>
      <c r="F48" s="294" t="str">
        <f t="shared" si="3"/>
        <v xml:space="preserve">Domestic Potential of Hydro </v>
      </c>
      <c r="G48" s="296" t="str">
        <f t="shared" si="11"/>
        <v>Domestic Potential</v>
      </c>
      <c r="H48" s="296" t="str">
        <f t="shared" ref="H48:H53" si="13">B64</f>
        <v>RENHYD</v>
      </c>
      <c r="I48" s="296" t="str">
        <f t="shared" si="12"/>
        <v>MIN</v>
      </c>
      <c r="J48" s="296"/>
      <c r="K48" s="296" t="s">
        <v>9</v>
      </c>
    </row>
    <row r="49" spans="2:20">
      <c r="B49" s="313" t="s">
        <v>340</v>
      </c>
      <c r="C49" s="296" t="s">
        <v>301</v>
      </c>
      <c r="E49" s="296" t="str">
        <f t="shared" ref="E49:E54" si="14">I49&amp;H49&amp;J49</f>
        <v>MINRENWIN</v>
      </c>
      <c r="F49" s="294" t="str">
        <f t="shared" si="3"/>
        <v xml:space="preserve">Domestic Potential of Wind </v>
      </c>
      <c r="G49" s="296" t="str">
        <f t="shared" si="11"/>
        <v>Domestic Potential</v>
      </c>
      <c r="H49" s="296" t="str">
        <f t="shared" si="13"/>
        <v>RENWIN</v>
      </c>
      <c r="I49" s="296" t="str">
        <f t="shared" si="12"/>
        <v>MIN</v>
      </c>
      <c r="J49" s="296"/>
      <c r="K49" s="296" t="s">
        <v>9</v>
      </c>
    </row>
    <row r="50" spans="2:20">
      <c r="B50" s="313" t="s">
        <v>12</v>
      </c>
      <c r="C50" s="296" t="s">
        <v>302</v>
      </c>
      <c r="E50" s="296" t="str">
        <f t="shared" si="14"/>
        <v>MINRENSOL</v>
      </c>
      <c r="F50" s="294" t="str">
        <f t="shared" si="3"/>
        <v xml:space="preserve">Domestic Potential of Solar </v>
      </c>
      <c r="G50" s="296" t="str">
        <f t="shared" si="11"/>
        <v>Domestic Potential</v>
      </c>
      <c r="H50" s="296" t="str">
        <f t="shared" si="13"/>
        <v>RENSOL</v>
      </c>
      <c r="I50" s="296" t="str">
        <f t="shared" si="12"/>
        <v>MIN</v>
      </c>
      <c r="J50" s="296"/>
      <c r="K50" s="296" t="s">
        <v>9</v>
      </c>
    </row>
    <row r="51" spans="2:20">
      <c r="B51" s="313" t="s">
        <v>28</v>
      </c>
      <c r="C51" s="296" t="s">
        <v>303</v>
      </c>
      <c r="E51" s="296" t="str">
        <f t="shared" si="14"/>
        <v>MINMSWAS</v>
      </c>
      <c r="F51" s="294" t="str">
        <f t="shared" si="3"/>
        <v xml:space="preserve">Domestic Potential of Municipal Solid Waste </v>
      </c>
      <c r="G51" s="296" t="str">
        <f t="shared" si="11"/>
        <v>Domestic Potential</v>
      </c>
      <c r="H51" s="296" t="str">
        <f t="shared" si="13"/>
        <v>MSWAS</v>
      </c>
      <c r="I51" s="296" t="str">
        <f t="shared" si="12"/>
        <v>MIN</v>
      </c>
      <c r="J51" s="296"/>
      <c r="K51" s="296" t="s">
        <v>9</v>
      </c>
    </row>
    <row r="52" spans="2:20">
      <c r="B52" s="314" t="s">
        <v>259</v>
      </c>
      <c r="C52" s="296" t="s">
        <v>304</v>
      </c>
      <c r="E52" s="296" t="str">
        <f t="shared" si="14"/>
        <v>MINRENOCE</v>
      </c>
      <c r="F52" s="294" t="str">
        <f t="shared" si="3"/>
        <v xml:space="preserve">Domestic Potential of Ocean </v>
      </c>
      <c r="G52" s="296" t="str">
        <f t="shared" si="11"/>
        <v>Domestic Potential</v>
      </c>
      <c r="H52" s="296" t="str">
        <f t="shared" si="13"/>
        <v>RENOCE</v>
      </c>
      <c r="I52" s="296" t="str">
        <f t="shared" si="12"/>
        <v>MIN</v>
      </c>
      <c r="J52" s="296"/>
      <c r="K52" s="296" t="s">
        <v>9</v>
      </c>
    </row>
    <row r="53" spans="2:20">
      <c r="B53" s="313" t="s">
        <v>32</v>
      </c>
      <c r="C53" s="296" t="s">
        <v>305</v>
      </c>
      <c r="E53" s="296" t="str">
        <f t="shared" si="14"/>
        <v>MINRENGEO</v>
      </c>
      <c r="F53" s="294" t="str">
        <f t="shared" si="3"/>
        <v xml:space="preserve">Domestic Potential of Geothermal </v>
      </c>
      <c r="G53" s="296" t="str">
        <f t="shared" si="11"/>
        <v>Domestic Potential</v>
      </c>
      <c r="H53" s="296" t="str">
        <f t="shared" si="13"/>
        <v>RENGEO</v>
      </c>
      <c r="I53" s="296" t="str">
        <f t="shared" si="12"/>
        <v>MIN</v>
      </c>
      <c r="J53" s="296"/>
      <c r="K53" s="296" t="s">
        <v>9</v>
      </c>
    </row>
    <row r="54" spans="2:20">
      <c r="B54" s="313" t="s">
        <v>31</v>
      </c>
      <c r="C54" s="296" t="s">
        <v>306</v>
      </c>
      <c r="E54" s="296" t="str">
        <f t="shared" si="14"/>
        <v>MINBIOWOO1_S1</v>
      </c>
      <c r="F54" s="294" t="str">
        <f t="shared" si="3"/>
        <v>Domestic Potential of Sawmill residues - Step 1</v>
      </c>
      <c r="G54" s="296" t="str">
        <f t="shared" si="11"/>
        <v>Domestic Potential</v>
      </c>
      <c r="H54" s="296" t="str">
        <f>$B$77</f>
        <v>BIOWOO1</v>
      </c>
      <c r="I54" s="296" t="str">
        <f t="shared" si="12"/>
        <v>MIN</v>
      </c>
      <c r="J54" s="296" t="str">
        <f>$I$7</f>
        <v>_S1</v>
      </c>
      <c r="K54" s="296" t="s">
        <v>9</v>
      </c>
    </row>
    <row r="55" spans="2:20">
      <c r="B55" s="313" t="s">
        <v>29</v>
      </c>
      <c r="C55" s="296" t="s">
        <v>307</v>
      </c>
      <c r="E55" s="296" t="str">
        <f t="shared" ref="E55:E63" si="15">I55&amp;H55&amp;J55</f>
        <v>MINBIOWOO1_S2</v>
      </c>
      <c r="F55" s="294" t="str">
        <f t="shared" si="3"/>
        <v>Domestic Potential of Sawmill residues - Step 2</v>
      </c>
      <c r="G55" s="296" t="str">
        <f t="shared" si="11"/>
        <v>Domestic Potential</v>
      </c>
      <c r="H55" s="296" t="str">
        <f>$B$77</f>
        <v>BIOWOO1</v>
      </c>
      <c r="I55" s="296" t="str">
        <f t="shared" si="12"/>
        <v>MIN</v>
      </c>
      <c r="J55" s="296" t="str">
        <f>$I$8</f>
        <v>_S2</v>
      </c>
      <c r="K55" s="296" t="s">
        <v>9</v>
      </c>
    </row>
    <row r="56" spans="2:20">
      <c r="B56" s="313" t="s">
        <v>33</v>
      </c>
      <c r="C56" s="296" t="s">
        <v>308</v>
      </c>
      <c r="E56" s="296" t="str">
        <f t="shared" si="15"/>
        <v>MINBIOWOO1_S3</v>
      </c>
      <c r="F56" s="294" t="str">
        <f t="shared" si="3"/>
        <v>Domestic Potential of Sawmill residues - Step 3</v>
      </c>
      <c r="G56" s="296" t="str">
        <f t="shared" si="11"/>
        <v>Domestic Potential</v>
      </c>
      <c r="H56" s="296" t="str">
        <f>$B$77</f>
        <v>BIOWOO1</v>
      </c>
      <c r="I56" s="296" t="str">
        <f t="shared" si="12"/>
        <v>MIN</v>
      </c>
      <c r="J56" s="296" t="str">
        <f>$I$9</f>
        <v>_S3</v>
      </c>
      <c r="K56" s="296" t="s">
        <v>9</v>
      </c>
    </row>
    <row r="57" spans="2:20">
      <c r="B57" s="313" t="s">
        <v>30</v>
      </c>
      <c r="C57" s="296" t="s">
        <v>309</v>
      </c>
      <c r="E57" s="296" t="str">
        <f t="shared" si="15"/>
        <v>MINBIOWOO2_S1</v>
      </c>
      <c r="F57" s="294" t="str">
        <f t="shared" si="3"/>
        <v>Domestic Potential of Post-Consumer Recycled Wood - Step 1</v>
      </c>
      <c r="G57" s="296" t="str">
        <f t="shared" si="11"/>
        <v>Domestic Potential</v>
      </c>
      <c r="H57" s="296" t="str">
        <f>$B$78</f>
        <v>BIOWOO2</v>
      </c>
      <c r="I57" s="296" t="str">
        <f t="shared" si="12"/>
        <v>MIN</v>
      </c>
      <c r="J57" s="296" t="str">
        <f>$I$7</f>
        <v>_S1</v>
      </c>
      <c r="K57" s="296" t="s">
        <v>9</v>
      </c>
    </row>
    <row r="58" spans="2:20">
      <c r="B58" s="313" t="s">
        <v>78</v>
      </c>
      <c r="C58" s="296" t="s">
        <v>310</v>
      </c>
      <c r="E58" s="296" t="str">
        <f t="shared" si="15"/>
        <v>MINBIOWOO2_S2</v>
      </c>
      <c r="F58" s="294" t="str">
        <f t="shared" si="3"/>
        <v>Domestic Potential of Post-Consumer Recycled Wood - Step 2</v>
      </c>
      <c r="G58" s="296" t="str">
        <f t="shared" si="11"/>
        <v>Domestic Potential</v>
      </c>
      <c r="H58" s="296" t="str">
        <f>$B$78</f>
        <v>BIOWOO2</v>
      </c>
      <c r="I58" s="296" t="str">
        <f t="shared" si="12"/>
        <v>MIN</v>
      </c>
      <c r="J58" s="296" t="str">
        <f>$I$8</f>
        <v>_S2</v>
      </c>
      <c r="K58" s="296" t="s">
        <v>9</v>
      </c>
      <c r="M58" s="294"/>
      <c r="N58" s="294"/>
      <c r="O58" s="294"/>
      <c r="P58" s="294"/>
      <c r="Q58" s="294"/>
      <c r="R58" s="294"/>
      <c r="S58" s="294"/>
      <c r="T58" s="294"/>
    </row>
    <row r="59" spans="2:20">
      <c r="B59" s="314" t="s">
        <v>260</v>
      </c>
      <c r="C59" s="296" t="s">
        <v>311</v>
      </c>
      <c r="E59" s="296" t="str">
        <f t="shared" si="15"/>
        <v>MINBIOWOO2_S3</v>
      </c>
      <c r="F59" s="294" t="str">
        <f t="shared" si="3"/>
        <v>Domestic Potential of Post-Consumer Recycled Wood - Step 3</v>
      </c>
      <c r="G59" s="296" t="str">
        <f t="shared" si="11"/>
        <v>Domestic Potential</v>
      </c>
      <c r="H59" s="296" t="str">
        <f>$B$78</f>
        <v>BIOWOO2</v>
      </c>
      <c r="I59" s="296" t="str">
        <f t="shared" si="12"/>
        <v>MIN</v>
      </c>
      <c r="J59" s="296" t="str">
        <f>$I$9</f>
        <v>_S3</v>
      </c>
      <c r="K59" s="296" t="s">
        <v>9</v>
      </c>
    </row>
    <row r="60" spans="2:20">
      <c r="B60" s="313" t="s">
        <v>341</v>
      </c>
      <c r="C60" s="296" t="s">
        <v>342</v>
      </c>
      <c r="E60" s="296" t="str">
        <f t="shared" si="15"/>
        <v>MINBIOWOO3_S1</v>
      </c>
      <c r="F60" s="294" t="str">
        <f t="shared" si="3"/>
        <v>Domestic Potential of Straw - Step 1</v>
      </c>
      <c r="G60" s="296" t="str">
        <f t="shared" si="11"/>
        <v>Domestic Potential</v>
      </c>
      <c r="H60" s="296" t="str">
        <f>$B$79</f>
        <v>BIOWOO3</v>
      </c>
      <c r="I60" s="296" t="str">
        <f t="shared" si="12"/>
        <v>MIN</v>
      </c>
      <c r="J60" s="296" t="str">
        <f>$I$7</f>
        <v>_S1</v>
      </c>
      <c r="K60" s="296" t="s">
        <v>9</v>
      </c>
    </row>
    <row r="61" spans="2:20">
      <c r="B61" s="313" t="s">
        <v>11</v>
      </c>
      <c r="C61" s="296" t="s">
        <v>296</v>
      </c>
      <c r="E61" s="296" t="str">
        <f t="shared" si="15"/>
        <v>MINBIOWOO3_S2</v>
      </c>
      <c r="F61" s="294" t="str">
        <f t="shared" si="3"/>
        <v>Domestic Potential of Straw - Step 2</v>
      </c>
      <c r="G61" s="296" t="str">
        <f t="shared" si="11"/>
        <v>Domestic Potential</v>
      </c>
      <c r="H61" s="296" t="str">
        <f>$B$79</f>
        <v>BIOWOO3</v>
      </c>
      <c r="I61" s="296" t="str">
        <f t="shared" si="12"/>
        <v>MIN</v>
      </c>
      <c r="J61" s="296" t="str">
        <f>$I$8</f>
        <v>_S2</v>
      </c>
      <c r="K61" s="296" t="s">
        <v>9</v>
      </c>
    </row>
    <row r="62" spans="2:20">
      <c r="B62" s="313" t="s">
        <v>27</v>
      </c>
      <c r="C62" s="296" t="s">
        <v>297</v>
      </c>
      <c r="E62" s="296" t="str">
        <f t="shared" si="15"/>
        <v>MINBIOWOO3_S3</v>
      </c>
      <c r="F62" s="294" t="str">
        <f t="shared" si="3"/>
        <v>Domestic Potential of Straw - Step 3</v>
      </c>
      <c r="G62" s="296" t="str">
        <f t="shared" si="11"/>
        <v>Domestic Potential</v>
      </c>
      <c r="H62" s="296" t="str">
        <f>$B$79</f>
        <v>BIOWOO3</v>
      </c>
      <c r="I62" s="296" t="str">
        <f t="shared" si="12"/>
        <v>MIN</v>
      </c>
      <c r="J62" s="296" t="str">
        <f>$I$9</f>
        <v>_S3</v>
      </c>
      <c r="K62" s="296" t="s">
        <v>9</v>
      </c>
    </row>
    <row r="63" spans="2:20">
      <c r="B63" s="313" t="s">
        <v>426</v>
      </c>
      <c r="C63" s="296" t="s">
        <v>333</v>
      </c>
      <c r="E63" s="296" t="str">
        <f t="shared" si="15"/>
        <v>MINBIOMSW1_S1</v>
      </c>
      <c r="F63" s="294" t="str">
        <f t="shared" si="3"/>
        <v>Domestic Potential of Biodegradable Municipal Solid Waste potential - Solid  - Step 1</v>
      </c>
      <c r="G63" s="296" t="str">
        <f t="shared" si="11"/>
        <v>Domestic Potential</v>
      </c>
      <c r="H63" s="296" t="str">
        <f>$B$82</f>
        <v>BIOMSW1</v>
      </c>
      <c r="I63" s="296" t="str">
        <f t="shared" si="12"/>
        <v>MIN</v>
      </c>
      <c r="J63" s="296" t="str">
        <f>$I$7</f>
        <v>_S1</v>
      </c>
      <c r="K63" s="296" t="s">
        <v>9</v>
      </c>
    </row>
    <row r="64" spans="2:20">
      <c r="B64" s="313" t="s">
        <v>34</v>
      </c>
      <c r="C64" s="296" t="s">
        <v>312</v>
      </c>
      <c r="E64" s="296" t="str">
        <f t="shared" ref="E64:E83" si="16">I64&amp;H64&amp;J64</f>
        <v>MINBIOMSW1_S2</v>
      </c>
      <c r="F64" s="294" t="str">
        <f t="shared" si="3"/>
        <v>Domestic Potential of Biodegradable Municipal Solid Waste potential - Solid  - Step 2</v>
      </c>
      <c r="G64" s="296" t="str">
        <f t="shared" si="11"/>
        <v>Domestic Potential</v>
      </c>
      <c r="H64" s="296" t="str">
        <f>$B$82</f>
        <v>BIOMSW1</v>
      </c>
      <c r="I64" s="296" t="str">
        <f t="shared" si="12"/>
        <v>MIN</v>
      </c>
      <c r="J64" s="296" t="str">
        <f>$I$8</f>
        <v>_S2</v>
      </c>
      <c r="K64" s="296" t="s">
        <v>9</v>
      </c>
    </row>
    <row r="65" spans="2:11">
      <c r="B65" s="313" t="s">
        <v>35</v>
      </c>
      <c r="C65" s="296" t="s">
        <v>313</v>
      </c>
      <c r="E65" s="296" t="str">
        <f t="shared" si="16"/>
        <v>MINBIOMSW1_S3</v>
      </c>
      <c r="F65" s="294" t="str">
        <f t="shared" si="3"/>
        <v>Domestic Potential of Biodegradable Municipal Solid Waste potential - Solid  - Step 3</v>
      </c>
      <c r="G65" s="296" t="str">
        <f t="shared" si="11"/>
        <v>Domestic Potential</v>
      </c>
      <c r="H65" s="296" t="str">
        <f>$B$82</f>
        <v>BIOMSW1</v>
      </c>
      <c r="I65" s="296" t="str">
        <f t="shared" si="12"/>
        <v>MIN</v>
      </c>
      <c r="J65" s="296" t="str">
        <f>$I$9</f>
        <v>_S3</v>
      </c>
      <c r="K65" s="296" t="s">
        <v>9</v>
      </c>
    </row>
    <row r="66" spans="2:11">
      <c r="B66" s="314" t="s">
        <v>36</v>
      </c>
      <c r="C66" s="296" t="s">
        <v>314</v>
      </c>
      <c r="E66" s="296" t="str">
        <f t="shared" si="16"/>
        <v>MINBIOMSW2_S1</v>
      </c>
      <c r="F66" s="294" t="str">
        <f t="shared" si="3"/>
        <v>Domestic Potential of Biodegradable Municipal Solid Waste  - Step 1</v>
      </c>
      <c r="G66" s="296" t="str">
        <f t="shared" si="11"/>
        <v>Domestic Potential</v>
      </c>
      <c r="H66" s="296" t="str">
        <f>$B$83</f>
        <v>BIOMSW2</v>
      </c>
      <c r="I66" s="296" t="str">
        <f t="shared" si="12"/>
        <v>MIN</v>
      </c>
      <c r="J66" s="296" t="str">
        <f>$I$7</f>
        <v>_S1</v>
      </c>
      <c r="K66" s="296" t="s">
        <v>9</v>
      </c>
    </row>
    <row r="67" spans="2:11">
      <c r="B67" s="313" t="s">
        <v>58</v>
      </c>
      <c r="C67" s="296" t="s">
        <v>315</v>
      </c>
      <c r="E67" s="296" t="str">
        <f t="shared" si="16"/>
        <v>MINBIOMSW2_S2</v>
      </c>
      <c r="F67" s="294" t="str">
        <f t="shared" si="3"/>
        <v>Domestic Potential of Biodegradable Municipal Solid Waste  - Step 2</v>
      </c>
      <c r="G67" s="296" t="str">
        <f t="shared" si="11"/>
        <v>Domestic Potential</v>
      </c>
      <c r="H67" s="296" t="str">
        <f>$B$83</f>
        <v>BIOMSW2</v>
      </c>
      <c r="I67" s="296" t="str">
        <f t="shared" si="12"/>
        <v>MIN</v>
      </c>
      <c r="J67" s="296" t="str">
        <f>$I$8</f>
        <v>_S2</v>
      </c>
      <c r="K67" s="296" t="s">
        <v>9</v>
      </c>
    </row>
    <row r="68" spans="2:11">
      <c r="B68" s="313" t="s">
        <v>37</v>
      </c>
      <c r="C68" s="296" t="s">
        <v>316</v>
      </c>
      <c r="E68" s="296" t="str">
        <f t="shared" si="16"/>
        <v>MINBIOMSW2_S3</v>
      </c>
      <c r="F68" s="294" t="str">
        <f t="shared" si="3"/>
        <v>Domestic Potential of Biodegradable Municipal Solid Waste  - Step 3</v>
      </c>
      <c r="G68" s="296" t="str">
        <f t="shared" si="11"/>
        <v>Domestic Potential</v>
      </c>
      <c r="H68" s="296" t="str">
        <f>$B$83</f>
        <v>BIOMSW2</v>
      </c>
      <c r="I68" s="296" t="str">
        <f t="shared" si="12"/>
        <v>MIN</v>
      </c>
      <c r="J68" s="296" t="str">
        <f>$I$9</f>
        <v>_S3</v>
      </c>
      <c r="K68" s="296" t="s">
        <v>9</v>
      </c>
    </row>
    <row r="69" spans="2:11">
      <c r="B69" s="313" t="s">
        <v>38</v>
      </c>
      <c r="C69" s="296" t="s">
        <v>317</v>
      </c>
      <c r="E69" s="296" t="str">
        <f t="shared" si="16"/>
        <v>MINBIOTLW_S1</v>
      </c>
      <c r="F69" s="294" t="str">
        <f t="shared" si="3"/>
        <v>Domestic Potential of Tallow  - Step 1</v>
      </c>
      <c r="G69" s="296" t="str">
        <f t="shared" si="11"/>
        <v>Domestic Potential</v>
      </c>
      <c r="H69" s="296" t="str">
        <f>$B$84</f>
        <v>BIOTLW</v>
      </c>
      <c r="I69" s="296" t="str">
        <f t="shared" si="12"/>
        <v>MIN</v>
      </c>
      <c r="J69" s="296" t="str">
        <f>$I$7</f>
        <v>_S1</v>
      </c>
      <c r="K69" s="296" t="s">
        <v>9</v>
      </c>
    </row>
    <row r="70" spans="2:11">
      <c r="B70" s="313" t="s">
        <v>74</v>
      </c>
      <c r="C70" s="296" t="s">
        <v>318</v>
      </c>
      <c r="E70" s="296" t="str">
        <f t="shared" si="16"/>
        <v>MINBIOTLW_S2</v>
      </c>
      <c r="F70" s="294" t="str">
        <f t="shared" si="3"/>
        <v>Domestic Potential of Tallow  - Step 2</v>
      </c>
      <c r="G70" s="296" t="str">
        <f t="shared" si="11"/>
        <v>Domestic Potential</v>
      </c>
      <c r="H70" s="296" t="str">
        <f>$B$84</f>
        <v>BIOTLW</v>
      </c>
      <c r="I70" s="296" t="str">
        <f t="shared" si="12"/>
        <v>MIN</v>
      </c>
      <c r="J70" s="296" t="str">
        <f>$I$8</f>
        <v>_S2</v>
      </c>
      <c r="K70" s="296" t="s">
        <v>9</v>
      </c>
    </row>
    <row r="71" spans="2:11">
      <c r="B71" s="313" t="s">
        <v>76</v>
      </c>
      <c r="C71" s="296" t="s">
        <v>319</v>
      </c>
      <c r="E71" s="296" t="str">
        <f t="shared" si="16"/>
        <v>MINBIOTLW_S3</v>
      </c>
      <c r="F71" s="294" t="str">
        <f t="shared" si="3"/>
        <v>Domestic Potential of Tallow  - Step 3</v>
      </c>
      <c r="G71" s="296" t="str">
        <f t="shared" si="11"/>
        <v>Domestic Potential</v>
      </c>
      <c r="H71" s="296" t="str">
        <f>$B$84</f>
        <v>BIOTLW</v>
      </c>
      <c r="I71" s="296" t="str">
        <f t="shared" si="12"/>
        <v>MIN</v>
      </c>
      <c r="J71" s="296" t="str">
        <f>$I$9</f>
        <v>_S3</v>
      </c>
      <c r="K71" s="296" t="s">
        <v>9</v>
      </c>
    </row>
    <row r="72" spans="2:11">
      <c r="B72" s="313" t="s">
        <v>75</v>
      </c>
      <c r="C72" s="296" t="s">
        <v>320</v>
      </c>
      <c r="E72" s="296" t="str">
        <f t="shared" si="16"/>
        <v>MINBIORVO_S1</v>
      </c>
      <c r="F72" s="294" t="str">
        <f t="shared" si="3"/>
        <v>Domestic Potential of Recovered Vegetable Oil  - Step 1</v>
      </c>
      <c r="G72" s="296" t="str">
        <f t="shared" si="11"/>
        <v>Domestic Potential</v>
      </c>
      <c r="H72" s="296" t="str">
        <f>$B$85</f>
        <v>BIORVO</v>
      </c>
      <c r="I72" s="296" t="str">
        <f t="shared" si="12"/>
        <v>MIN</v>
      </c>
      <c r="J72" s="296" t="str">
        <f>$I$7</f>
        <v>_S1</v>
      </c>
      <c r="K72" s="296" t="s">
        <v>9</v>
      </c>
    </row>
    <row r="73" spans="2:11">
      <c r="B73" s="314" t="s">
        <v>77</v>
      </c>
      <c r="C73" s="296" t="s">
        <v>321</v>
      </c>
      <c r="E73" s="296" t="str">
        <f t="shared" si="16"/>
        <v>MINBIORVO_S2</v>
      </c>
      <c r="F73" s="294" t="str">
        <f t="shared" si="3"/>
        <v>Domestic Potential of Recovered Vegetable Oil  - Step 2</v>
      </c>
      <c r="G73" s="296" t="str">
        <f t="shared" si="11"/>
        <v>Domestic Potential</v>
      </c>
      <c r="H73" s="296" t="str">
        <f>$B$85</f>
        <v>BIORVO</v>
      </c>
      <c r="I73" s="296" t="str">
        <f t="shared" si="12"/>
        <v>MIN</v>
      </c>
      <c r="J73" s="296" t="str">
        <f>$I$8</f>
        <v>_S2</v>
      </c>
      <c r="K73" s="296" t="s">
        <v>9</v>
      </c>
    </row>
    <row r="74" spans="2:11">
      <c r="B74" s="313" t="s">
        <v>178</v>
      </c>
      <c r="C74" s="296" t="s">
        <v>322</v>
      </c>
      <c r="E74" s="296" t="str">
        <f t="shared" si="16"/>
        <v>MINBIORVO_S3</v>
      </c>
      <c r="F74" s="294" t="str">
        <f t="shared" si="3"/>
        <v>Domestic Potential of Recovered Vegetable Oil  - Step 3</v>
      </c>
      <c r="G74" s="296" t="str">
        <f t="shared" si="11"/>
        <v>Domestic Potential</v>
      </c>
      <c r="H74" s="296" t="str">
        <f>$B$85</f>
        <v>BIORVO</v>
      </c>
      <c r="I74" s="296" t="str">
        <f t="shared" si="12"/>
        <v>MIN</v>
      </c>
      <c r="J74" s="296" t="str">
        <f>$I$9</f>
        <v>_S3</v>
      </c>
      <c r="K74" s="296" t="s">
        <v>9</v>
      </c>
    </row>
    <row r="75" spans="2:11">
      <c r="B75" s="313" t="s">
        <v>179</v>
      </c>
      <c r="C75" s="296" t="s">
        <v>323</v>
      </c>
      <c r="E75" s="296" t="str">
        <f t="shared" si="16"/>
        <v>MINBIOCATW_S1</v>
      </c>
      <c r="F75" s="294" t="str">
        <f t="shared" si="3"/>
        <v>Domestic Potential of Cattle Waste  - Step 1</v>
      </c>
      <c r="G75" s="296" t="str">
        <f t="shared" si="11"/>
        <v>Domestic Potential</v>
      </c>
      <c r="H75" s="296" t="str">
        <f>$B$86</f>
        <v>BIOCATW</v>
      </c>
      <c r="I75" s="296" t="str">
        <f t="shared" si="12"/>
        <v>MIN</v>
      </c>
      <c r="J75" s="296" t="str">
        <f>$I$7</f>
        <v>_S1</v>
      </c>
      <c r="K75" s="296" t="s">
        <v>9</v>
      </c>
    </row>
    <row r="76" spans="2:11">
      <c r="B76" s="313" t="s">
        <v>167</v>
      </c>
      <c r="C76" s="296" t="s">
        <v>488</v>
      </c>
      <c r="E76" s="296" t="str">
        <f t="shared" si="16"/>
        <v>MINBIOCATW_S2</v>
      </c>
      <c r="F76" s="294" t="str">
        <f t="shared" si="3"/>
        <v>Domestic Potential of Cattle Waste  - Step 2</v>
      </c>
      <c r="G76" s="296" t="str">
        <f t="shared" si="11"/>
        <v>Domestic Potential</v>
      </c>
      <c r="H76" s="296" t="str">
        <f>$B$86</f>
        <v>BIOCATW</v>
      </c>
      <c r="I76" s="296" t="str">
        <f t="shared" si="12"/>
        <v>MIN</v>
      </c>
      <c r="J76" s="296" t="str">
        <f>$I$8</f>
        <v>_S2</v>
      </c>
      <c r="K76" s="296" t="s">
        <v>9</v>
      </c>
    </row>
    <row r="77" spans="2:11">
      <c r="B77" s="313" t="s">
        <v>485</v>
      </c>
      <c r="C77" s="296" t="s">
        <v>489</v>
      </c>
      <c r="E77" s="296" t="str">
        <f t="shared" si="16"/>
        <v>MINBIOCATW_S3</v>
      </c>
      <c r="F77" s="294" t="str">
        <f t="shared" si="3"/>
        <v>Domestic Potential of Cattle Waste  - Step 3</v>
      </c>
      <c r="G77" s="296" t="str">
        <f t="shared" ref="G77:G83" si="17">VLOOKUP(I77,$E$4:$F$9,2,FALSE)</f>
        <v>Domestic Potential</v>
      </c>
      <c r="H77" s="296" t="str">
        <f>$B$86</f>
        <v>BIOCATW</v>
      </c>
      <c r="I77" s="296" t="str">
        <f t="shared" si="12"/>
        <v>MIN</v>
      </c>
      <c r="J77" s="296" t="str">
        <f>$I$9</f>
        <v>_S3</v>
      </c>
      <c r="K77" s="296" t="s">
        <v>9</v>
      </c>
    </row>
    <row r="78" spans="2:11">
      <c r="B78" s="313" t="s">
        <v>486</v>
      </c>
      <c r="C78" s="296" t="s">
        <v>490</v>
      </c>
      <c r="E78" s="296" t="str">
        <f t="shared" si="16"/>
        <v>MINBIOPIGW_S1</v>
      </c>
      <c r="F78" s="294" t="str">
        <f t="shared" ref="F78:F85" si="18">G78 &amp; " of " &amp; VLOOKUP(H78,$B$13:$C$91,2,FALSE) &amp; IF(J78&lt;&gt;0,IF(VLOOKUP(J78,$I$4:$J$10,2,FALSE)&lt;&gt;""," - " &amp; VLOOKUP(J78,$I$4:$J$10,2,FALSE),""),"")</f>
        <v>Domestic Potential of Pig Waste  - Step 1</v>
      </c>
      <c r="G78" s="296" t="str">
        <f t="shared" si="17"/>
        <v>Domestic Potential</v>
      </c>
      <c r="H78" s="296" t="str">
        <f>$B$87</f>
        <v>BIOPIGW</v>
      </c>
      <c r="I78" s="296" t="str">
        <f t="shared" si="12"/>
        <v>MIN</v>
      </c>
      <c r="J78" s="296" t="str">
        <f>$I$7</f>
        <v>_S1</v>
      </c>
      <c r="K78" s="296" t="s">
        <v>9</v>
      </c>
    </row>
    <row r="79" spans="2:11">
      <c r="B79" s="313" t="s">
        <v>487</v>
      </c>
      <c r="C79" s="296" t="s">
        <v>491</v>
      </c>
      <c r="E79" s="296" t="str">
        <f t="shared" si="16"/>
        <v>MINBIOPIGW_S2</v>
      </c>
      <c r="F79" s="294" t="str">
        <f t="shared" si="18"/>
        <v>Domestic Potential of Pig Waste  - Step 2</v>
      </c>
      <c r="G79" s="296" t="str">
        <f t="shared" si="17"/>
        <v>Domestic Potential</v>
      </c>
      <c r="H79" s="296" t="str">
        <f>$B$87</f>
        <v>BIOPIGW</v>
      </c>
      <c r="I79" s="296" t="str">
        <f t="shared" si="12"/>
        <v>MIN</v>
      </c>
      <c r="J79" s="296" t="str">
        <f>$I$8</f>
        <v>_S2</v>
      </c>
      <c r="K79" s="296" t="s">
        <v>9</v>
      </c>
    </row>
    <row r="80" spans="2:11">
      <c r="B80" s="313" t="s">
        <v>62</v>
      </c>
      <c r="C80" s="296" t="s">
        <v>324</v>
      </c>
      <c r="E80" s="296" t="str">
        <f t="shared" si="16"/>
        <v>MINBIOPIGW_S3</v>
      </c>
      <c r="F80" s="294" t="str">
        <f t="shared" si="18"/>
        <v>Domestic Potential of Pig Waste  - Step 3</v>
      </c>
      <c r="G80" s="296" t="str">
        <f t="shared" si="17"/>
        <v>Domestic Potential</v>
      </c>
      <c r="H80" s="296" t="str">
        <f>$B$87</f>
        <v>BIOPIGW</v>
      </c>
      <c r="I80" s="296" t="str">
        <f t="shared" si="12"/>
        <v>MIN</v>
      </c>
      <c r="J80" s="296" t="str">
        <f>$I$9</f>
        <v>_S3</v>
      </c>
      <c r="K80" s="296" t="s">
        <v>9</v>
      </c>
    </row>
    <row r="81" spans="2:12">
      <c r="B81" s="313" t="s">
        <v>63</v>
      </c>
      <c r="C81" s="296" t="s">
        <v>325</v>
      </c>
      <c r="E81" s="296" t="str">
        <f t="shared" si="16"/>
        <v>MINBIOINDF_S1</v>
      </c>
      <c r="F81" s="294" t="str">
        <f t="shared" si="18"/>
        <v>Domestic Potential of Industrial Food Waste  - Step 1</v>
      </c>
      <c r="G81" s="296" t="str">
        <f t="shared" si="17"/>
        <v>Domestic Potential</v>
      </c>
      <c r="H81" s="296" t="str">
        <f>$B$88</f>
        <v>BIOINDF</v>
      </c>
      <c r="I81" s="296" t="str">
        <f t="shared" si="12"/>
        <v>MIN</v>
      </c>
      <c r="J81" s="296" t="str">
        <f>$I$7</f>
        <v>_S1</v>
      </c>
      <c r="K81" s="296" t="s">
        <v>9</v>
      </c>
    </row>
    <row r="82" spans="2:12">
      <c r="B82" s="313" t="s">
        <v>174</v>
      </c>
      <c r="C82" s="296" t="s">
        <v>326</v>
      </c>
      <c r="E82" s="296" t="str">
        <f t="shared" si="16"/>
        <v>MINBIOINDF_S2</v>
      </c>
      <c r="F82" s="294" t="str">
        <f t="shared" si="18"/>
        <v>Domestic Potential of Industrial Food Waste  - Step 2</v>
      </c>
      <c r="G82" s="296" t="str">
        <f t="shared" si="17"/>
        <v>Domestic Potential</v>
      </c>
      <c r="H82" s="296" t="str">
        <f>$B$88</f>
        <v>BIOINDF</v>
      </c>
      <c r="I82" s="296" t="str">
        <f t="shared" si="12"/>
        <v>MIN</v>
      </c>
      <c r="J82" s="296" t="str">
        <f>$I$8</f>
        <v>_S2</v>
      </c>
      <c r="K82" s="296" t="s">
        <v>9</v>
      </c>
    </row>
    <row r="83" spans="2:12">
      <c r="B83" s="314" t="s">
        <v>175</v>
      </c>
      <c r="C83" s="296" t="s">
        <v>327</v>
      </c>
      <c r="E83" s="296" t="str">
        <f t="shared" si="16"/>
        <v>MINBIOINDF_S3</v>
      </c>
      <c r="F83" s="294" t="str">
        <f t="shared" si="18"/>
        <v>Domestic Potential of Industrial Food Waste  - Step 3</v>
      </c>
      <c r="G83" s="296" t="str">
        <f t="shared" si="17"/>
        <v>Domestic Potential</v>
      </c>
      <c r="H83" s="296" t="str">
        <f>$B$88</f>
        <v>BIOINDF</v>
      </c>
      <c r="I83" s="296" t="str">
        <f t="shared" si="12"/>
        <v>MIN</v>
      </c>
      <c r="J83" s="296" t="str">
        <f>$I$9</f>
        <v>_S3</v>
      </c>
      <c r="K83" s="296" t="s">
        <v>9</v>
      </c>
    </row>
    <row r="84" spans="2:12">
      <c r="B84" s="313" t="s">
        <v>171</v>
      </c>
      <c r="C84" s="296" t="s">
        <v>328</v>
      </c>
      <c r="E84" s="296" t="str">
        <f t="shared" ref="E84:E85" si="19">I84&amp;H84&amp;J84</f>
        <v>MINCYC</v>
      </c>
      <c r="F84" s="294" t="str">
        <f t="shared" si="18"/>
        <v>Domestic Potential of Cycling</v>
      </c>
      <c r="G84" s="296" t="str">
        <f t="shared" ref="G84:G85" si="20">VLOOKUP(I84,$E$4:$F$9,2,FALSE)</f>
        <v>Domestic Potential</v>
      </c>
      <c r="H84" s="296" t="str">
        <f>$B$90</f>
        <v>CYC</v>
      </c>
      <c r="I84" s="296" t="str">
        <f t="shared" si="12"/>
        <v>MIN</v>
      </c>
      <c r="J84" s="296"/>
      <c r="K84" s="296" t="s">
        <v>9</v>
      </c>
      <c r="L84" s="294"/>
    </row>
    <row r="85" spans="2:12">
      <c r="B85" s="313" t="s">
        <v>170</v>
      </c>
      <c r="C85" s="296" t="s">
        <v>329</v>
      </c>
      <c r="E85" s="296" t="str">
        <f t="shared" si="19"/>
        <v>MINWLK</v>
      </c>
      <c r="F85" s="294" t="str">
        <f t="shared" si="18"/>
        <v>Domestic Potential of Walking</v>
      </c>
      <c r="G85" s="296" t="str">
        <f t="shared" si="20"/>
        <v>Domestic Potential</v>
      </c>
      <c r="H85" s="296" t="str">
        <f>$B$91</f>
        <v>WLK</v>
      </c>
      <c r="I85" s="296" t="str">
        <f t="shared" si="12"/>
        <v>MIN</v>
      </c>
      <c r="J85" s="296"/>
      <c r="K85" s="296" t="s">
        <v>9</v>
      </c>
      <c r="L85" s="294"/>
    </row>
    <row r="86" spans="2:12">
      <c r="B86" s="313" t="s">
        <v>173</v>
      </c>
      <c r="C86" s="296" t="s">
        <v>330</v>
      </c>
      <c r="E86" s="296" t="str">
        <f t="shared" ref="E86:E87" si="21">I86&amp;H86&amp;J86</f>
        <v>IMPELC_UK</v>
      </c>
      <c r="F86" s="294" t="str">
        <f>G86 &amp; " of " &amp; VLOOKUP(H86,$B$13:$C$91,2,FALSE) &amp; IF(J86&lt;&gt;0,IF(VLOOKUP(J86,$I$4:$J$10,2,FALSE)&lt;&gt;""," - " &amp; VLOOKUP(J86,$I$4:$J$10,2,FALSE),""),"")</f>
        <v>Import of Electricity - UK</v>
      </c>
      <c r="G86" s="296" t="str">
        <f t="shared" ref="G86:G87" si="22">VLOOKUP(I86,$E$4:$F$9,2,FALSE)</f>
        <v>Import</v>
      </c>
      <c r="H86" s="296" t="str">
        <f>$B$43</f>
        <v>ELC</v>
      </c>
      <c r="I86" s="296" t="str">
        <f>$E$5</f>
        <v>IMP</v>
      </c>
      <c r="J86" s="296" t="str">
        <f>$I$4</f>
        <v>_UK</v>
      </c>
      <c r="K86" s="296" t="s">
        <v>13</v>
      </c>
    </row>
    <row r="87" spans="2:12">
      <c r="B87" s="313" t="s">
        <v>172</v>
      </c>
      <c r="C87" s="296" t="s">
        <v>331</v>
      </c>
      <c r="E87" s="296" t="str">
        <f t="shared" si="21"/>
        <v>EXPELC_UK</v>
      </c>
      <c r="F87" s="294" t="str">
        <f t="shared" ref="F87:F89" si="23">G87 &amp; " of " &amp; VLOOKUP(H87,$B$13:$C$90,2,FALSE) &amp; IF(J87&lt;&gt;0,IF(VLOOKUP(J87,$I$4:$J$10,2,FALSE)&lt;&gt;""," - " &amp; VLOOKUP(J87,$I$4:$J$10,2,FALSE),""),"")</f>
        <v>Export of Electricity - UK</v>
      </c>
      <c r="G87" s="296" t="str">
        <f t="shared" si="22"/>
        <v>Export</v>
      </c>
      <c r="H87" s="296" t="str">
        <f>$B$43</f>
        <v>ELC</v>
      </c>
      <c r="I87" s="296" t="str">
        <f>$E$6</f>
        <v>EXP</v>
      </c>
      <c r="J87" s="296" t="str">
        <f>$I$4</f>
        <v>_UK</v>
      </c>
      <c r="K87" s="296" t="s">
        <v>64</v>
      </c>
    </row>
    <row r="88" spans="2:12">
      <c r="B88" s="313" t="s">
        <v>176</v>
      </c>
      <c r="C88" s="296" t="s">
        <v>332</v>
      </c>
      <c r="E88" s="296" t="str">
        <f t="shared" ref="E88" si="24">I88&amp;H88&amp;J88</f>
        <v>BDNBIOWOO</v>
      </c>
      <c r="F88" s="294" t="str">
        <f t="shared" si="23"/>
        <v xml:space="preserve">Blending of Biomass - generic </v>
      </c>
      <c r="G88" s="296" t="str">
        <f>VLOOKUP(I88,$E$4:$F$9,2,FALSE)</f>
        <v>Blending</v>
      </c>
      <c r="H88" s="296" t="str">
        <f>B76</f>
        <v>BIOWOO</v>
      </c>
      <c r="I88" s="296" t="str">
        <f>$E$9</f>
        <v>BDN</v>
      </c>
      <c r="K88" s="296" t="s">
        <v>186</v>
      </c>
    </row>
    <row r="89" spans="2:12">
      <c r="B89" s="313" t="s">
        <v>442</v>
      </c>
      <c r="C89" s="296" t="s">
        <v>443</v>
      </c>
      <c r="E89" s="296" t="str">
        <f>LEFT(B4,1)&amp;I89&amp;H89&amp;J89</f>
        <v>SREFOILCRD_Whitegate</v>
      </c>
      <c r="F89" s="294" t="str">
        <f t="shared" si="23"/>
        <v>Refinery of Crude Oil  - Whitegate</v>
      </c>
      <c r="G89" s="296" t="str">
        <f>VLOOKUP(I89,$E$4:$F$9,2,FALSE)</f>
        <v>Refinery</v>
      </c>
      <c r="H89" t="str">
        <f>B51</f>
        <v>OILCRD</v>
      </c>
      <c r="I89" s="296" t="str">
        <f>$E$7</f>
        <v>REF</v>
      </c>
      <c r="J89" t="str">
        <f>I6</f>
        <v>_Whitegate</v>
      </c>
      <c r="K89" s="296" t="s">
        <v>186</v>
      </c>
    </row>
    <row r="90" spans="2:12">
      <c r="B90" s="314" t="s">
        <v>510</v>
      </c>
      <c r="C90" s="296" t="s">
        <v>512</v>
      </c>
      <c r="E90" s="296" t="str">
        <f>I90&amp;$B$4&amp;H90&amp;J90</f>
        <v>FT-SUPNGA</v>
      </c>
      <c r="F90" s="294" t="str">
        <f>G90 &amp; " - " &amp; VLOOKUP(H90,$B$13:$C$91,2,FALSE) &amp; IF(J90&lt;&gt;0,IF(VLOOKUP(J90,$I$4:$J$10,2,FALSE)&lt;&gt;""," - " &amp; VLOOKUP(J90,$I$4:$J$10,2,FALSE),""),"") &amp; " (" &amp; $B$4 &amp; ")"</f>
        <v>Fuel Tech - Natural Gas (SUP)</v>
      </c>
      <c r="G90" s="296" t="str">
        <f t="shared" ref="G90" si="25">VLOOKUP(I90,$E$4:$F$9,2,FALSE)</f>
        <v>Fuel Tech</v>
      </c>
      <c r="H90" s="294" t="str">
        <f>B20</f>
        <v>NGA</v>
      </c>
      <c r="I90" s="296" t="str">
        <f>$E$8</f>
        <v>FT-</v>
      </c>
      <c r="J90" s="294"/>
      <c r="K90" s="296" t="s">
        <v>186</v>
      </c>
    </row>
    <row r="91" spans="2:12">
      <c r="B91" s="313" t="s">
        <v>511</v>
      </c>
      <c r="C91" s="296" t="s">
        <v>513</v>
      </c>
      <c r="E91" s="296" t="str">
        <f t="shared" ref="E91:E94" si="26">I91&amp;$B$4&amp;H91&amp;J91</f>
        <v>FT-SUPCOA</v>
      </c>
      <c r="F91" s="294" t="str">
        <f t="shared" ref="F91:F94" si="27">G91 &amp; " - " &amp; VLOOKUP(H91,$B$13:$C$91,2,FALSE) &amp; IF(J91&lt;&gt;0,IF(VLOOKUP(J91,$I$4:$J$10,2,FALSE)&lt;&gt;""," - " &amp; VLOOKUP(J91,$I$4:$J$10,2,FALSE),""),"") &amp; " (" &amp; $B$4 &amp; ")"</f>
        <v>Fuel Tech - Coal (SUP)</v>
      </c>
      <c r="G91" s="296" t="str">
        <f t="shared" ref="G91:G94" si="28">VLOOKUP(I91,$E$4:$F$9,2,FALSE)</f>
        <v>Fuel Tech</v>
      </c>
      <c r="H91" s="294" t="str">
        <f>B13</f>
        <v>COA</v>
      </c>
      <c r="I91" s="296" t="str">
        <f t="shared" ref="I91:I94" si="29">$E$8</f>
        <v>FT-</v>
      </c>
      <c r="J91" s="294"/>
      <c r="K91" s="296" t="s">
        <v>186</v>
      </c>
    </row>
    <row r="92" spans="2:12">
      <c r="B92" s="313"/>
      <c r="C92" s="296"/>
      <c r="E92" s="296" t="str">
        <f t="shared" si="26"/>
        <v>FT-SUPWAS</v>
      </c>
      <c r="F92" s="294" t="str">
        <f t="shared" si="27"/>
        <v>Fuel Tech - Waste (SUP)</v>
      </c>
      <c r="G92" s="296" t="str">
        <f t="shared" si="28"/>
        <v>Fuel Tech</v>
      </c>
      <c r="H92" s="294" t="str">
        <f>B45</f>
        <v>WAS</v>
      </c>
      <c r="I92" s="296" t="str">
        <f t="shared" si="29"/>
        <v>FT-</v>
      </c>
      <c r="J92" s="294"/>
      <c r="K92" s="296" t="s">
        <v>186</v>
      </c>
    </row>
    <row r="93" spans="2:12">
      <c r="E93" s="296" t="str">
        <f t="shared" si="26"/>
        <v>FT-SUPBIO</v>
      </c>
      <c r="F93" s="294" t="str">
        <f t="shared" si="27"/>
        <v>Fuel Tech - Biomass (SUP)</v>
      </c>
      <c r="G93" s="296" t="str">
        <f t="shared" si="28"/>
        <v>Fuel Tech</v>
      </c>
      <c r="H93" s="294" t="str">
        <f>B21</f>
        <v>BIO</v>
      </c>
      <c r="I93" s="296" t="str">
        <f t="shared" si="29"/>
        <v>FT-</v>
      </c>
      <c r="J93" s="294"/>
      <c r="K93" s="296" t="s">
        <v>186</v>
      </c>
    </row>
    <row r="94" spans="2:12">
      <c r="E94" s="296" t="str">
        <f t="shared" si="26"/>
        <v>FT-SUPELC</v>
      </c>
      <c r="F94" s="294" t="str">
        <f t="shared" si="27"/>
        <v>Fuel Tech - Electricity (SUP)</v>
      </c>
      <c r="G94" s="296" t="str">
        <f t="shared" si="28"/>
        <v>Fuel Tech</v>
      </c>
      <c r="H94" s="294" t="str">
        <f>B43</f>
        <v>ELC</v>
      </c>
      <c r="I94" s="296" t="str">
        <f t="shared" si="29"/>
        <v>FT-</v>
      </c>
      <c r="J94" s="294"/>
      <c r="K94" s="296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J5" sqref="J5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4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3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Commodities!C56</f>
        <v>ELCC</v>
      </c>
      <c r="F5" s="193">
        <f>F22</f>
        <v>12.785422166133992</v>
      </c>
      <c r="G5" s="193">
        <f>G22</f>
        <v>13.29765454468259</v>
      </c>
      <c r="H5" s="193">
        <f>H22</f>
        <v>19.864459777168182</v>
      </c>
      <c r="I5" s="193">
        <f>I22</f>
        <v>23.122039979266045</v>
      </c>
      <c r="J5" s="193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Commodities!C56</f>
        <v>ELCC</v>
      </c>
      <c r="E6" s="49"/>
      <c r="F6" s="236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4" t="s">
        <v>195</v>
      </c>
      <c r="G7" s="514"/>
      <c r="H7" s="514"/>
      <c r="I7" s="514"/>
      <c r="J7" s="514"/>
      <c r="K7" s="491" t="s">
        <v>72</v>
      </c>
      <c r="L7" s="514" t="s">
        <v>286</v>
      </c>
      <c r="M7" s="514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4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4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4"/>
      <c r="G14"/>
      <c r="H14"/>
      <c r="I14"/>
      <c r="J14"/>
      <c r="K14"/>
      <c r="L14"/>
      <c r="M14"/>
      <c r="N14"/>
      <c r="O14"/>
      <c r="P14" s="275"/>
    </row>
    <row r="15" spans="2:19">
      <c r="B15" t="s">
        <v>150</v>
      </c>
      <c r="D15">
        <v>0.47499999999999998</v>
      </c>
      <c r="E15"/>
      <c r="F15" s="190">
        <f>F19/$D$15</f>
        <v>59.752421052631576</v>
      </c>
      <c r="G15" s="190">
        <f>G19/$D$15</f>
        <v>59.752421052631576</v>
      </c>
      <c r="H15" s="190">
        <v>60</v>
      </c>
      <c r="I15" s="190">
        <v>60</v>
      </c>
      <c r="J15" s="190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4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2">
        <f>Imports_Fossil!E6</f>
        <v>5.6772421955803125</v>
      </c>
      <c r="G17" s="172">
        <f>Imports_Fossil!F6</f>
        <v>5.9205525753908965</v>
      </c>
      <c r="H17" s="172">
        <f>Imports_Fossil!G6</f>
        <v>9.0024840529916368</v>
      </c>
      <c r="I17" s="172">
        <f>Imports_Fossil!H6</f>
        <v>10.543449791792009</v>
      </c>
      <c r="J17" s="172">
        <f>Imports_Fossil!I6</f>
        <v>12.348184440837489</v>
      </c>
      <c r="K17"/>
      <c r="L17" s="189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88">
        <f>F17*F15/F19</f>
        <v>11.952088832800658</v>
      </c>
      <c r="G18" s="188">
        <f>G17*G15/G19</f>
        <v>12.464321211349256</v>
      </c>
      <c r="H18" s="188">
        <f t="shared" ref="H18:J18" si="2">H17*H15/H19</f>
        <v>19.03112644383485</v>
      </c>
      <c r="I18" s="188">
        <f t="shared" si="2"/>
        <v>22.288706645932713</v>
      </c>
      <c r="J18" s="188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2">
        <f t="shared" ref="F19:J19" si="3">$D$19*8760*3.6*10^-6</f>
        <v>28.382399999999997</v>
      </c>
      <c r="G19" s="172">
        <f t="shared" si="3"/>
        <v>28.382399999999997</v>
      </c>
      <c r="H19" s="172">
        <f t="shared" si="3"/>
        <v>28.382399999999997</v>
      </c>
      <c r="I19" s="172">
        <f t="shared" si="3"/>
        <v>28.382399999999997</v>
      </c>
      <c r="J19" s="172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4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87">
        <f t="shared" ref="F22" si="5">F18+F20</f>
        <v>12.785422166133992</v>
      </c>
      <c r="G22" s="187">
        <f t="shared" ref="G22:J22" si="6">G18+G20</f>
        <v>13.29765454468259</v>
      </c>
      <c r="H22" s="187">
        <f t="shared" si="6"/>
        <v>19.864459777168182</v>
      </c>
      <c r="I22" s="187">
        <f t="shared" si="6"/>
        <v>23.122039979266045</v>
      </c>
      <c r="J22" s="187">
        <f t="shared" si="6"/>
        <v>26.829511103517522</v>
      </c>
      <c r="K22"/>
      <c r="L22" s="186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1"/>
      <c r="J24" s="191"/>
      <c r="K24" s="192"/>
      <c r="L24" s="192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76"/>
    <col min="2" max="2" width="18.85546875" style="276" customWidth="1"/>
    <col min="3" max="16384" width="9.140625" style="276"/>
  </cols>
  <sheetData>
    <row r="1" spans="1:6">
      <c r="A1" s="286" t="s">
        <v>334</v>
      </c>
      <c r="B1" s="286"/>
      <c r="C1" s="287"/>
      <c r="D1" s="287"/>
      <c r="E1" s="287"/>
    </row>
    <row r="4" spans="1:6">
      <c r="B4" s="2" t="s">
        <v>335</v>
      </c>
    </row>
    <row r="5" spans="1:6" ht="15.75" thickBot="1">
      <c r="B5" s="288" t="s">
        <v>16</v>
      </c>
      <c r="C5" s="289" t="str">
        <f>Commodities!C52</f>
        <v>SUPNGA</v>
      </c>
      <c r="D5" s="289" t="str">
        <f>Commodities!C51</f>
        <v>SUPCOA</v>
      </c>
      <c r="E5" s="289" t="str">
        <f>Commodities!C55</f>
        <v>SUPWAS</v>
      </c>
      <c r="F5" s="289" t="s">
        <v>336</v>
      </c>
    </row>
    <row r="6" spans="1:6">
      <c r="B6" s="276" t="str">
        <f>Commodities!C66</f>
        <v>SUPCO2N</v>
      </c>
      <c r="C6" s="148">
        <v>56.1</v>
      </c>
      <c r="D6" s="148">
        <v>96.1</v>
      </c>
      <c r="E6" s="148">
        <v>75.3</v>
      </c>
      <c r="F6" s="148" t="s">
        <v>337</v>
      </c>
    </row>
    <row r="7" spans="1:6">
      <c r="B7" s="276" t="str">
        <f>Commodities!C62</f>
        <v>SUPCH4N</v>
      </c>
      <c r="C7" s="148"/>
      <c r="D7" s="148"/>
      <c r="E7" s="148"/>
    </row>
    <row r="8" spans="1:6">
      <c r="B8" s="276" t="str">
        <f>Commodities!C65</f>
        <v>SUPSO2N</v>
      </c>
      <c r="C8" s="148"/>
      <c r="D8" s="148"/>
      <c r="E8" s="148"/>
    </row>
    <row r="9" spans="1:6">
      <c r="B9" s="276" t="str">
        <f>Commodities!C69</f>
        <v>SUPNOXN</v>
      </c>
      <c r="C9" s="148"/>
      <c r="D9" s="148"/>
      <c r="E9" s="148"/>
    </row>
    <row r="10" spans="1:6">
      <c r="B10" s="275" t="str">
        <f>Commodities!C70</f>
        <v>SUPPM10</v>
      </c>
    </row>
    <row r="11" spans="1:6">
      <c r="B11" s="275" t="str">
        <f>Commodities!C71</f>
        <v>SUPPM25</v>
      </c>
    </row>
    <row r="19" spans="10:10">
      <c r="J19" s="2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Q31" sqref="Q31"/>
    </sheetView>
  </sheetViews>
  <sheetFormatPr defaultRowHeight="15"/>
  <cols>
    <col min="1" max="1" width="20.42578125" customWidth="1"/>
    <col min="2" max="7" width="12" customWidth="1"/>
  </cols>
  <sheetData>
    <row r="1" spans="1:22">
      <c r="A1" s="149" t="s">
        <v>108</v>
      </c>
      <c r="B1" s="142" t="s">
        <v>109</v>
      </c>
      <c r="C1" s="142"/>
      <c r="D1" s="142"/>
      <c r="E1" s="142"/>
      <c r="F1" s="142"/>
      <c r="G1" s="142"/>
      <c r="H1" s="142"/>
      <c r="I1" s="142"/>
      <c r="J1" s="117" t="s">
        <v>110</v>
      </c>
      <c r="P1" s="518" t="s">
        <v>111</v>
      </c>
      <c r="Q1" s="518"/>
    </row>
    <row r="2" spans="1:22">
      <c r="H2" s="142"/>
      <c r="I2" s="142"/>
      <c r="J2" s="61" t="s">
        <v>112</v>
      </c>
      <c r="K2" s="64">
        <v>41.868000000000002</v>
      </c>
      <c r="L2" s="61" t="s">
        <v>113</v>
      </c>
      <c r="P2" s="150" t="s">
        <v>114</v>
      </c>
      <c r="Q2" s="151">
        <v>2010</v>
      </c>
    </row>
    <row r="3" spans="1:22" ht="15.75" thickBot="1">
      <c r="A3" s="152" t="s">
        <v>115</v>
      </c>
      <c r="B3" s="164"/>
      <c r="H3" s="142"/>
      <c r="I3" s="142"/>
      <c r="J3" s="61" t="s">
        <v>116</v>
      </c>
      <c r="K3" s="153">
        <v>4.1868000000000002E-2</v>
      </c>
      <c r="L3" s="61" t="s">
        <v>10</v>
      </c>
      <c r="P3" s="154">
        <v>36861</v>
      </c>
      <c r="Q3" s="155">
        <v>127.61664564943254</v>
      </c>
    </row>
    <row r="4" spans="1:22">
      <c r="A4" s="156" t="s">
        <v>117</v>
      </c>
      <c r="H4" s="142"/>
      <c r="I4" s="142"/>
      <c r="J4" s="41"/>
      <c r="K4" s="157"/>
      <c r="L4" s="41"/>
      <c r="P4" s="142" t="s">
        <v>118</v>
      </c>
      <c r="Q4" s="142"/>
    </row>
    <row r="5" spans="1:22" ht="15.75" thickBot="1">
      <c r="A5" s="158" t="s">
        <v>119</v>
      </c>
      <c r="H5" s="142"/>
      <c r="I5" s="159" t="s">
        <v>120</v>
      </c>
      <c r="J5" s="142"/>
    </row>
    <row r="6" spans="1:22" ht="15.75" thickBot="1">
      <c r="A6" s="160"/>
      <c r="B6" s="161" t="s">
        <v>18</v>
      </c>
      <c r="C6" s="161">
        <v>2010</v>
      </c>
      <c r="D6" s="161">
        <v>2015</v>
      </c>
      <c r="E6" s="161">
        <v>2020</v>
      </c>
      <c r="F6" s="161">
        <v>2025</v>
      </c>
      <c r="G6" s="161">
        <v>2030</v>
      </c>
      <c r="H6" s="142"/>
      <c r="I6" s="162" t="s">
        <v>18</v>
      </c>
      <c r="J6" s="162">
        <v>2010</v>
      </c>
      <c r="K6" s="162">
        <v>2015</v>
      </c>
      <c r="L6" s="162">
        <v>2020</v>
      </c>
      <c r="M6" s="162">
        <v>2025</v>
      </c>
      <c r="N6" s="162">
        <v>2030</v>
      </c>
      <c r="P6" s="158" t="s">
        <v>119</v>
      </c>
    </row>
    <row r="7" spans="1:22" ht="15.75" thickBot="1">
      <c r="A7" s="163" t="s">
        <v>121</v>
      </c>
      <c r="B7" s="164" t="s">
        <v>122</v>
      </c>
      <c r="C7" s="165">
        <v>9358</v>
      </c>
      <c r="D7" s="164">
        <v>0</v>
      </c>
      <c r="E7" s="165">
        <v>24163</v>
      </c>
      <c r="F7" s="165">
        <v>139233</v>
      </c>
      <c r="G7" s="165">
        <v>470124</v>
      </c>
      <c r="H7" s="142"/>
      <c r="I7" s="136" t="s">
        <v>10</v>
      </c>
      <c r="J7" s="118">
        <f>C7*$K$3/1000</f>
        <v>0.39180074400000003</v>
      </c>
      <c r="K7" s="118">
        <f t="shared" ref="K7:N7" si="0">D7*$K$3/1000</f>
        <v>0</v>
      </c>
      <c r="L7" s="118">
        <f t="shared" si="0"/>
        <v>1.0116564840000002</v>
      </c>
      <c r="M7" s="118">
        <f t="shared" si="0"/>
        <v>5.8294072440000004</v>
      </c>
      <c r="N7" s="118">
        <f t="shared" si="0"/>
        <v>19.683151632000001</v>
      </c>
      <c r="P7" s="166" t="s">
        <v>123</v>
      </c>
      <c r="Q7" s="167"/>
      <c r="R7" s="167"/>
      <c r="S7" s="167"/>
    </row>
    <row r="8" spans="1:22" ht="15.75" thickBot="1">
      <c r="A8" s="163" t="s">
        <v>121</v>
      </c>
      <c r="B8" s="164" t="s">
        <v>124</v>
      </c>
      <c r="C8" s="164">
        <v>288</v>
      </c>
      <c r="D8" s="164">
        <v>162</v>
      </c>
      <c r="E8" s="164">
        <v>126</v>
      </c>
      <c r="F8" s="164">
        <v>106</v>
      </c>
      <c r="G8" s="164">
        <v>98</v>
      </c>
      <c r="H8" s="142"/>
      <c r="I8" s="136" t="s">
        <v>51</v>
      </c>
      <c r="J8" s="118">
        <f>C8/$K$2</f>
        <v>6.8787618228718825</v>
      </c>
      <c r="K8" s="118">
        <f t="shared" ref="K8:N8" si="1">D8/$K$2</f>
        <v>3.8693035253654342</v>
      </c>
      <c r="L8" s="118">
        <f t="shared" si="1"/>
        <v>3.0094582975064488</v>
      </c>
      <c r="M8" s="118">
        <f t="shared" si="1"/>
        <v>2.5317665042514568</v>
      </c>
      <c r="N8" s="118">
        <f t="shared" si="1"/>
        <v>2.3406897869494601</v>
      </c>
      <c r="P8" s="168" t="s">
        <v>125</v>
      </c>
      <c r="Q8" s="167"/>
      <c r="R8" s="167"/>
      <c r="S8" s="167"/>
    </row>
    <row r="9" spans="1:22" ht="15.75" thickBot="1">
      <c r="A9" s="163" t="s">
        <v>126</v>
      </c>
      <c r="B9" s="164" t="s">
        <v>122</v>
      </c>
      <c r="C9" s="165">
        <v>28075</v>
      </c>
      <c r="D9" s="164">
        <v>0</v>
      </c>
      <c r="E9" s="165">
        <v>72490</v>
      </c>
      <c r="F9" s="165">
        <v>417699</v>
      </c>
      <c r="G9" s="165">
        <v>1410371</v>
      </c>
      <c r="H9" s="142"/>
      <c r="I9" s="136" t="s">
        <v>10</v>
      </c>
      <c r="J9" s="118">
        <f>C9*$K$3/1000</f>
        <v>1.1754441000000002</v>
      </c>
      <c r="K9" s="118">
        <f t="shared" ref="K9:N9" si="2">D9*$K$3/1000</f>
        <v>0</v>
      </c>
      <c r="L9" s="118">
        <f t="shared" si="2"/>
        <v>3.0350113200000002</v>
      </c>
      <c r="M9" s="118">
        <f t="shared" si="2"/>
        <v>17.488221732000003</v>
      </c>
      <c r="N9" s="118">
        <f t="shared" si="2"/>
        <v>59.049413028000004</v>
      </c>
      <c r="P9" s="166" t="s">
        <v>127</v>
      </c>
      <c r="Q9" s="167"/>
      <c r="R9" s="167"/>
      <c r="S9" s="167"/>
    </row>
    <row r="10" spans="1:22" ht="15.75" thickBot="1">
      <c r="A10" s="163" t="s">
        <v>126</v>
      </c>
      <c r="B10" s="164" t="s">
        <v>124</v>
      </c>
      <c r="C10" s="164">
        <v>590</v>
      </c>
      <c r="D10" s="164">
        <v>385</v>
      </c>
      <c r="E10" s="164">
        <v>300</v>
      </c>
      <c r="F10" s="164">
        <v>251</v>
      </c>
      <c r="G10" s="164">
        <v>232</v>
      </c>
      <c r="H10" s="142"/>
      <c r="I10" s="136" t="s">
        <v>51</v>
      </c>
      <c r="J10" s="118">
        <f>C10/$K$2</f>
        <v>14.09190790102226</v>
      </c>
      <c r="K10" s="118">
        <f t="shared" ref="K10:N10" si="3">D10/$K$2</f>
        <v>9.1955670201585935</v>
      </c>
      <c r="L10" s="118">
        <f t="shared" si="3"/>
        <v>7.1653768988248778</v>
      </c>
      <c r="M10" s="118">
        <f t="shared" si="3"/>
        <v>5.995032005350148</v>
      </c>
      <c r="N10" s="118">
        <f t="shared" si="3"/>
        <v>5.5412248017579051</v>
      </c>
      <c r="P10" s="168" t="s">
        <v>128</v>
      </c>
      <c r="Q10" s="167"/>
      <c r="R10" s="167"/>
      <c r="S10" s="167"/>
    </row>
    <row r="11" spans="1:22" ht="15.75" thickBot="1">
      <c r="A11" s="163" t="s">
        <v>106</v>
      </c>
      <c r="B11" s="164" t="s">
        <v>122</v>
      </c>
      <c r="C11" s="165">
        <v>535616</v>
      </c>
      <c r="D11" s="165">
        <v>310101</v>
      </c>
      <c r="E11" s="165">
        <v>6531</v>
      </c>
      <c r="F11" s="165">
        <v>43493</v>
      </c>
      <c r="G11" s="165">
        <v>130927</v>
      </c>
      <c r="H11" s="142"/>
      <c r="I11" s="136" t="s">
        <v>10</v>
      </c>
      <c r="J11" s="118">
        <f>C11*$K$3/1000</f>
        <v>22.425170688000001</v>
      </c>
      <c r="K11" s="118">
        <f t="shared" ref="K11:N11" si="4">D11*$K$3/1000</f>
        <v>12.983308668000001</v>
      </c>
      <c r="L11" s="118">
        <f t="shared" si="4"/>
        <v>0.27343990800000001</v>
      </c>
      <c r="M11" s="118">
        <f t="shared" si="4"/>
        <v>1.8209649240000001</v>
      </c>
      <c r="N11" s="118">
        <f t="shared" si="4"/>
        <v>5.4816516360000005</v>
      </c>
    </row>
    <row r="12" spans="1:22" ht="15.75" thickBot="1">
      <c r="A12" s="163" t="s">
        <v>106</v>
      </c>
      <c r="B12" s="164" t="s">
        <v>124</v>
      </c>
      <c r="C12" s="164">
        <v>779</v>
      </c>
      <c r="D12" s="164">
        <v>740</v>
      </c>
      <c r="E12" s="164">
        <v>693</v>
      </c>
      <c r="F12" s="164">
        <v>630</v>
      </c>
      <c r="G12" s="164">
        <v>577</v>
      </c>
      <c r="H12" s="142"/>
      <c r="I12" s="136" t="s">
        <v>51</v>
      </c>
      <c r="J12" s="118">
        <f>C12/$K$2</f>
        <v>18.606095347281933</v>
      </c>
      <c r="K12" s="118">
        <f t="shared" ref="K12:N12" si="5">D12/$K$2</f>
        <v>17.674596350434697</v>
      </c>
      <c r="L12" s="118">
        <f t="shared" si="5"/>
        <v>16.552020636285469</v>
      </c>
      <c r="M12" s="118">
        <f t="shared" si="5"/>
        <v>15.047291487532243</v>
      </c>
      <c r="N12" s="118">
        <f t="shared" si="5"/>
        <v>13.781408235406515</v>
      </c>
    </row>
    <row r="13" spans="1:22" ht="15.75" thickBot="1">
      <c r="A13" s="163" t="s">
        <v>107</v>
      </c>
      <c r="B13" s="164" t="s">
        <v>122</v>
      </c>
      <c r="C13" s="165">
        <v>106129</v>
      </c>
      <c r="D13" s="164">
        <v>75725</v>
      </c>
      <c r="E13" s="164">
        <v>0</v>
      </c>
      <c r="F13" s="164">
        <v>0</v>
      </c>
      <c r="G13" s="164">
        <v>0</v>
      </c>
      <c r="H13" s="142"/>
      <c r="I13" s="136" t="s">
        <v>10</v>
      </c>
      <c r="J13" s="118">
        <f>C13*$K$3/1000</f>
        <v>4.4434089720000003</v>
      </c>
      <c r="K13" s="118">
        <f>D13*$K$3/1000</f>
        <v>3.1704543000000003</v>
      </c>
      <c r="L13" s="118">
        <f t="shared" ref="L13:N13" si="6">E13*$K$3/1000</f>
        <v>0</v>
      </c>
      <c r="M13" s="118">
        <f t="shared" si="6"/>
        <v>0</v>
      </c>
      <c r="N13" s="118">
        <f t="shared" si="6"/>
        <v>0</v>
      </c>
    </row>
    <row r="14" spans="1:22" ht="15.75" thickBot="1">
      <c r="A14" s="163" t="s">
        <v>107</v>
      </c>
      <c r="B14" s="164" t="s">
        <v>124</v>
      </c>
      <c r="C14" s="165">
        <v>1209</v>
      </c>
      <c r="D14" s="165">
        <v>1276</v>
      </c>
      <c r="E14" s="165">
        <v>1312</v>
      </c>
      <c r="F14" s="165">
        <v>1218</v>
      </c>
      <c r="G14" s="165">
        <v>1156</v>
      </c>
      <c r="H14" s="142"/>
      <c r="I14" s="136" t="s">
        <v>51</v>
      </c>
      <c r="J14" s="118">
        <f>C14/$K$2</f>
        <v>28.876468902264257</v>
      </c>
      <c r="K14" s="118">
        <f t="shared" ref="K14:N14" si="7">D14/$K$2</f>
        <v>30.476736409668479</v>
      </c>
      <c r="L14" s="118">
        <f t="shared" si="7"/>
        <v>31.336581637527466</v>
      </c>
      <c r="M14" s="118">
        <f t="shared" si="7"/>
        <v>29.091430209229003</v>
      </c>
      <c r="N14" s="118">
        <f t="shared" si="7"/>
        <v>27.610585650138528</v>
      </c>
    </row>
    <row r="15" spans="1:22">
      <c r="A15" s="169"/>
      <c r="H15" s="142"/>
      <c r="I15" s="142"/>
      <c r="J15" s="142"/>
    </row>
    <row r="16" spans="1:22" ht="15.75" thickBot="1">
      <c r="A16" s="170" t="s">
        <v>123</v>
      </c>
      <c r="B16" s="66"/>
      <c r="C16" s="66"/>
      <c r="D16" s="66"/>
      <c r="E16" s="66"/>
      <c r="F16" s="66"/>
      <c r="G16" s="66"/>
      <c r="H16" s="142"/>
      <c r="I16" s="159" t="s">
        <v>120</v>
      </c>
      <c r="J16" s="142"/>
      <c r="P16" t="s">
        <v>129</v>
      </c>
      <c r="V16" s="159" t="s">
        <v>130</v>
      </c>
    </row>
    <row r="17" spans="1:26" ht="15.75" thickBot="1">
      <c r="A17" s="160"/>
      <c r="B17" s="161" t="s">
        <v>18</v>
      </c>
      <c r="C17" s="161">
        <v>2010</v>
      </c>
      <c r="D17" s="161">
        <v>2015</v>
      </c>
      <c r="E17" s="161">
        <v>2020</v>
      </c>
      <c r="F17" s="161">
        <v>2025</v>
      </c>
      <c r="G17" s="161">
        <v>2030</v>
      </c>
      <c r="H17" s="142"/>
      <c r="I17" s="162" t="s">
        <v>18</v>
      </c>
      <c r="J17" s="162">
        <v>2010</v>
      </c>
      <c r="K17" s="162">
        <v>2015</v>
      </c>
      <c r="L17" s="162">
        <v>2020</v>
      </c>
      <c r="M17" s="162">
        <v>2025</v>
      </c>
      <c r="N17" s="162">
        <v>2030</v>
      </c>
      <c r="P17" s="171">
        <v>2010</v>
      </c>
      <c r="Q17" s="171">
        <v>2015</v>
      </c>
      <c r="R17" s="171">
        <v>2020</v>
      </c>
      <c r="S17" s="171">
        <v>2025</v>
      </c>
      <c r="T17" s="171">
        <v>2030</v>
      </c>
      <c r="V17" s="171">
        <v>2010</v>
      </c>
      <c r="W17" s="171">
        <v>2015</v>
      </c>
      <c r="X17" s="171">
        <v>2020</v>
      </c>
      <c r="Y17" s="171">
        <v>2025</v>
      </c>
      <c r="Z17" s="171">
        <v>2030</v>
      </c>
    </row>
    <row r="18" spans="1:26" ht="15.75" thickBot="1">
      <c r="A18" s="163" t="s">
        <v>121</v>
      </c>
      <c r="B18" s="164" t="s">
        <v>122</v>
      </c>
      <c r="C18" s="165">
        <v>7640</v>
      </c>
      <c r="D18" s="165">
        <v>7551</v>
      </c>
      <c r="E18" s="165">
        <v>141276</v>
      </c>
      <c r="F18" s="165">
        <v>452161</v>
      </c>
      <c r="G18" s="165">
        <v>1150679</v>
      </c>
      <c r="H18" s="142"/>
      <c r="I18" s="136" t="s">
        <v>10</v>
      </c>
      <c r="J18" s="118">
        <f>C18*$K$3/1000</f>
        <v>0.31987152000000002</v>
      </c>
      <c r="K18" s="118">
        <f t="shared" ref="K18:N18" si="8">D18*$K$3/1000</f>
        <v>0.31614526800000003</v>
      </c>
      <c r="L18" s="118">
        <f t="shared" si="8"/>
        <v>5.9149435680000009</v>
      </c>
      <c r="M18" s="118">
        <f t="shared" si="8"/>
        <v>18.931076747999999</v>
      </c>
      <c r="N18" s="118">
        <f t="shared" si="8"/>
        <v>48.176628371999996</v>
      </c>
      <c r="O18" s="142"/>
      <c r="P18" s="172"/>
    </row>
    <row r="19" spans="1:26" ht="15.75" thickBot="1">
      <c r="A19" s="163" t="s">
        <v>121</v>
      </c>
      <c r="B19" s="164" t="s">
        <v>124</v>
      </c>
      <c r="C19" s="164">
        <v>288</v>
      </c>
      <c r="D19" s="164">
        <v>218</v>
      </c>
      <c r="E19" s="164">
        <v>174</v>
      </c>
      <c r="F19" s="164">
        <v>149</v>
      </c>
      <c r="G19" s="164">
        <v>142</v>
      </c>
      <c r="H19" s="142"/>
      <c r="I19" s="136" t="s">
        <v>51</v>
      </c>
      <c r="J19" s="118">
        <f>C19/$K$2</f>
        <v>6.8787618228718825</v>
      </c>
      <c r="K19" s="118">
        <f t="shared" ref="K19:N19" si="9">D19/$K$2</f>
        <v>5.2068405464794116</v>
      </c>
      <c r="L19" s="118">
        <f t="shared" si="9"/>
        <v>4.1559186013184295</v>
      </c>
      <c r="M19" s="118">
        <f t="shared" si="9"/>
        <v>3.5588038597496894</v>
      </c>
      <c r="N19" s="118">
        <f t="shared" si="9"/>
        <v>3.3916117321104422</v>
      </c>
      <c r="P19" s="173">
        <f>J19/$J19</f>
        <v>1</v>
      </c>
      <c r="Q19" s="173">
        <f>K19/$J19</f>
        <v>0.75694444444444453</v>
      </c>
      <c r="R19" s="173">
        <f t="shared" ref="R19:T19" si="10">L19/$J19</f>
        <v>0.60416666666666674</v>
      </c>
      <c r="S19" s="173">
        <f t="shared" si="10"/>
        <v>0.51736111111111116</v>
      </c>
      <c r="T19" s="173">
        <f t="shared" si="10"/>
        <v>0.49305555555555558</v>
      </c>
      <c r="V19" s="174">
        <f>J19*100/$Q$3</f>
        <v>5.3901760133768803</v>
      </c>
      <c r="W19" s="174">
        <f t="shared" ref="W19:Z19" si="11">K19*100/$Q$3</f>
        <v>4.0800637879033328</v>
      </c>
      <c r="X19" s="174">
        <f t="shared" si="11"/>
        <v>3.2565646747485322</v>
      </c>
      <c r="Y19" s="174">
        <f t="shared" si="11"/>
        <v>2.788667451365122</v>
      </c>
      <c r="Z19" s="174">
        <f t="shared" si="11"/>
        <v>2.6576562288177672</v>
      </c>
    </row>
    <row r="20" spans="1:26" ht="15.75" thickBot="1">
      <c r="A20" s="163" t="s">
        <v>126</v>
      </c>
      <c r="B20" s="164" t="s">
        <v>122</v>
      </c>
      <c r="C20" s="165">
        <v>22921</v>
      </c>
      <c r="D20" s="165">
        <v>22653</v>
      </c>
      <c r="E20" s="165">
        <v>423827</v>
      </c>
      <c r="F20" s="165">
        <v>1356482</v>
      </c>
      <c r="G20" s="165">
        <v>3452038</v>
      </c>
      <c r="H20" s="142"/>
      <c r="I20" s="136" t="s">
        <v>10</v>
      </c>
      <c r="J20" s="118">
        <f>C20*$K$3/1000</f>
        <v>0.95965642799999995</v>
      </c>
      <c r="K20" s="118">
        <f t="shared" ref="K20:N20" si="12">D20*$K$3/1000</f>
        <v>0.94843580400000005</v>
      </c>
      <c r="L20" s="118">
        <f t="shared" si="12"/>
        <v>17.744788836000001</v>
      </c>
      <c r="M20" s="118">
        <f t="shared" si="12"/>
        <v>56.793188376000003</v>
      </c>
      <c r="N20" s="118">
        <f t="shared" si="12"/>
        <v>144.52992698400001</v>
      </c>
    </row>
    <row r="21" spans="1:26" ht="15.75" thickBot="1">
      <c r="A21" s="163" t="s">
        <v>126</v>
      </c>
      <c r="B21" s="164" t="s">
        <v>124</v>
      </c>
      <c r="C21" s="164">
        <v>590</v>
      </c>
      <c r="D21" s="164">
        <v>446</v>
      </c>
      <c r="E21" s="164">
        <v>356</v>
      </c>
      <c r="F21" s="164">
        <v>305</v>
      </c>
      <c r="G21" s="164">
        <v>291</v>
      </c>
      <c r="H21" s="142"/>
      <c r="I21" s="136" t="s">
        <v>51</v>
      </c>
      <c r="J21" s="118">
        <f>C21/$K$2</f>
        <v>14.09190790102226</v>
      </c>
      <c r="K21" s="118">
        <f t="shared" ref="K21:N21" si="13">D21/$K$2</f>
        <v>10.652526989586319</v>
      </c>
      <c r="L21" s="118">
        <f t="shared" si="13"/>
        <v>8.5029139199388553</v>
      </c>
      <c r="M21" s="118">
        <f t="shared" si="13"/>
        <v>7.2847998471386255</v>
      </c>
      <c r="N21" s="118">
        <f t="shared" si="13"/>
        <v>6.9504155918601311</v>
      </c>
      <c r="P21" s="173">
        <f>J21/$J21</f>
        <v>1</v>
      </c>
      <c r="Q21" s="173">
        <f t="shared" ref="Q21:T21" si="14">K21/$J21</f>
        <v>0.75593220338983047</v>
      </c>
      <c r="R21" s="173">
        <f t="shared" si="14"/>
        <v>0.60338983050847461</v>
      </c>
      <c r="S21" s="173">
        <f t="shared" si="14"/>
        <v>0.51694915254237284</v>
      </c>
      <c r="T21" s="173">
        <f t="shared" si="14"/>
        <v>0.49322033898305079</v>
      </c>
      <c r="V21" s="174">
        <f>J21*100/$Q$3</f>
        <v>11.04237447184847</v>
      </c>
      <c r="W21" s="174">
        <f t="shared" ref="W21:Z21" si="15">K21*100/$Q$3</f>
        <v>8.3472864651600283</v>
      </c>
      <c r="X21" s="174">
        <f t="shared" si="15"/>
        <v>6.6628564609797554</v>
      </c>
      <c r="Y21" s="174">
        <f t="shared" si="15"/>
        <v>5.7083461252775987</v>
      </c>
      <c r="Z21" s="174">
        <f t="shared" si="15"/>
        <v>5.4463236801828891</v>
      </c>
    </row>
    <row r="22" spans="1:26" ht="15.75" thickBot="1">
      <c r="A22" s="163" t="s">
        <v>106</v>
      </c>
      <c r="B22" s="164" t="s">
        <v>122</v>
      </c>
      <c r="C22" s="165">
        <v>781304</v>
      </c>
      <c r="D22" s="165">
        <v>791507</v>
      </c>
      <c r="E22" s="165">
        <v>441100</v>
      </c>
      <c r="F22" s="165">
        <v>807242</v>
      </c>
      <c r="G22" s="165">
        <v>1351788</v>
      </c>
      <c r="H22" s="142"/>
      <c r="I22" s="136" t="s">
        <v>10</v>
      </c>
      <c r="J22" s="118">
        <f>C22*$K$3/1000</f>
        <v>32.711635872000002</v>
      </c>
      <c r="K22" s="118">
        <f t="shared" ref="K22:N22" si="16">D22*$K$3/1000</f>
        <v>33.138815076</v>
      </c>
      <c r="L22" s="118">
        <f t="shared" si="16"/>
        <v>18.4679748</v>
      </c>
      <c r="M22" s="118">
        <f t="shared" si="16"/>
        <v>33.797608056000001</v>
      </c>
      <c r="N22" s="118">
        <f t="shared" si="16"/>
        <v>56.596659984000006</v>
      </c>
      <c r="P22" s="172"/>
    </row>
    <row r="23" spans="1:26" ht="15.75" thickBot="1">
      <c r="A23" s="163" t="s">
        <v>106</v>
      </c>
      <c r="B23" s="164" t="s">
        <v>124</v>
      </c>
      <c r="C23" s="164">
        <v>779</v>
      </c>
      <c r="D23" s="164">
        <v>761</v>
      </c>
      <c r="E23" s="164">
        <v>736</v>
      </c>
      <c r="F23" s="164">
        <v>695</v>
      </c>
      <c r="G23" s="164">
        <v>665</v>
      </c>
      <c r="H23" s="142"/>
      <c r="I23" s="136" t="s">
        <v>51</v>
      </c>
      <c r="J23" s="118">
        <f>C23/$K$2</f>
        <v>18.606095347281933</v>
      </c>
      <c r="K23" s="118">
        <f t="shared" ref="K23:N23" si="17">D23/$K$2</f>
        <v>18.176172733352441</v>
      </c>
      <c r="L23" s="118">
        <f t="shared" si="17"/>
        <v>17.579057991783699</v>
      </c>
      <c r="M23" s="118">
        <f t="shared" si="17"/>
        <v>16.599789815610968</v>
      </c>
      <c r="N23" s="118">
        <f t="shared" si="17"/>
        <v>15.883252125728479</v>
      </c>
      <c r="P23" s="173">
        <f>J23/$J23</f>
        <v>1</v>
      </c>
      <c r="Q23" s="173">
        <f t="shared" ref="Q23:T23" si="18">K23/$J23</f>
        <v>0.97689345314505782</v>
      </c>
      <c r="R23" s="173">
        <f t="shared" si="18"/>
        <v>0.9448010269576379</v>
      </c>
      <c r="S23" s="173">
        <f t="shared" si="18"/>
        <v>0.89216944801026965</v>
      </c>
      <c r="T23" s="173">
        <f t="shared" si="18"/>
        <v>0.85365853658536583</v>
      </c>
      <c r="V23" s="174">
        <f>J23*100/$Q$3</f>
        <v>14.579677480627048</v>
      </c>
      <c r="W23" s="174">
        <f t="shared" ref="W23:Z23" si="19">K23*100/$Q$3</f>
        <v>14.242791479790993</v>
      </c>
      <c r="X23" s="174">
        <f t="shared" si="19"/>
        <v>13.774894256407583</v>
      </c>
      <c r="Y23" s="174">
        <f t="shared" si="19"/>
        <v>13.007542810058791</v>
      </c>
      <c r="Z23" s="174">
        <f t="shared" si="19"/>
        <v>12.446066141998699</v>
      </c>
    </row>
    <row r="24" spans="1:26" ht="15.75" thickBot="1">
      <c r="A24" s="163" t="s">
        <v>107</v>
      </c>
      <c r="B24" s="164" t="s">
        <v>122</v>
      </c>
      <c r="C24" s="165">
        <v>101544</v>
      </c>
      <c r="D24" s="165">
        <v>112421</v>
      </c>
      <c r="E24" s="164">
        <v>0</v>
      </c>
      <c r="F24" s="164">
        <v>0</v>
      </c>
      <c r="G24" s="165">
        <v>92339</v>
      </c>
      <c r="H24" s="142"/>
      <c r="I24" s="136" t="s">
        <v>10</v>
      </c>
      <c r="J24" s="118">
        <f>C24*$K$3/1000</f>
        <v>4.2514441920000001</v>
      </c>
      <c r="K24" s="118">
        <f t="shared" ref="K24:N24" si="20">D24*$K$3/1000</f>
        <v>4.7068424279999999</v>
      </c>
      <c r="L24" s="118">
        <f t="shared" si="20"/>
        <v>0</v>
      </c>
      <c r="M24" s="118">
        <f t="shared" si="20"/>
        <v>0</v>
      </c>
      <c r="N24" s="118">
        <f t="shared" si="20"/>
        <v>3.8660492520000003</v>
      </c>
    </row>
    <row r="25" spans="1:26" ht="15.75" thickBot="1">
      <c r="A25" s="163" t="s">
        <v>107</v>
      </c>
      <c r="B25" s="164" t="s">
        <v>124</v>
      </c>
      <c r="C25" s="165">
        <v>1209</v>
      </c>
      <c r="D25" s="165">
        <v>1313</v>
      </c>
      <c r="E25" s="165">
        <v>1389</v>
      </c>
      <c r="F25" s="165">
        <v>1334</v>
      </c>
      <c r="G25" s="165">
        <v>1312</v>
      </c>
      <c r="H25" s="142"/>
      <c r="I25" s="136" t="s">
        <v>51</v>
      </c>
      <c r="J25" s="118">
        <f>C25/$K$2</f>
        <v>28.876468902264257</v>
      </c>
      <c r="K25" s="118">
        <f t="shared" ref="K25:N25" si="21">D25/$K$2</f>
        <v>31.360466227190216</v>
      </c>
      <c r="L25" s="118">
        <f t="shared" si="21"/>
        <v>33.175695041559187</v>
      </c>
      <c r="M25" s="118">
        <f t="shared" si="21"/>
        <v>31.862042610107956</v>
      </c>
      <c r="N25" s="118">
        <f t="shared" si="21"/>
        <v>31.336581637527466</v>
      </c>
      <c r="P25" s="173">
        <f>J25/$J25</f>
        <v>1</v>
      </c>
      <c r="Q25" s="173">
        <f t="shared" ref="Q25:T25" si="22">K25/$J25</f>
        <v>1.086021505376344</v>
      </c>
      <c r="R25" s="173">
        <f t="shared" si="22"/>
        <v>1.1488833746898264</v>
      </c>
      <c r="S25" s="173">
        <f t="shared" si="22"/>
        <v>1.1033912324234905</v>
      </c>
      <c r="T25" s="173">
        <f t="shared" si="22"/>
        <v>1.0851943755169562</v>
      </c>
      <c r="V25" s="174">
        <f>J25*100/$Q$3</f>
        <v>22.627509722821692</v>
      </c>
      <c r="W25" s="174">
        <f t="shared" ref="W25:Z25" si="23">K25*100/$Q$3</f>
        <v>24.573962172096682</v>
      </c>
      <c r="X25" s="174">
        <f t="shared" si="23"/>
        <v>25.996369731182249</v>
      </c>
      <c r="Y25" s="174">
        <f t="shared" si="23"/>
        <v>24.966995839738743</v>
      </c>
      <c r="Z25" s="174">
        <f t="shared" si="23"/>
        <v>24.555246283161342</v>
      </c>
    </row>
    <row r="26" spans="1:26" ht="15.75" thickBot="1">
      <c r="A26" s="158" t="s">
        <v>125</v>
      </c>
      <c r="H26" s="142"/>
      <c r="I26" s="159" t="s">
        <v>120</v>
      </c>
      <c r="J26" s="148"/>
      <c r="K26" s="136"/>
      <c r="L26" s="136"/>
      <c r="M26" s="136"/>
      <c r="N26" s="136"/>
      <c r="P26" t="s">
        <v>129</v>
      </c>
    </row>
    <row r="27" spans="1:26" ht="15.75" thickBot="1">
      <c r="A27" s="175"/>
      <c r="B27" s="161" t="s">
        <v>18</v>
      </c>
      <c r="C27" s="161">
        <v>2010</v>
      </c>
      <c r="D27" s="161">
        <v>2015</v>
      </c>
      <c r="E27" s="161">
        <v>2020</v>
      </c>
      <c r="F27" s="161">
        <v>2025</v>
      </c>
      <c r="G27" s="161">
        <v>2030</v>
      </c>
      <c r="H27" s="142"/>
      <c r="I27" s="162" t="s">
        <v>18</v>
      </c>
      <c r="J27" s="162">
        <v>2010</v>
      </c>
      <c r="K27" s="162">
        <v>2015</v>
      </c>
      <c r="L27" s="162">
        <v>2020</v>
      </c>
      <c r="M27" s="162">
        <v>2025</v>
      </c>
      <c r="N27" s="162">
        <v>2030</v>
      </c>
      <c r="P27" s="171">
        <v>2010</v>
      </c>
      <c r="Q27" s="171">
        <v>2015</v>
      </c>
      <c r="R27" s="171">
        <v>2020</v>
      </c>
      <c r="S27" s="171">
        <v>2025</v>
      </c>
      <c r="T27" s="171">
        <v>2030</v>
      </c>
      <c r="V27" s="171">
        <v>2010</v>
      </c>
      <c r="W27" s="171">
        <v>2015</v>
      </c>
      <c r="X27" s="171">
        <v>2020</v>
      </c>
      <c r="Y27" s="171">
        <v>2025</v>
      </c>
      <c r="Z27" s="171">
        <v>2030</v>
      </c>
    </row>
    <row r="28" spans="1:26" ht="15.75" thickBot="1">
      <c r="A28" s="163" t="s">
        <v>121</v>
      </c>
      <c r="B28" s="164" t="s">
        <v>122</v>
      </c>
      <c r="C28" s="165">
        <v>6382</v>
      </c>
      <c r="D28" s="165">
        <v>29323</v>
      </c>
      <c r="E28" s="165">
        <v>214410</v>
      </c>
      <c r="F28" s="165">
        <v>666226</v>
      </c>
      <c r="G28" s="165">
        <v>1885232</v>
      </c>
      <c r="H28" s="142"/>
      <c r="I28" s="136" t="s">
        <v>10</v>
      </c>
      <c r="J28" s="118">
        <f>C28*$K$3/1000</f>
        <v>0.267201576</v>
      </c>
      <c r="K28" s="118">
        <f t="shared" ref="K28:N28" si="24">D28*$K$3/1000</f>
        <v>1.2276953640000001</v>
      </c>
      <c r="L28" s="118">
        <f t="shared" si="24"/>
        <v>8.9769178800000002</v>
      </c>
      <c r="M28" s="118">
        <f t="shared" si="24"/>
        <v>27.893550168000001</v>
      </c>
      <c r="N28" s="118">
        <f t="shared" si="24"/>
        <v>78.930893376</v>
      </c>
      <c r="P28" s="172"/>
    </row>
    <row r="29" spans="1:26" ht="15.75" thickBot="1">
      <c r="A29" s="163" t="s">
        <v>121</v>
      </c>
      <c r="B29" s="164" t="s">
        <v>124</v>
      </c>
      <c r="C29" s="164">
        <v>288</v>
      </c>
      <c r="D29" s="164">
        <v>257</v>
      </c>
      <c r="E29" s="164">
        <v>211</v>
      </c>
      <c r="F29" s="164">
        <v>187</v>
      </c>
      <c r="G29" s="164">
        <v>183</v>
      </c>
      <c r="H29" s="142"/>
      <c r="I29" s="136" t="s">
        <v>51</v>
      </c>
      <c r="J29" s="118">
        <f>C29/$K$2</f>
        <v>6.8787618228718825</v>
      </c>
      <c r="K29" s="118">
        <f t="shared" ref="K29:N29" si="25">D29/$K$2</f>
        <v>6.1383395433266452</v>
      </c>
      <c r="L29" s="118">
        <f t="shared" si="25"/>
        <v>5.039648418840164</v>
      </c>
      <c r="M29" s="118">
        <f t="shared" si="25"/>
        <v>4.4664182669341734</v>
      </c>
      <c r="N29" s="118">
        <f t="shared" si="25"/>
        <v>4.3708799082831753</v>
      </c>
      <c r="P29" s="173">
        <f>J29/$J29</f>
        <v>1</v>
      </c>
      <c r="Q29" s="173">
        <f t="shared" ref="Q29:T29" si="26">K29/$J29</f>
        <v>0.89236111111111116</v>
      </c>
      <c r="R29" s="173">
        <f t="shared" si="26"/>
        <v>0.73263888888888895</v>
      </c>
      <c r="S29" s="173">
        <f t="shared" si="26"/>
        <v>0.64930555555555547</v>
      </c>
      <c r="T29" s="173">
        <f t="shared" si="26"/>
        <v>0.63541666666666663</v>
      </c>
      <c r="V29" s="174">
        <f>J29*100/$Q$3</f>
        <v>5.3901760133768803</v>
      </c>
      <c r="W29" s="174">
        <f t="shared" ref="W29:Z29" si="27">K29*100/$Q$3</f>
        <v>4.8099834563814525</v>
      </c>
      <c r="X29" s="174">
        <f t="shared" si="27"/>
        <v>3.949052565355978</v>
      </c>
      <c r="Y29" s="174">
        <f t="shared" si="27"/>
        <v>3.4998712309079045</v>
      </c>
      <c r="Z29" s="174">
        <f t="shared" si="27"/>
        <v>3.425007675166559</v>
      </c>
    </row>
    <row r="30" spans="1:26" ht="15.75" thickBot="1">
      <c r="A30" s="163" t="s">
        <v>126</v>
      </c>
      <c r="B30" s="164" t="s">
        <v>122</v>
      </c>
      <c r="C30" s="164" t="s">
        <v>131</v>
      </c>
      <c r="D30" s="165">
        <v>87968</v>
      </c>
      <c r="E30" s="165">
        <v>643231</v>
      </c>
      <c r="F30" s="165">
        <v>1998677</v>
      </c>
      <c r="G30" s="165">
        <v>5655695</v>
      </c>
      <c r="H30" s="142"/>
      <c r="I30" s="136" t="s">
        <v>10</v>
      </c>
      <c r="J30" s="118" t="e">
        <f>C30*$K$3/1000</f>
        <v>#VALUE!</v>
      </c>
      <c r="K30" s="118">
        <f t="shared" ref="K30:N30" si="28">D30*$K$3/1000</f>
        <v>3.6830442240000001</v>
      </c>
      <c r="L30" s="118">
        <f t="shared" si="28"/>
        <v>26.930795508000003</v>
      </c>
      <c r="M30" s="118">
        <f t="shared" si="28"/>
        <v>83.680608636000002</v>
      </c>
      <c r="N30" s="118">
        <f t="shared" si="28"/>
        <v>236.79263826000002</v>
      </c>
    </row>
    <row r="31" spans="1:26" ht="15.75" thickBot="1">
      <c r="A31" s="163" t="s">
        <v>126</v>
      </c>
      <c r="B31" s="164" t="s">
        <v>124</v>
      </c>
      <c r="C31" s="164">
        <v>590</v>
      </c>
      <c r="D31" s="164">
        <v>514</v>
      </c>
      <c r="E31" s="164">
        <v>423</v>
      </c>
      <c r="F31" s="164">
        <v>374</v>
      </c>
      <c r="G31" s="164">
        <v>367</v>
      </c>
      <c r="H31" s="142"/>
      <c r="I31" s="136" t="s">
        <v>51</v>
      </c>
      <c r="J31" s="118">
        <f>C31/$K$2</f>
        <v>14.09190790102226</v>
      </c>
      <c r="K31" s="118">
        <f t="shared" ref="K31:N31" si="29">D31/$K$2</f>
        <v>12.27667908665329</v>
      </c>
      <c r="L31" s="118">
        <f t="shared" si="29"/>
        <v>10.103181427343078</v>
      </c>
      <c r="M31" s="118">
        <f t="shared" si="29"/>
        <v>8.9328365338683469</v>
      </c>
      <c r="N31" s="118">
        <f t="shared" si="29"/>
        <v>8.7656444062291001</v>
      </c>
      <c r="P31" s="173">
        <f>J31/$J31</f>
        <v>1</v>
      </c>
      <c r="Q31" s="173">
        <f t="shared" ref="Q31:T31" si="30">K31/$J31</f>
        <v>0.87118644067796602</v>
      </c>
      <c r="R31" s="173">
        <f t="shared" si="30"/>
        <v>0.71694915254237279</v>
      </c>
      <c r="S31" s="173">
        <f t="shared" si="30"/>
        <v>0.63389830508474565</v>
      </c>
      <c r="T31" s="173">
        <f t="shared" si="30"/>
        <v>0.62203389830508471</v>
      </c>
      <c r="V31" s="174">
        <f>J31*100/$Q$3</f>
        <v>11.04237447184847</v>
      </c>
      <c r="W31" s="174">
        <f t="shared" ref="W31:Z31" si="31">K31*100/$Q$3</f>
        <v>9.6199669127629051</v>
      </c>
      <c r="X31" s="174">
        <f t="shared" si="31"/>
        <v>7.9168210196472932</v>
      </c>
      <c r="Y31" s="174">
        <f t="shared" si="31"/>
        <v>6.9997424618158091</v>
      </c>
      <c r="Z31" s="174">
        <f t="shared" si="31"/>
        <v>6.8687312392684552</v>
      </c>
    </row>
    <row r="32" spans="1:26" ht="15.75" thickBot="1">
      <c r="A32" s="163" t="s">
        <v>106</v>
      </c>
      <c r="B32" s="164" t="s">
        <v>122</v>
      </c>
      <c r="C32" s="165">
        <v>779549</v>
      </c>
      <c r="D32" s="165">
        <v>795568</v>
      </c>
      <c r="E32" s="165">
        <v>452796</v>
      </c>
      <c r="F32" s="165">
        <v>823157</v>
      </c>
      <c r="G32" s="165">
        <v>1376225</v>
      </c>
      <c r="H32" s="142"/>
      <c r="I32" s="136" t="s">
        <v>10</v>
      </c>
      <c r="J32" s="118">
        <f>C32*$K$3/1000</f>
        <v>32.638157532000001</v>
      </c>
      <c r="K32" s="118">
        <f t="shared" ref="K32:N32" si="32">D32*$K$3/1000</f>
        <v>33.308841024000003</v>
      </c>
      <c r="L32" s="118">
        <f t="shared" si="32"/>
        <v>18.957662928000001</v>
      </c>
      <c r="M32" s="118">
        <f t="shared" si="32"/>
        <v>34.463937276000003</v>
      </c>
      <c r="N32" s="118">
        <f t="shared" si="32"/>
        <v>57.619788300000003</v>
      </c>
      <c r="P32" s="172"/>
    </row>
    <row r="33" spans="1:26" ht="15.75" thickBot="1">
      <c r="A33" s="163" t="s">
        <v>106</v>
      </c>
      <c r="B33" s="164" t="s">
        <v>124</v>
      </c>
      <c r="C33" s="164">
        <v>779</v>
      </c>
      <c r="D33" s="164">
        <v>792</v>
      </c>
      <c r="E33" s="164">
        <v>799</v>
      </c>
      <c r="F33" s="164">
        <v>792</v>
      </c>
      <c r="G33" s="164">
        <v>801</v>
      </c>
      <c r="H33" s="142"/>
      <c r="I33" s="136" t="s">
        <v>51</v>
      </c>
      <c r="J33" s="118">
        <f>C33/$K$2</f>
        <v>18.606095347281933</v>
      </c>
      <c r="K33" s="118">
        <f t="shared" ref="K33:N33" si="33">D33/$K$2</f>
        <v>18.916595012897677</v>
      </c>
      <c r="L33" s="118">
        <f t="shared" si="33"/>
        <v>19.083787140536923</v>
      </c>
      <c r="M33" s="118">
        <f t="shared" si="33"/>
        <v>18.916595012897677</v>
      </c>
      <c r="N33" s="118">
        <f t="shared" si="33"/>
        <v>19.131556319862423</v>
      </c>
      <c r="P33" s="173">
        <f>J33/$J33</f>
        <v>1</v>
      </c>
      <c r="Q33" s="173">
        <f t="shared" ref="Q33:T33" si="34">K33/$J33</f>
        <v>1.0166880616174583</v>
      </c>
      <c r="R33" s="173">
        <f t="shared" si="34"/>
        <v>1.0256739409499358</v>
      </c>
      <c r="S33" s="173">
        <f t="shared" si="34"/>
        <v>1.0166880616174583</v>
      </c>
      <c r="T33" s="173">
        <f t="shared" si="34"/>
        <v>1.0282413350449293</v>
      </c>
      <c r="V33" s="174">
        <f>J33*100/$Q$3</f>
        <v>14.579677480627048</v>
      </c>
      <c r="W33" s="174">
        <f t="shared" ref="W33:Z33" si="35">K33*100/$Q$3</f>
        <v>14.822984036786419</v>
      </c>
      <c r="X33" s="174">
        <f t="shared" si="35"/>
        <v>14.953995259333775</v>
      </c>
      <c r="Y33" s="174">
        <f t="shared" si="35"/>
        <v>14.822984036786419</v>
      </c>
      <c r="Z33" s="174">
        <f t="shared" si="35"/>
        <v>14.991427037204447</v>
      </c>
    </row>
    <row r="34" spans="1:26" ht="15.75" thickBot="1">
      <c r="A34" s="163" t="s">
        <v>107</v>
      </c>
      <c r="B34" s="164" t="s">
        <v>122</v>
      </c>
      <c r="C34" s="165">
        <v>101448</v>
      </c>
      <c r="D34" s="165">
        <v>117598</v>
      </c>
      <c r="E34" s="164">
        <v>0</v>
      </c>
      <c r="F34" s="164">
        <v>0</v>
      </c>
      <c r="G34" s="165">
        <v>104602</v>
      </c>
      <c r="H34" s="142"/>
      <c r="I34" s="136" t="s">
        <v>10</v>
      </c>
      <c r="J34" s="118">
        <f>C34*$K$3/1000</f>
        <v>4.247424864000001</v>
      </c>
      <c r="K34" s="118">
        <f t="shared" ref="K34:N34" si="36">D34*$K$3/1000</f>
        <v>4.9235930640000003</v>
      </c>
      <c r="L34" s="118">
        <f t="shared" si="36"/>
        <v>0</v>
      </c>
      <c r="M34" s="118">
        <f t="shared" si="36"/>
        <v>0</v>
      </c>
      <c r="N34" s="118">
        <f t="shared" si="36"/>
        <v>4.3794765360000003</v>
      </c>
    </row>
    <row r="35" spans="1:26" ht="15.75" thickBot="1">
      <c r="A35" s="163" t="s">
        <v>107</v>
      </c>
      <c r="B35" s="164" t="s">
        <v>124</v>
      </c>
      <c r="C35" s="165">
        <v>1209</v>
      </c>
      <c r="D35" s="165">
        <v>1367</v>
      </c>
      <c r="E35" s="165">
        <v>1500</v>
      </c>
      <c r="F35" s="165">
        <v>1506</v>
      </c>
      <c r="G35" s="165">
        <v>1550</v>
      </c>
      <c r="H35" s="142"/>
      <c r="I35" s="136" t="s">
        <v>51</v>
      </c>
      <c r="J35" s="118">
        <f>C35/$K$2</f>
        <v>28.876468902264257</v>
      </c>
      <c r="K35" s="118">
        <f t="shared" ref="K35:N35" si="37">D35/$K$2</f>
        <v>32.650234068978691</v>
      </c>
      <c r="L35" s="118">
        <f t="shared" si="37"/>
        <v>35.826884494124393</v>
      </c>
      <c r="M35" s="118">
        <f t="shared" si="37"/>
        <v>35.97019203210089</v>
      </c>
      <c r="N35" s="118">
        <f t="shared" si="37"/>
        <v>37.021113977261869</v>
      </c>
      <c r="P35" s="173">
        <f>J35/$J35</f>
        <v>1</v>
      </c>
      <c r="Q35" s="173">
        <f t="shared" ref="Q35:T35" si="38">K35/$J35</f>
        <v>1.1306865177832919</v>
      </c>
      <c r="R35" s="173">
        <f>L35/$J35</f>
        <v>1.240694789081886</v>
      </c>
      <c r="S35" s="173">
        <f t="shared" si="38"/>
        <v>1.2456575682382136</v>
      </c>
      <c r="T35" s="173">
        <f t="shared" si="38"/>
        <v>1.2820512820512822</v>
      </c>
      <c r="V35" s="174">
        <f>J35*100/$Q$3</f>
        <v>22.627509722821692</v>
      </c>
      <c r="W35" s="174">
        <f t="shared" ref="W35:Z35" si="39">K35*100/$Q$3</f>
        <v>25.58462017460484</v>
      </c>
      <c r="X35" s="174">
        <f t="shared" si="39"/>
        <v>28.073833403004585</v>
      </c>
      <c r="Y35" s="174">
        <f t="shared" si="39"/>
        <v>28.186128736616606</v>
      </c>
      <c r="Z35" s="174">
        <f t="shared" si="39"/>
        <v>29.009627849771405</v>
      </c>
    </row>
    <row r="36" spans="1:26">
      <c r="A36" s="169"/>
      <c r="H36" s="142"/>
      <c r="I36" s="148"/>
      <c r="J36" s="148"/>
      <c r="K36" s="136"/>
      <c r="L36" s="136"/>
      <c r="M36" s="136"/>
      <c r="N36" s="136"/>
    </row>
    <row r="37" spans="1:26" ht="15.75" thickBot="1">
      <c r="A37" s="170" t="s">
        <v>127</v>
      </c>
      <c r="B37" s="66"/>
      <c r="C37" s="66"/>
      <c r="D37" s="66"/>
      <c r="E37" s="66"/>
      <c r="F37" s="66"/>
      <c r="G37" s="66"/>
      <c r="H37" s="142"/>
      <c r="I37" s="159" t="s">
        <v>120</v>
      </c>
      <c r="J37" s="148"/>
      <c r="K37" s="136"/>
      <c r="L37" s="136"/>
      <c r="M37" s="136"/>
      <c r="N37" s="136"/>
      <c r="P37" t="s">
        <v>129</v>
      </c>
      <c r="V37" s="159" t="s">
        <v>130</v>
      </c>
    </row>
    <row r="38" spans="1:26" ht="15.75" thickBot="1">
      <c r="A38" s="160"/>
      <c r="B38" s="161" t="s">
        <v>18</v>
      </c>
      <c r="C38" s="161">
        <v>2010</v>
      </c>
      <c r="D38" s="161">
        <v>2015</v>
      </c>
      <c r="E38" s="161">
        <v>2020</v>
      </c>
      <c r="F38" s="161">
        <v>2025</v>
      </c>
      <c r="G38" s="161">
        <v>2030</v>
      </c>
      <c r="H38" s="142"/>
      <c r="I38" s="162" t="s">
        <v>18</v>
      </c>
      <c r="J38" s="162">
        <v>2010</v>
      </c>
      <c r="K38" s="162">
        <v>2015</v>
      </c>
      <c r="L38" s="162">
        <v>2020</v>
      </c>
      <c r="M38" s="162">
        <v>2025</v>
      </c>
      <c r="N38" s="162">
        <v>2030</v>
      </c>
      <c r="P38" s="171">
        <v>2010</v>
      </c>
      <c r="Q38" s="171">
        <v>2015</v>
      </c>
      <c r="R38" s="171">
        <v>2020</v>
      </c>
      <c r="S38" s="171">
        <v>2025</v>
      </c>
      <c r="T38" s="171">
        <v>2030</v>
      </c>
      <c r="V38" s="171">
        <v>2010</v>
      </c>
      <c r="W38" s="171">
        <v>2015</v>
      </c>
      <c r="X38" s="171">
        <v>2020</v>
      </c>
      <c r="Y38" s="171">
        <v>2025</v>
      </c>
      <c r="Z38" s="171">
        <v>2030</v>
      </c>
    </row>
    <row r="39" spans="1:26" ht="15.75" thickBot="1">
      <c r="A39" s="163" t="s">
        <v>121</v>
      </c>
      <c r="B39" s="164" t="s">
        <v>122</v>
      </c>
      <c r="C39" s="165">
        <v>7640</v>
      </c>
      <c r="D39" s="164">
        <v>0</v>
      </c>
      <c r="E39" s="164">
        <v>0</v>
      </c>
      <c r="F39" s="164">
        <v>0</v>
      </c>
      <c r="G39" s="165">
        <v>142382</v>
      </c>
      <c r="H39" s="142"/>
      <c r="I39" s="136" t="s">
        <v>10</v>
      </c>
      <c r="J39" s="118">
        <f>C39*$K$3/1000</f>
        <v>0.31987152000000002</v>
      </c>
      <c r="K39" s="118">
        <f t="shared" ref="K39:N39" si="40">D39*$K$3/1000</f>
        <v>0</v>
      </c>
      <c r="L39" s="118">
        <f t="shared" si="40"/>
        <v>0</v>
      </c>
      <c r="M39" s="118">
        <f t="shared" si="40"/>
        <v>0</v>
      </c>
      <c r="N39" s="118">
        <f t="shared" si="40"/>
        <v>5.9612495760000002</v>
      </c>
      <c r="P39" s="172"/>
    </row>
    <row r="40" spans="1:26" ht="15.75" thickBot="1">
      <c r="A40" s="163" t="s">
        <v>121</v>
      </c>
      <c r="B40" s="164" t="s">
        <v>124</v>
      </c>
      <c r="C40" s="164">
        <v>288</v>
      </c>
      <c r="D40" s="164">
        <v>226</v>
      </c>
      <c r="E40" s="164">
        <v>185</v>
      </c>
      <c r="F40" s="164">
        <v>165</v>
      </c>
      <c r="G40" s="164">
        <v>162</v>
      </c>
      <c r="H40" s="142"/>
      <c r="I40" s="136" t="s">
        <v>51</v>
      </c>
      <c r="J40" s="118">
        <f>C40/$K$2</f>
        <v>6.8787618228718825</v>
      </c>
      <c r="K40" s="118">
        <f t="shared" ref="K40:N40" si="41">D40/$K$2</f>
        <v>5.3979172637814079</v>
      </c>
      <c r="L40" s="118">
        <f t="shared" si="41"/>
        <v>4.4186490876086744</v>
      </c>
      <c r="M40" s="118">
        <f t="shared" si="41"/>
        <v>3.9409572943536828</v>
      </c>
      <c r="N40" s="118">
        <f t="shared" si="41"/>
        <v>3.8693035253654342</v>
      </c>
      <c r="P40" s="173">
        <f>J40/$J40</f>
        <v>1</v>
      </c>
      <c r="Q40" s="173">
        <f t="shared" ref="Q40:T40" si="42">K40/$J40</f>
        <v>0.78472222222222221</v>
      </c>
      <c r="R40" s="173">
        <f t="shared" si="42"/>
        <v>0.64236111111111105</v>
      </c>
      <c r="S40" s="173">
        <f t="shared" si="42"/>
        <v>0.57291666666666663</v>
      </c>
      <c r="T40" s="173">
        <f t="shared" si="42"/>
        <v>0.5625</v>
      </c>
      <c r="V40" s="174">
        <f>J40*100/$Q$3</f>
        <v>5.3901760133768803</v>
      </c>
      <c r="W40" s="174">
        <f t="shared" ref="W40:Z40" si="43">K40*100/$Q$3</f>
        <v>4.2297908993860238</v>
      </c>
      <c r="X40" s="174">
        <f t="shared" si="43"/>
        <v>3.4624394530372316</v>
      </c>
      <c r="Y40" s="174">
        <f t="shared" si="43"/>
        <v>3.0881216743305044</v>
      </c>
      <c r="Z40" s="174">
        <f t="shared" si="43"/>
        <v>3.0319740075244952</v>
      </c>
    </row>
    <row r="41" spans="1:26" ht="15.75" thickBot="1">
      <c r="A41" s="163" t="s">
        <v>126</v>
      </c>
      <c r="B41" s="164" t="s">
        <v>122</v>
      </c>
      <c r="C41" s="165">
        <v>22921</v>
      </c>
      <c r="D41" s="164">
        <v>0</v>
      </c>
      <c r="E41" s="164">
        <v>0</v>
      </c>
      <c r="F41" s="164">
        <v>0</v>
      </c>
      <c r="G41" s="165">
        <v>427146</v>
      </c>
      <c r="H41" s="142"/>
      <c r="I41" s="136" t="s">
        <v>10</v>
      </c>
      <c r="J41" s="118">
        <f>C41*$K$3/1000</f>
        <v>0.95965642799999995</v>
      </c>
      <c r="K41" s="118">
        <f t="shared" ref="K41:N41" si="44">D41*$K$3/1000</f>
        <v>0</v>
      </c>
      <c r="L41" s="118">
        <f t="shared" si="44"/>
        <v>0</v>
      </c>
      <c r="M41" s="118">
        <f t="shared" si="44"/>
        <v>0</v>
      </c>
      <c r="N41" s="118">
        <f t="shared" si="44"/>
        <v>17.883748728000004</v>
      </c>
    </row>
    <row r="42" spans="1:26" ht="15.75" thickBot="1">
      <c r="A42" s="163" t="s">
        <v>126</v>
      </c>
      <c r="B42" s="164" t="s">
        <v>124</v>
      </c>
      <c r="C42" s="164">
        <v>590</v>
      </c>
      <c r="D42" s="164">
        <v>462</v>
      </c>
      <c r="E42" s="164">
        <v>379</v>
      </c>
      <c r="F42" s="164">
        <v>338</v>
      </c>
      <c r="G42" s="164">
        <v>331</v>
      </c>
      <c r="H42" s="142"/>
      <c r="I42" s="136" t="s">
        <v>51</v>
      </c>
      <c r="J42" s="118">
        <f>C42/$K$2</f>
        <v>14.09190790102226</v>
      </c>
      <c r="K42" s="118">
        <f t="shared" ref="K42:N42" si="45">D42/$K$2</f>
        <v>11.034680424190311</v>
      </c>
      <c r="L42" s="118">
        <f t="shared" si="45"/>
        <v>9.0522594821820963</v>
      </c>
      <c r="M42" s="118">
        <f t="shared" si="45"/>
        <v>8.0729913060093619</v>
      </c>
      <c r="N42" s="118">
        <f t="shared" si="45"/>
        <v>7.9057991783701151</v>
      </c>
      <c r="P42" s="173">
        <f>J42/$J42</f>
        <v>1</v>
      </c>
      <c r="Q42" s="173">
        <f t="shared" ref="Q42:T42" si="46">K42/$J42</f>
        <v>0.78305084745762699</v>
      </c>
      <c r="R42" s="173">
        <f t="shared" si="46"/>
        <v>0.64237288135593218</v>
      </c>
      <c r="S42" s="173">
        <f t="shared" si="46"/>
        <v>0.57288135593220335</v>
      </c>
      <c r="T42" s="173">
        <f t="shared" si="46"/>
        <v>0.5610169491525423</v>
      </c>
      <c r="V42" s="174">
        <f>J42*100/$Q$3</f>
        <v>11.04237447184847</v>
      </c>
      <c r="W42" s="174">
        <f t="shared" ref="W42:Z42" si="47">K42*100/$Q$3</f>
        <v>8.6467406881254103</v>
      </c>
      <c r="X42" s="174">
        <f t="shared" si="47"/>
        <v>7.0933219064924922</v>
      </c>
      <c r="Y42" s="174">
        <f t="shared" si="47"/>
        <v>6.3259704601436999</v>
      </c>
      <c r="Z42" s="174">
        <f t="shared" si="47"/>
        <v>6.1949592375963451</v>
      </c>
    </row>
    <row r="43" spans="1:26" ht="15.75" thickBot="1">
      <c r="A43" s="163" t="s">
        <v>106</v>
      </c>
      <c r="B43" s="164" t="s">
        <v>122</v>
      </c>
      <c r="C43" s="165">
        <v>781304</v>
      </c>
      <c r="D43" s="165">
        <v>788018</v>
      </c>
      <c r="E43" s="165">
        <v>409398</v>
      </c>
      <c r="F43" s="165">
        <v>734123</v>
      </c>
      <c r="G43" s="165">
        <v>1404121</v>
      </c>
      <c r="H43" s="142"/>
      <c r="I43" s="136" t="s">
        <v>10</v>
      </c>
      <c r="J43" s="118">
        <f>C43*$K$3/1000</f>
        <v>32.711635872000002</v>
      </c>
      <c r="K43" s="118">
        <f t="shared" ref="K43:N43" si="48">D43*$K$3/1000</f>
        <v>32.992737624</v>
      </c>
      <c r="L43" s="118">
        <f t="shared" si="48"/>
        <v>17.140675464000001</v>
      </c>
      <c r="M43" s="118">
        <f t="shared" si="48"/>
        <v>30.736261764000002</v>
      </c>
      <c r="N43" s="118">
        <f t="shared" si="48"/>
        <v>58.787738028000007</v>
      </c>
      <c r="P43" s="172"/>
    </row>
    <row r="44" spans="1:26" ht="15.75" thickBot="1">
      <c r="A44" s="163" t="s">
        <v>106</v>
      </c>
      <c r="B44" s="164" t="s">
        <v>124</v>
      </c>
      <c r="C44" s="164">
        <v>779</v>
      </c>
      <c r="D44" s="164">
        <v>824</v>
      </c>
      <c r="E44" s="164">
        <v>866</v>
      </c>
      <c r="F44" s="164">
        <v>911</v>
      </c>
      <c r="G44" s="164">
        <v>986</v>
      </c>
      <c r="H44" s="142"/>
      <c r="I44" s="136" t="s">
        <v>51</v>
      </c>
      <c r="J44" s="118">
        <f>C44/$K$2</f>
        <v>18.606095347281933</v>
      </c>
      <c r="K44" s="118">
        <f t="shared" ref="K44:N44" si="49">D44/$K$2</f>
        <v>19.680901882105665</v>
      </c>
      <c r="L44" s="118">
        <f t="shared" si="49"/>
        <v>20.684054647941146</v>
      </c>
      <c r="M44" s="118">
        <f t="shared" si="49"/>
        <v>21.758861182764878</v>
      </c>
      <c r="N44" s="118">
        <f t="shared" si="49"/>
        <v>23.550205407471097</v>
      </c>
      <c r="P44" s="173">
        <f>J44/$J44</f>
        <v>1</v>
      </c>
      <c r="Q44" s="173">
        <f t="shared" ref="Q44:T44" si="50">K44/$J44</f>
        <v>1.0577663671373556</v>
      </c>
      <c r="R44" s="173">
        <f t="shared" si="50"/>
        <v>1.1116816431322207</v>
      </c>
      <c r="S44" s="173">
        <f t="shared" si="50"/>
        <v>1.1694480102695763</v>
      </c>
      <c r="T44" s="173">
        <f t="shared" si="50"/>
        <v>1.2657252888318355</v>
      </c>
      <c r="V44" s="174">
        <f>J44*100/$Q$3</f>
        <v>14.579677480627048</v>
      </c>
      <c r="W44" s="174">
        <f t="shared" ref="W44:Z44" si="51">K44*100/$Q$3</f>
        <v>15.421892482717185</v>
      </c>
      <c r="X44" s="174">
        <f t="shared" si="51"/>
        <v>16.207959818001314</v>
      </c>
      <c r="Y44" s="174">
        <f t="shared" si="51"/>
        <v>17.050174820091449</v>
      </c>
      <c r="Z44" s="174">
        <f t="shared" si="51"/>
        <v>18.45386649024168</v>
      </c>
    </row>
    <row r="45" spans="1:26" ht="15.75" thickBot="1">
      <c r="A45" s="163" t="s">
        <v>107</v>
      </c>
      <c r="B45" s="164" t="s">
        <v>122</v>
      </c>
      <c r="C45" s="165">
        <v>101544</v>
      </c>
      <c r="D45" s="165">
        <v>112987</v>
      </c>
      <c r="E45" s="164">
        <v>0</v>
      </c>
      <c r="F45" s="164">
        <v>0</v>
      </c>
      <c r="G45" s="165">
        <v>109936</v>
      </c>
      <c r="H45" s="142"/>
      <c r="I45" s="136" t="s">
        <v>10</v>
      </c>
      <c r="J45" s="118">
        <f>C45*$K$3/1000</f>
        <v>4.2514441920000001</v>
      </c>
      <c r="K45" s="118">
        <f t="shared" ref="K45:N45" si="52">D45*$K$3/1000</f>
        <v>4.730539716</v>
      </c>
      <c r="L45" s="118">
        <f t="shared" si="52"/>
        <v>0</v>
      </c>
      <c r="M45" s="118">
        <f t="shared" si="52"/>
        <v>0</v>
      </c>
      <c r="N45" s="118">
        <f t="shared" si="52"/>
        <v>4.602800448</v>
      </c>
    </row>
    <row r="46" spans="1:26" ht="15.75" thickBot="1">
      <c r="A46" s="163" t="s">
        <v>107</v>
      </c>
      <c r="B46" s="164" t="s">
        <v>124</v>
      </c>
      <c r="C46" s="165">
        <v>1209</v>
      </c>
      <c r="D46" s="165">
        <v>1420</v>
      </c>
      <c r="E46" s="165">
        <v>1605</v>
      </c>
      <c r="F46" s="165">
        <v>1694</v>
      </c>
      <c r="G46" s="165">
        <v>1832</v>
      </c>
      <c r="H46" s="142"/>
      <c r="I46" s="136" t="s">
        <v>51</v>
      </c>
      <c r="J46" s="118">
        <f>C46/$K$2</f>
        <v>28.876468902264257</v>
      </c>
      <c r="K46" s="118">
        <f t="shared" ref="K46:N46" si="53">D46/$K$2</f>
        <v>33.916117321104423</v>
      </c>
      <c r="L46" s="118">
        <f t="shared" si="53"/>
        <v>38.334766408713094</v>
      </c>
      <c r="M46" s="118">
        <f t="shared" si="53"/>
        <v>40.460494888697809</v>
      </c>
      <c r="N46" s="118">
        <f t="shared" si="53"/>
        <v>43.756568262157252</v>
      </c>
      <c r="P46" s="173">
        <f>J46/$J46</f>
        <v>1</v>
      </c>
      <c r="Q46" s="173">
        <f t="shared" ref="Q46:T46" si="54">K46/$J46</f>
        <v>1.1745244003308519</v>
      </c>
      <c r="R46" s="173">
        <f t="shared" si="54"/>
        <v>1.3275434243176178</v>
      </c>
      <c r="S46" s="173">
        <f t="shared" si="54"/>
        <v>1.401157981803143</v>
      </c>
      <c r="T46" s="173">
        <f t="shared" si="54"/>
        <v>1.5153019023986765</v>
      </c>
      <c r="V46" s="174">
        <f>J46*100/$Q$3</f>
        <v>22.627509722821692</v>
      </c>
      <c r="W46" s="174">
        <f t="shared" ref="W46:Z46" si="55">K46*100/$Q$3</f>
        <v>26.576562288177673</v>
      </c>
      <c r="X46" s="174">
        <f t="shared" si="55"/>
        <v>30.039001741214904</v>
      </c>
      <c r="Y46" s="174">
        <f t="shared" si="55"/>
        <v>31.704715856459842</v>
      </c>
      <c r="Z46" s="174">
        <f t="shared" si="55"/>
        <v>34.287508529536261</v>
      </c>
    </row>
    <row r="47" spans="1:26">
      <c r="A47" s="158"/>
      <c r="H47" s="142"/>
      <c r="I47" s="148"/>
      <c r="J47" s="148"/>
      <c r="K47" s="136"/>
      <c r="L47" s="136"/>
      <c r="M47" s="136"/>
      <c r="N47" s="136"/>
    </row>
    <row r="48" spans="1:26" ht="15.75" thickBot="1">
      <c r="A48" s="158" t="s">
        <v>128</v>
      </c>
      <c r="H48" s="142"/>
      <c r="I48" s="159" t="s">
        <v>120</v>
      </c>
      <c r="J48" s="148"/>
      <c r="K48" s="136"/>
      <c r="L48" s="136"/>
      <c r="M48" s="136"/>
      <c r="N48" s="136"/>
      <c r="P48" t="s">
        <v>129</v>
      </c>
      <c r="V48" s="159" t="s">
        <v>130</v>
      </c>
    </row>
    <row r="49" spans="1:26" ht="15.75" thickBot="1">
      <c r="A49" s="160"/>
      <c r="B49" s="161" t="s">
        <v>18</v>
      </c>
      <c r="C49" s="161">
        <v>2010</v>
      </c>
      <c r="D49" s="161">
        <v>2015</v>
      </c>
      <c r="E49" s="161">
        <v>2020</v>
      </c>
      <c r="F49" s="161">
        <v>2025</v>
      </c>
      <c r="G49" s="161">
        <v>2030</v>
      </c>
      <c r="H49" s="142"/>
      <c r="I49" s="171" t="s">
        <v>18</v>
      </c>
      <c r="J49" s="171">
        <v>2010</v>
      </c>
      <c r="K49" s="171">
        <v>2015</v>
      </c>
      <c r="L49" s="171">
        <v>2020</v>
      </c>
      <c r="M49" s="171">
        <v>2025</v>
      </c>
      <c r="N49" s="171">
        <v>2030</v>
      </c>
      <c r="P49" s="171">
        <v>2010</v>
      </c>
      <c r="Q49" s="171">
        <v>2015</v>
      </c>
      <c r="R49" s="171">
        <v>2020</v>
      </c>
      <c r="S49" s="171">
        <v>2025</v>
      </c>
      <c r="T49" s="171">
        <v>2030</v>
      </c>
      <c r="V49" s="171">
        <v>2010</v>
      </c>
      <c r="W49" s="171">
        <v>2015</v>
      </c>
      <c r="X49" s="171">
        <v>2020</v>
      </c>
      <c r="Y49" s="171">
        <v>2025</v>
      </c>
      <c r="Z49" s="171">
        <v>2030</v>
      </c>
    </row>
    <row r="50" spans="1:26" ht="15.75" thickBot="1">
      <c r="A50" s="163" t="s">
        <v>121</v>
      </c>
      <c r="B50" s="164" t="s">
        <v>122</v>
      </c>
      <c r="C50" s="165">
        <v>6382</v>
      </c>
      <c r="D50" s="164">
        <v>0</v>
      </c>
      <c r="E50" s="165">
        <v>69709</v>
      </c>
      <c r="F50" s="165">
        <v>192223</v>
      </c>
      <c r="G50" s="165">
        <v>876934</v>
      </c>
      <c r="H50" s="142"/>
      <c r="I50" s="136" t="s">
        <v>10</v>
      </c>
      <c r="J50" s="118">
        <f>C50*$K$3/1000</f>
        <v>0.267201576</v>
      </c>
      <c r="K50" s="176">
        <f>AVERAGE(J50,L50)</f>
        <v>1.5928889940000002</v>
      </c>
      <c r="L50" s="118">
        <f t="shared" ref="L50:N50" si="56">E50*$K$3/1000</f>
        <v>2.9185764120000002</v>
      </c>
      <c r="M50" s="118">
        <f t="shared" si="56"/>
        <v>8.0479925639999994</v>
      </c>
      <c r="N50" s="177">
        <f t="shared" si="56"/>
        <v>36.715472712</v>
      </c>
      <c r="P50" s="172"/>
    </row>
    <row r="51" spans="1:26" ht="15.75" thickBot="1">
      <c r="A51" s="163" t="s">
        <v>121</v>
      </c>
      <c r="B51" s="164" t="s">
        <v>124</v>
      </c>
      <c r="C51" s="164">
        <v>288</v>
      </c>
      <c r="D51" s="164">
        <v>267</v>
      </c>
      <c r="E51" s="164">
        <v>226</v>
      </c>
      <c r="F51" s="164">
        <v>209</v>
      </c>
      <c r="G51" s="164">
        <v>211</v>
      </c>
      <c r="H51" s="142"/>
      <c r="I51" s="136" t="s">
        <v>51</v>
      </c>
      <c r="J51" s="118">
        <f>C51/$K$2</f>
        <v>6.8787618228718825</v>
      </c>
      <c r="K51" s="176">
        <f t="shared" ref="K51:N51" si="57">D51/$K$2</f>
        <v>6.3771854399541414</v>
      </c>
      <c r="L51" s="118">
        <f t="shared" si="57"/>
        <v>5.3979172637814079</v>
      </c>
      <c r="M51" s="118">
        <f t="shared" si="57"/>
        <v>4.9918792395146649</v>
      </c>
      <c r="N51" s="118">
        <f t="shared" si="57"/>
        <v>5.039648418840164</v>
      </c>
      <c r="P51" s="173">
        <f>J51/$J51</f>
        <v>1</v>
      </c>
      <c r="Q51" s="173">
        <f t="shared" ref="Q51:T51" si="58">K51/$J51</f>
        <v>0.92708333333333337</v>
      </c>
      <c r="R51" s="173">
        <f t="shared" si="58"/>
        <v>0.78472222222222221</v>
      </c>
      <c r="S51" s="173">
        <f t="shared" si="58"/>
        <v>0.72569444444444442</v>
      </c>
      <c r="T51" s="173">
        <f t="shared" si="58"/>
        <v>0.73263888888888895</v>
      </c>
      <c r="V51" s="174">
        <f>J51*100/$Q$3</f>
        <v>5.3901760133768803</v>
      </c>
      <c r="W51" s="174">
        <f t="shared" ref="W51:Z51" si="59">K51*100/$Q$3</f>
        <v>4.9971423457348161</v>
      </c>
      <c r="X51" s="174">
        <f t="shared" si="59"/>
        <v>4.2297908993860238</v>
      </c>
      <c r="Y51" s="174">
        <f t="shared" si="59"/>
        <v>3.9116207874853051</v>
      </c>
      <c r="Z51" s="174">
        <f t="shared" si="59"/>
        <v>3.949052565355978</v>
      </c>
    </row>
    <row r="52" spans="1:26" ht="15.75" thickBot="1">
      <c r="A52" s="163" t="s">
        <v>126</v>
      </c>
      <c r="B52" s="164" t="s">
        <v>122</v>
      </c>
      <c r="C52" s="165">
        <v>191470</v>
      </c>
      <c r="D52" s="164">
        <v>0</v>
      </c>
      <c r="E52" s="165">
        <v>209128</v>
      </c>
      <c r="F52" s="165">
        <v>576669</v>
      </c>
      <c r="G52" s="165">
        <v>2630803</v>
      </c>
      <c r="H52" s="142"/>
      <c r="I52" s="136" t="s">
        <v>10</v>
      </c>
      <c r="J52" s="118">
        <f>C52*$K$3/1000</f>
        <v>8.0164659599999997</v>
      </c>
      <c r="K52" s="176">
        <f>AVERAGE(J52,L52)</f>
        <v>8.3861185320000011</v>
      </c>
      <c r="L52" s="118">
        <f t="shared" ref="L52:N52" si="60">E52*$K$3/1000</f>
        <v>8.7557711040000008</v>
      </c>
      <c r="M52" s="118">
        <f t="shared" si="60"/>
        <v>24.143977692</v>
      </c>
      <c r="N52" s="177">
        <f t="shared" si="60"/>
        <v>110.14646000400001</v>
      </c>
    </row>
    <row r="53" spans="1:26" ht="15.75" thickBot="1">
      <c r="A53" s="163" t="s">
        <v>126</v>
      </c>
      <c r="B53" s="164" t="s">
        <v>124</v>
      </c>
      <c r="C53" s="164">
        <v>590</v>
      </c>
      <c r="D53" s="164">
        <v>535</v>
      </c>
      <c r="E53" s="164">
        <v>452</v>
      </c>
      <c r="F53" s="164">
        <v>418</v>
      </c>
      <c r="G53" s="164">
        <v>421</v>
      </c>
      <c r="H53" s="142"/>
      <c r="I53" s="136" t="s">
        <v>51</v>
      </c>
      <c r="J53" s="118">
        <f>C53/$K$2</f>
        <v>14.09190790102226</v>
      </c>
      <c r="K53" s="176">
        <f t="shared" ref="K53:N53" si="61">D53/$K$2</f>
        <v>12.778255469571032</v>
      </c>
      <c r="L53" s="118">
        <f t="shared" si="61"/>
        <v>10.795834527562816</v>
      </c>
      <c r="M53" s="118">
        <f t="shared" si="61"/>
        <v>9.9837584790293299</v>
      </c>
      <c r="N53" s="118">
        <f t="shared" si="61"/>
        <v>10.055412248017578</v>
      </c>
      <c r="P53" s="173">
        <f>J53/$J53</f>
        <v>1</v>
      </c>
      <c r="Q53" s="173">
        <f t="shared" ref="Q53:T53" si="62">K53/$J53</f>
        <v>0.90677966101694918</v>
      </c>
      <c r="R53" s="173">
        <f t="shared" si="62"/>
        <v>0.76610169491525415</v>
      </c>
      <c r="S53" s="173">
        <f t="shared" si="62"/>
        <v>0.70847457627118637</v>
      </c>
      <c r="T53" s="173">
        <f t="shared" si="62"/>
        <v>0.71355932203389827</v>
      </c>
      <c r="V53" s="174">
        <f>J53*100/$Q$3</f>
        <v>11.04237447184847</v>
      </c>
      <c r="W53" s="174">
        <f t="shared" ref="W53:Z53" si="63">K53*100/$Q$3</f>
        <v>10.013000580404968</v>
      </c>
      <c r="X53" s="174">
        <f t="shared" si="63"/>
        <v>8.4595817987720476</v>
      </c>
      <c r="Y53" s="174">
        <f t="shared" si="63"/>
        <v>7.8232415749706101</v>
      </c>
      <c r="Z53" s="174">
        <f t="shared" si="63"/>
        <v>7.8793892417766198</v>
      </c>
    </row>
    <row r="54" spans="1:26" ht="15.75" thickBot="1">
      <c r="A54" s="163" t="s">
        <v>106</v>
      </c>
      <c r="B54" s="164" t="s">
        <v>122</v>
      </c>
      <c r="C54" s="165">
        <v>779549</v>
      </c>
      <c r="D54" s="165">
        <v>792079</v>
      </c>
      <c r="E54" s="165">
        <v>421094</v>
      </c>
      <c r="F54" s="165">
        <v>750039</v>
      </c>
      <c r="G54" s="165">
        <v>1428558</v>
      </c>
      <c r="H54" s="142"/>
      <c r="I54" s="136" t="s">
        <v>10</v>
      </c>
      <c r="J54" s="118">
        <f>C54*$K$3/1000</f>
        <v>32.638157532000001</v>
      </c>
      <c r="K54" s="118">
        <f t="shared" ref="K54:N54" si="64">D54*$K$3/1000</f>
        <v>33.162763572000003</v>
      </c>
      <c r="L54" s="177">
        <f t="shared" si="64"/>
        <v>17.630363592000002</v>
      </c>
      <c r="M54" s="118">
        <f t="shared" si="64"/>
        <v>31.402632852000004</v>
      </c>
      <c r="N54" s="177">
        <f t="shared" si="64"/>
        <v>59.810866344000004</v>
      </c>
      <c r="P54" s="172"/>
    </row>
    <row r="55" spans="1:26" ht="15.75" thickBot="1">
      <c r="A55" s="163" t="s">
        <v>106</v>
      </c>
      <c r="B55" s="164" t="s">
        <v>124</v>
      </c>
      <c r="C55" s="164">
        <v>779</v>
      </c>
      <c r="D55" s="164">
        <v>864</v>
      </c>
      <c r="E55" s="164">
        <v>951</v>
      </c>
      <c r="F55" s="164">
        <v>1054</v>
      </c>
      <c r="G55" s="164">
        <v>1204</v>
      </c>
      <c r="H55" s="142"/>
      <c r="I55" s="136" t="s">
        <v>51</v>
      </c>
      <c r="J55" s="118">
        <f>C55/$K$2</f>
        <v>18.606095347281933</v>
      </c>
      <c r="K55" s="118">
        <f t="shared" ref="K55:N55" si="65">D55/$K$2</f>
        <v>20.636285468615647</v>
      </c>
      <c r="L55" s="118">
        <f t="shared" si="65"/>
        <v>22.714244769274863</v>
      </c>
      <c r="M55" s="118">
        <f t="shared" si="65"/>
        <v>25.174357504538072</v>
      </c>
      <c r="N55" s="118">
        <f t="shared" si="65"/>
        <v>28.757045953950509</v>
      </c>
      <c r="P55" s="173">
        <f>J55/$J55</f>
        <v>1</v>
      </c>
      <c r="Q55" s="173">
        <f t="shared" ref="Q55:T55" si="66">K55/$J55</f>
        <v>1.1091142490372272</v>
      </c>
      <c r="R55" s="173">
        <f t="shared" si="66"/>
        <v>1.2207958921694479</v>
      </c>
      <c r="S55" s="173">
        <f t="shared" si="66"/>
        <v>1.3530166880616175</v>
      </c>
      <c r="T55" s="173">
        <f t="shared" si="66"/>
        <v>1.5455712451861361</v>
      </c>
      <c r="V55" s="174">
        <f>J55*100/$Q$3</f>
        <v>14.579677480627048</v>
      </c>
      <c r="W55" s="174">
        <f t="shared" ref="W55:Z55" si="67">K55*100/$Q$3</f>
        <v>16.170528040130641</v>
      </c>
      <c r="X55" s="174">
        <f t="shared" si="67"/>
        <v>17.798810377504907</v>
      </c>
      <c r="Y55" s="174">
        <f t="shared" si="67"/>
        <v>19.726546937844553</v>
      </c>
      <c r="Z55" s="174">
        <f t="shared" si="67"/>
        <v>22.533930278145014</v>
      </c>
    </row>
    <row r="56" spans="1:26" ht="15.75" thickBot="1">
      <c r="A56" s="163" t="s">
        <v>107</v>
      </c>
      <c r="B56" s="164" t="s">
        <v>122</v>
      </c>
      <c r="C56" s="165">
        <v>101448</v>
      </c>
      <c r="D56" s="165">
        <v>118165</v>
      </c>
      <c r="E56" s="164">
        <v>0</v>
      </c>
      <c r="F56" s="164">
        <v>0</v>
      </c>
      <c r="G56" s="165">
        <v>122199</v>
      </c>
      <c r="H56" s="142"/>
      <c r="I56" s="136" t="s">
        <v>10</v>
      </c>
      <c r="J56" s="118">
        <f>C56*$K$3/1000</f>
        <v>4.247424864000001</v>
      </c>
      <c r="K56" s="118">
        <f t="shared" ref="K56:N56" si="68">D56*$K$3/1000</f>
        <v>4.9473322199999998</v>
      </c>
      <c r="L56" s="118">
        <f t="shared" si="68"/>
        <v>0</v>
      </c>
      <c r="M56" s="118">
        <f t="shared" si="68"/>
        <v>0</v>
      </c>
      <c r="N56" s="177">
        <f t="shared" si="68"/>
        <v>5.1162277320000005</v>
      </c>
    </row>
    <row r="57" spans="1:26" ht="15.75" thickBot="1">
      <c r="A57" s="163" t="s">
        <v>107</v>
      </c>
      <c r="B57" s="164" t="s">
        <v>124</v>
      </c>
      <c r="C57" s="165">
        <v>1209</v>
      </c>
      <c r="D57" s="165">
        <v>1488</v>
      </c>
      <c r="E57" s="165">
        <v>1755</v>
      </c>
      <c r="F57" s="165">
        <v>1948</v>
      </c>
      <c r="G57" s="165">
        <v>2212</v>
      </c>
      <c r="H57" s="142"/>
      <c r="I57" s="136" t="s">
        <v>51</v>
      </c>
      <c r="J57" s="118">
        <f>C57/$K$2</f>
        <v>28.876468902264257</v>
      </c>
      <c r="K57" s="118">
        <f t="shared" ref="K57:N57" si="69">D57/$K$2</f>
        <v>35.540269418171391</v>
      </c>
      <c r="L57" s="118">
        <f t="shared" si="69"/>
        <v>41.917454858125538</v>
      </c>
      <c r="M57" s="118">
        <f t="shared" si="69"/>
        <v>46.527180663036205</v>
      </c>
      <c r="N57" s="118">
        <f t="shared" si="69"/>
        <v>52.832712334002096</v>
      </c>
      <c r="P57" s="173">
        <f>J57/$J57</f>
        <v>1</v>
      </c>
      <c r="Q57" s="173">
        <f t="shared" ref="Q57:T57" si="70">K57/$J57</f>
        <v>1.2307692307692306</v>
      </c>
      <c r="R57" s="173">
        <f t="shared" si="70"/>
        <v>1.4516129032258065</v>
      </c>
      <c r="S57" s="173">
        <f t="shared" si="70"/>
        <v>1.6112489660876756</v>
      </c>
      <c r="T57" s="173">
        <f t="shared" si="70"/>
        <v>1.8296112489660876</v>
      </c>
      <c r="V57" s="174">
        <f>J57*100/$Q$3</f>
        <v>22.627509722821692</v>
      </c>
      <c r="W57" s="174">
        <f t="shared" ref="W57:Z57" si="71">K57*100/$Q$3</f>
        <v>27.849242735780546</v>
      </c>
      <c r="X57" s="174">
        <f t="shared" si="71"/>
        <v>32.846385081515365</v>
      </c>
      <c r="Y57" s="174">
        <f t="shared" si="71"/>
        <v>36.458551646035289</v>
      </c>
      <c r="Z57" s="174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K50" sqref="K50"/>
    </sheetView>
  </sheetViews>
  <sheetFormatPr defaultColWidth="9.140625" defaultRowHeight="12.75"/>
  <cols>
    <col min="1" max="1" width="38.140625" style="246" customWidth="1"/>
    <col min="2" max="2" width="13" style="242" bestFit="1" customWidth="1"/>
    <col min="3" max="4" width="7.5703125" style="247" bestFit="1" customWidth="1"/>
    <col min="5" max="5" width="9.140625" style="247"/>
    <col min="6" max="6" width="6.140625" style="248" customWidth="1"/>
    <col min="7" max="7" width="5.85546875" style="248" bestFit="1" customWidth="1"/>
    <col min="8" max="8" width="7.42578125" style="247" bestFit="1" customWidth="1"/>
    <col min="9" max="9" width="6.140625" style="248" bestFit="1" customWidth="1"/>
    <col min="10" max="10" width="6" style="248" bestFit="1" customWidth="1"/>
    <col min="11" max="11" width="6.85546875" style="248" bestFit="1" customWidth="1"/>
    <col min="12" max="12" width="8.7109375" style="244" bestFit="1" customWidth="1"/>
    <col min="13" max="13" width="8.140625" style="243" bestFit="1" customWidth="1"/>
    <col min="14" max="14" width="5.28515625" style="243" customWidth="1"/>
    <col min="15" max="15" width="7.42578125" style="243" customWidth="1"/>
    <col min="16" max="16" width="7.42578125" style="243" bestFit="1" customWidth="1"/>
    <col min="17" max="17" width="8.140625" style="243" bestFit="1" customWidth="1"/>
    <col min="18" max="18" width="7.28515625" style="243" bestFit="1" customWidth="1"/>
    <col min="19" max="19" width="7.42578125" style="243" bestFit="1" customWidth="1"/>
    <col min="20" max="20" width="8.42578125" style="243" bestFit="1" customWidth="1"/>
    <col min="21" max="21" width="6.85546875" style="243" bestFit="1" customWidth="1"/>
    <col min="22" max="24" width="5.42578125" style="243" customWidth="1"/>
    <col min="25" max="25" width="5.42578125" style="248" customWidth="1"/>
    <col min="26" max="26" width="8.140625" style="245" bestFit="1" customWidth="1"/>
    <col min="27" max="27" width="6.7109375" style="244" bestFit="1" customWidth="1"/>
    <col min="28" max="29" width="5.5703125" style="243" customWidth="1"/>
    <col min="30" max="30" width="8.7109375" style="243" bestFit="1" customWidth="1"/>
    <col min="31" max="31" width="5.5703125" style="243" customWidth="1"/>
    <col min="32" max="32" width="5.85546875" style="243" bestFit="1" customWidth="1"/>
    <col min="33" max="33" width="7" style="243" customWidth="1"/>
    <col min="34" max="36" width="5.5703125" style="243" customWidth="1"/>
    <col min="37" max="37" width="8.7109375" style="245" bestFit="1" customWidth="1"/>
    <col min="38" max="38" width="4.42578125" style="249" bestFit="1" customWidth="1"/>
    <col min="39" max="39" width="9.28515625" style="243" bestFit="1" customWidth="1"/>
    <col min="40" max="16384" width="9.140625" style="242"/>
  </cols>
  <sheetData>
    <row r="1" spans="1:39" ht="87" thickBot="1">
      <c r="A1" s="336" t="s">
        <v>501</v>
      </c>
      <c r="B1" s="465" t="s">
        <v>502</v>
      </c>
      <c r="C1" s="454" t="s">
        <v>196</v>
      </c>
      <c r="D1" s="455" t="s">
        <v>197</v>
      </c>
      <c r="E1" s="456" t="s">
        <v>198</v>
      </c>
      <c r="F1" s="457" t="s">
        <v>199</v>
      </c>
      <c r="G1" s="457" t="s">
        <v>200</v>
      </c>
      <c r="H1" s="458" t="s">
        <v>201</v>
      </c>
      <c r="I1" s="455" t="s">
        <v>202</v>
      </c>
      <c r="J1" s="456" t="s">
        <v>203</v>
      </c>
      <c r="K1" s="456" t="s">
        <v>204</v>
      </c>
      <c r="L1" s="458" t="s">
        <v>205</v>
      </c>
      <c r="M1" s="455" t="s">
        <v>206</v>
      </c>
      <c r="N1" s="456" t="s">
        <v>207</v>
      </c>
      <c r="O1" s="456" t="s">
        <v>208</v>
      </c>
      <c r="P1" s="456" t="s">
        <v>209</v>
      </c>
      <c r="Q1" s="456" t="s">
        <v>210</v>
      </c>
      <c r="R1" s="456" t="s">
        <v>211</v>
      </c>
      <c r="S1" s="456" t="s">
        <v>212</v>
      </c>
      <c r="T1" s="456" t="s">
        <v>213</v>
      </c>
      <c r="U1" s="456" t="s">
        <v>214</v>
      </c>
      <c r="V1" s="457" t="s">
        <v>215</v>
      </c>
      <c r="W1" s="457" t="s">
        <v>216</v>
      </c>
      <c r="X1" s="457" t="s">
        <v>217</v>
      </c>
      <c r="Y1" s="456" t="s">
        <v>218</v>
      </c>
      <c r="Z1" s="458" t="s">
        <v>219</v>
      </c>
      <c r="AA1" s="459" t="s">
        <v>220</v>
      </c>
      <c r="AB1" s="460" t="s">
        <v>221</v>
      </c>
      <c r="AC1" s="456" t="s">
        <v>222</v>
      </c>
      <c r="AD1" s="456" t="s">
        <v>223</v>
      </c>
      <c r="AE1" s="456" t="s">
        <v>224</v>
      </c>
      <c r="AF1" s="456" t="s">
        <v>225</v>
      </c>
      <c r="AG1" s="456" t="s">
        <v>226</v>
      </c>
      <c r="AH1" s="456" t="s">
        <v>227</v>
      </c>
      <c r="AI1" s="457" t="s">
        <v>228</v>
      </c>
      <c r="AJ1" s="458" t="s">
        <v>229</v>
      </c>
      <c r="AK1" s="458" t="s">
        <v>230</v>
      </c>
      <c r="AL1" s="459" t="s">
        <v>231</v>
      </c>
      <c r="AM1" s="461" t="s">
        <v>232</v>
      </c>
    </row>
    <row r="2" spans="1:39">
      <c r="A2" s="348" t="s">
        <v>233</v>
      </c>
      <c r="B2" s="349"/>
      <c r="C2" s="378">
        <v>0</v>
      </c>
      <c r="D2" s="379">
        <v>0</v>
      </c>
      <c r="E2" s="380"/>
      <c r="F2" s="381"/>
      <c r="G2" s="381"/>
      <c r="H2" s="408">
        <v>815.92434898628403</v>
      </c>
      <c r="I2" s="332">
        <v>688.22034898628408</v>
      </c>
      <c r="J2" s="471">
        <v>127.70399999999999</v>
      </c>
      <c r="K2" s="409"/>
      <c r="L2" s="408">
        <v>0</v>
      </c>
      <c r="M2" s="332"/>
      <c r="N2" s="337"/>
      <c r="O2" s="337"/>
      <c r="P2" s="337"/>
      <c r="Q2" s="337"/>
      <c r="R2" s="337"/>
      <c r="S2" s="337"/>
      <c r="T2" s="337"/>
      <c r="U2" s="337"/>
      <c r="V2" s="381"/>
      <c r="W2" s="381"/>
      <c r="X2" s="381"/>
      <c r="Y2" s="409"/>
      <c r="Z2" s="408">
        <v>2751.9191872187112</v>
      </c>
      <c r="AA2" s="421">
        <v>1310.4304732727737</v>
      </c>
      <c r="AB2" s="422">
        <v>59.691708987970003</v>
      </c>
      <c r="AC2" s="409">
        <v>727.12733781532609</v>
      </c>
      <c r="AD2" s="409">
        <v>386.92983626909194</v>
      </c>
      <c r="AE2" s="409">
        <v>33.531818868055431</v>
      </c>
      <c r="AF2" s="409">
        <v>16.813132576534866</v>
      </c>
      <c r="AG2" s="409">
        <v>27.095124147648001</v>
      </c>
      <c r="AH2" s="332">
        <v>14.978481167970049</v>
      </c>
      <c r="AI2" s="381">
        <v>44.263033440177487</v>
      </c>
      <c r="AJ2" s="436">
        <v>145.43710297949829</v>
      </c>
      <c r="AK2" s="436"/>
      <c r="AL2" s="421"/>
      <c r="AM2" s="350">
        <v>5023.7111124572675</v>
      </c>
    </row>
    <row r="3" spans="1:39">
      <c r="A3" s="351" t="s">
        <v>234</v>
      </c>
      <c r="B3" s="352"/>
      <c r="C3" s="382">
        <v>845.31519216250194</v>
      </c>
      <c r="D3" s="383">
        <v>795.03994947759963</v>
      </c>
      <c r="E3" s="452">
        <v>42.207539024941362</v>
      </c>
      <c r="F3" s="346"/>
      <c r="G3" s="346">
        <v>8.0677036599609497</v>
      </c>
      <c r="H3" s="410">
        <v>0</v>
      </c>
      <c r="I3" s="333"/>
      <c r="J3" s="466"/>
      <c r="K3" s="335"/>
      <c r="L3" s="410">
        <v>9098.7612301490572</v>
      </c>
      <c r="M3" s="333">
        <v>3053.4742963851995</v>
      </c>
      <c r="N3" s="335">
        <v>0</v>
      </c>
      <c r="O3" s="335">
        <v>564.2282843555555</v>
      </c>
      <c r="P3" s="335">
        <v>369.55541863968</v>
      </c>
      <c r="Q3" s="335">
        <v>1543.1782335883197</v>
      </c>
      <c r="R3" s="335">
        <v>59.086705990112996</v>
      </c>
      <c r="S3" s="335">
        <v>157.5463640726893</v>
      </c>
      <c r="T3" s="335">
        <v>2941.4703035056637</v>
      </c>
      <c r="U3" s="335">
        <v>163.70335639230669</v>
      </c>
      <c r="V3" s="346">
        <v>0</v>
      </c>
      <c r="W3" s="346">
        <v>201.02619184950296</v>
      </c>
      <c r="X3" s="346">
        <v>1.2397796420726457</v>
      </c>
      <c r="Y3" s="335">
        <v>44.252295727955044</v>
      </c>
      <c r="Z3" s="410">
        <v>1728.338063506957</v>
      </c>
      <c r="AA3" s="423">
        <v>157.61637079012797</v>
      </c>
      <c r="AB3" s="424"/>
      <c r="AC3" s="335"/>
      <c r="AD3" s="335">
        <v>30.596672981664</v>
      </c>
      <c r="AE3" s="335"/>
      <c r="AF3" s="335"/>
      <c r="AG3" s="335">
        <v>127.01969780846397</v>
      </c>
      <c r="AH3" s="333"/>
      <c r="AI3" s="346"/>
      <c r="AJ3" s="437"/>
      <c r="AK3" s="437">
        <v>139.45061680000001</v>
      </c>
      <c r="AL3" s="423"/>
      <c r="AM3" s="353">
        <v>11969.481473408645</v>
      </c>
    </row>
    <row r="4" spans="1:39">
      <c r="A4" s="351" t="s">
        <v>235</v>
      </c>
      <c r="B4" s="352"/>
      <c r="C4" s="382">
        <v>15.186580890896002</v>
      </c>
      <c r="D4" s="383">
        <v>0</v>
      </c>
      <c r="E4" s="384">
        <v>14.097722162000002</v>
      </c>
      <c r="F4" s="346"/>
      <c r="G4" s="346">
        <v>1.0888587288959999</v>
      </c>
      <c r="H4" s="410">
        <v>7.0330680000000001</v>
      </c>
      <c r="I4" s="333"/>
      <c r="J4" s="466"/>
      <c r="K4" s="335">
        <v>7.0330680000000001</v>
      </c>
      <c r="L4" s="410">
        <v>1717.0574370770564</v>
      </c>
      <c r="M4" s="333">
        <v>0</v>
      </c>
      <c r="N4" s="335"/>
      <c r="O4" s="335">
        <v>364.52221864444448</v>
      </c>
      <c r="P4" s="335">
        <v>21.672508399360005</v>
      </c>
      <c r="Q4" s="335">
        <v>156.29379915984001</v>
      </c>
      <c r="R4" s="335">
        <v>986.60611760112999</v>
      </c>
      <c r="S4" s="335">
        <v>35.289733288720633</v>
      </c>
      <c r="T4" s="335">
        <v>102.14625414775992</v>
      </c>
      <c r="U4" s="335">
        <v>2.9088437938490893E-3</v>
      </c>
      <c r="V4" s="346">
        <v>36.297317128453038</v>
      </c>
      <c r="W4" s="346">
        <v>5.465927722</v>
      </c>
      <c r="X4" s="346">
        <v>1.7941621000000001E-2</v>
      </c>
      <c r="Y4" s="335">
        <v>8.7427105205545299</v>
      </c>
      <c r="Z4" s="410">
        <v>0</v>
      </c>
      <c r="AA4" s="423">
        <v>16.875293717856</v>
      </c>
      <c r="AB4" s="424"/>
      <c r="AC4" s="335"/>
      <c r="AD4" s="335">
        <v>7.8402815999999991</v>
      </c>
      <c r="AE4" s="335"/>
      <c r="AF4" s="335"/>
      <c r="AG4" s="335">
        <v>9.0350121178560006</v>
      </c>
      <c r="AH4" s="333"/>
      <c r="AI4" s="346"/>
      <c r="AJ4" s="437"/>
      <c r="AK4" s="437">
        <v>141.83539077999998</v>
      </c>
      <c r="AL4" s="423"/>
      <c r="AM4" s="353">
        <v>1897.9877704658084</v>
      </c>
    </row>
    <row r="5" spans="1:39">
      <c r="A5" s="351" t="s">
        <v>236</v>
      </c>
      <c r="B5" s="352"/>
      <c r="C5" s="382">
        <v>0</v>
      </c>
      <c r="D5" s="383"/>
      <c r="E5" s="384"/>
      <c r="F5" s="346"/>
      <c r="G5" s="346"/>
      <c r="H5" s="410">
        <v>0</v>
      </c>
      <c r="I5" s="333"/>
      <c r="J5" s="466"/>
      <c r="K5" s="335"/>
      <c r="L5" s="410">
        <v>162.14899063248015</v>
      </c>
      <c r="M5" s="333"/>
      <c r="N5" s="335"/>
      <c r="O5" s="335"/>
      <c r="P5" s="335"/>
      <c r="Q5" s="335"/>
      <c r="R5" s="335">
        <v>15.730078096892656</v>
      </c>
      <c r="S5" s="335"/>
      <c r="T5" s="335">
        <v>146.41891253558748</v>
      </c>
      <c r="U5" s="335"/>
      <c r="V5" s="346"/>
      <c r="W5" s="346"/>
      <c r="X5" s="346"/>
      <c r="Y5" s="335"/>
      <c r="Z5" s="410"/>
      <c r="AA5" s="423">
        <v>0</v>
      </c>
      <c r="AB5" s="424"/>
      <c r="AC5" s="335"/>
      <c r="AD5" s="335"/>
      <c r="AE5" s="335"/>
      <c r="AF5" s="335"/>
      <c r="AG5" s="335"/>
      <c r="AH5" s="333"/>
      <c r="AI5" s="346"/>
      <c r="AJ5" s="437"/>
      <c r="AK5" s="437"/>
      <c r="AL5" s="423"/>
      <c r="AM5" s="353">
        <v>162.14899063248015</v>
      </c>
    </row>
    <row r="6" spans="1:39" ht="13.5" thickBot="1">
      <c r="A6" s="354" t="s">
        <v>237</v>
      </c>
      <c r="B6" s="355"/>
      <c r="C6" s="382">
        <v>-105.50045932171129</v>
      </c>
      <c r="D6" s="385">
        <v>-106.11399866466098</v>
      </c>
      <c r="E6" s="346">
        <v>-0.8079766727235479</v>
      </c>
      <c r="F6" s="386"/>
      <c r="G6" s="386">
        <v>1.4215160156732278</v>
      </c>
      <c r="H6" s="411">
        <v>-122.93905189963694</v>
      </c>
      <c r="I6" s="412">
        <v>-136.53826589963694</v>
      </c>
      <c r="J6" s="472">
        <v>0</v>
      </c>
      <c r="K6" s="412">
        <v>13.599214000000003</v>
      </c>
      <c r="L6" s="411">
        <v>160.4304507360369</v>
      </c>
      <c r="M6" s="333">
        <v>38.730964773999993</v>
      </c>
      <c r="N6" s="335"/>
      <c r="O6" s="335">
        <v>-9.6980083333333713</v>
      </c>
      <c r="P6" s="335">
        <v>12.883201938880001</v>
      </c>
      <c r="Q6" s="335">
        <v>82.12024884504001</v>
      </c>
      <c r="R6" s="335">
        <v>23.637599999999999</v>
      </c>
      <c r="S6" s="335">
        <v>1.4659197380156652</v>
      </c>
      <c r="T6" s="335">
        <v>8.3874136006762399</v>
      </c>
      <c r="U6" s="335">
        <v>3.419577960051174</v>
      </c>
      <c r="V6" s="386">
        <v>-0.51646778729281662</v>
      </c>
      <c r="W6" s="386">
        <v>0</v>
      </c>
      <c r="X6" s="386">
        <v>0</v>
      </c>
      <c r="Y6" s="412">
        <v>0</v>
      </c>
      <c r="Z6" s="411">
        <v>0</v>
      </c>
      <c r="AA6" s="425">
        <v>4.2804283179600002</v>
      </c>
      <c r="AB6" s="426"/>
      <c r="AC6" s="343"/>
      <c r="AD6" s="343">
        <v>8.7401158199999704E-2</v>
      </c>
      <c r="AE6" s="343"/>
      <c r="AF6" s="343"/>
      <c r="AG6" s="343">
        <v>4.1930271597600006</v>
      </c>
      <c r="AH6" s="412"/>
      <c r="AI6" s="386"/>
      <c r="AJ6" s="438"/>
      <c r="AK6" s="438"/>
      <c r="AL6" s="425"/>
      <c r="AM6" s="356">
        <v>-63.728632167351321</v>
      </c>
    </row>
    <row r="7" spans="1:39">
      <c r="A7" s="357" t="s">
        <v>238</v>
      </c>
      <c r="B7" s="358"/>
      <c r="C7" s="387">
        <v>724.62815194989457</v>
      </c>
      <c r="D7" s="427">
        <v>688.92595081293871</v>
      </c>
      <c r="E7" s="478">
        <v>27.30184019021781</v>
      </c>
      <c r="F7" s="478">
        <v>0</v>
      </c>
      <c r="G7" s="478">
        <v>8.4003609467381786</v>
      </c>
      <c r="H7" s="413">
        <v>685.95222908664709</v>
      </c>
      <c r="I7" s="427">
        <v>551.68208308664714</v>
      </c>
      <c r="J7" s="467">
        <v>127.70399999999999</v>
      </c>
      <c r="K7" s="478">
        <v>6.5661460000000034</v>
      </c>
      <c r="L7" s="413">
        <v>7379.9852531755569</v>
      </c>
      <c r="M7" s="427">
        <v>3092.2052611591994</v>
      </c>
      <c r="N7" s="478">
        <v>0</v>
      </c>
      <c r="O7" s="478">
        <v>190.00805737777765</v>
      </c>
      <c r="P7" s="478">
        <v>360.76611217919998</v>
      </c>
      <c r="Q7" s="478">
        <v>1469.0046832735197</v>
      </c>
      <c r="R7" s="478">
        <v>-919.61188970790954</v>
      </c>
      <c r="S7" s="478">
        <v>123.72255052198433</v>
      </c>
      <c r="T7" s="478">
        <v>2701.2925504229925</v>
      </c>
      <c r="U7" s="478">
        <v>167.12002550856403</v>
      </c>
      <c r="V7" s="478">
        <v>-36.813784915745856</v>
      </c>
      <c r="W7" s="478">
        <v>195.56026412750296</v>
      </c>
      <c r="X7" s="478">
        <v>1.2218380210726456</v>
      </c>
      <c r="Y7" s="478">
        <v>35.509585207400512</v>
      </c>
      <c r="Z7" s="413">
        <v>4480.2572507256682</v>
      </c>
      <c r="AA7" s="413">
        <v>1455.4519786630058</v>
      </c>
      <c r="AB7" s="427">
        <v>59.691708987970003</v>
      </c>
      <c r="AC7" s="478">
        <v>727.12733781532609</v>
      </c>
      <c r="AD7" s="478">
        <v>409.77362880895589</v>
      </c>
      <c r="AE7" s="478">
        <v>33.531818868055431</v>
      </c>
      <c r="AF7" s="478">
        <v>16.813132576534866</v>
      </c>
      <c r="AG7" s="478">
        <v>149.27283699801595</v>
      </c>
      <c r="AH7" s="484">
        <v>14.978481167970049</v>
      </c>
      <c r="AI7" s="427">
        <v>44.263033440177487</v>
      </c>
      <c r="AJ7" s="413">
        <v>145.43710297949829</v>
      </c>
      <c r="AK7" s="413">
        <v>-2.3847739799999772</v>
      </c>
      <c r="AL7" s="442">
        <v>0</v>
      </c>
      <c r="AM7" s="377">
        <v>14869.327192600271</v>
      </c>
    </row>
    <row r="8" spans="1:39" ht="13.5" thickBot="1">
      <c r="A8" s="443" t="s">
        <v>239</v>
      </c>
      <c r="B8" s="444"/>
      <c r="C8" s="445">
        <v>724.62815194989457</v>
      </c>
      <c r="D8" s="446">
        <v>688.92595081293871</v>
      </c>
      <c r="E8" s="447">
        <v>27.30184019021781</v>
      </c>
      <c r="F8" s="448">
        <v>0</v>
      </c>
      <c r="G8" s="448">
        <v>8.4003609467381786</v>
      </c>
      <c r="H8" s="449">
        <v>685.95222908664709</v>
      </c>
      <c r="I8" s="446">
        <v>551.68208308664714</v>
      </c>
      <c r="J8" s="473">
        <v>127.70399999999999</v>
      </c>
      <c r="K8" s="447">
        <v>6.5661460000000034</v>
      </c>
      <c r="L8" s="449">
        <v>7147.6935658195807</v>
      </c>
      <c r="M8" s="446">
        <v>3092.2052611591994</v>
      </c>
      <c r="N8" s="447">
        <v>0</v>
      </c>
      <c r="O8" s="447">
        <v>190.00805737777765</v>
      </c>
      <c r="P8" s="447">
        <v>360.76611217919998</v>
      </c>
      <c r="Q8" s="447">
        <v>1469.0046832735197</v>
      </c>
      <c r="R8" s="447">
        <v>-919.61188970790954</v>
      </c>
      <c r="S8" s="447">
        <v>123.72255052198433</v>
      </c>
      <c r="T8" s="447">
        <v>2701.2925504229925</v>
      </c>
      <c r="U8" s="447">
        <v>167.12002550856403</v>
      </c>
      <c r="V8" s="448">
        <v>-36.813784915745856</v>
      </c>
      <c r="W8" s="448">
        <v>0</v>
      </c>
      <c r="X8" s="448">
        <v>0</v>
      </c>
      <c r="Y8" s="447">
        <v>0</v>
      </c>
      <c r="Z8" s="449">
        <v>4480.2572507256682</v>
      </c>
      <c r="AA8" s="453">
        <v>1455.4519786630058</v>
      </c>
      <c r="AB8" s="446">
        <v>59.691708987970003</v>
      </c>
      <c r="AC8" s="447">
        <v>727.12733781532609</v>
      </c>
      <c r="AD8" s="447">
        <v>409.77362880895589</v>
      </c>
      <c r="AE8" s="447">
        <v>33.531818868055431</v>
      </c>
      <c r="AF8" s="447">
        <v>16.813132576534866</v>
      </c>
      <c r="AG8" s="447">
        <v>149.27283699801595</v>
      </c>
      <c r="AH8" s="463">
        <v>14.978481167970049</v>
      </c>
      <c r="AI8" s="446">
        <v>44.263033440177487</v>
      </c>
      <c r="AJ8" s="449">
        <v>145.43710297949829</v>
      </c>
      <c r="AK8" s="449">
        <v>-2.3847739799999772</v>
      </c>
      <c r="AL8" s="446">
        <v>0</v>
      </c>
      <c r="AM8" s="450">
        <v>14637.035505244296</v>
      </c>
    </row>
    <row r="9" spans="1:39">
      <c r="A9" s="357" t="s">
        <v>240</v>
      </c>
      <c r="B9" s="358"/>
      <c r="C9" s="387">
        <v>488.64939432989598</v>
      </c>
      <c r="D9" s="484">
        <v>488.64939432989598</v>
      </c>
      <c r="E9" s="478">
        <v>0</v>
      </c>
      <c r="F9" s="388">
        <v>0</v>
      </c>
      <c r="G9" s="388">
        <v>0</v>
      </c>
      <c r="H9" s="413">
        <v>539.94139129191865</v>
      </c>
      <c r="I9" s="484">
        <v>539.94139129191865</v>
      </c>
      <c r="J9" s="467">
        <v>0</v>
      </c>
      <c r="K9" s="478">
        <v>0</v>
      </c>
      <c r="L9" s="413">
        <v>3126.9350452866179</v>
      </c>
      <c r="M9" s="478">
        <v>3092.2052611591994</v>
      </c>
      <c r="N9" s="478">
        <v>0</v>
      </c>
      <c r="O9" s="478">
        <v>0</v>
      </c>
      <c r="P9" s="478">
        <v>0</v>
      </c>
      <c r="Q9" s="478">
        <v>0</v>
      </c>
      <c r="R9" s="478">
        <v>25.868327226603597</v>
      </c>
      <c r="S9" s="478">
        <v>0.63499472294399995</v>
      </c>
      <c r="T9" s="478">
        <v>8.2264621778709284</v>
      </c>
      <c r="U9" s="478">
        <v>0</v>
      </c>
      <c r="V9" s="388">
        <v>0</v>
      </c>
      <c r="W9" s="388">
        <v>0</v>
      </c>
      <c r="X9" s="388">
        <v>0</v>
      </c>
      <c r="Y9" s="478">
        <v>0</v>
      </c>
      <c r="Z9" s="413">
        <v>2501.2994242635782</v>
      </c>
      <c r="AA9" s="427">
        <v>213.29280212790383</v>
      </c>
      <c r="AB9" s="488">
        <v>0</v>
      </c>
      <c r="AC9" s="478">
        <v>0</v>
      </c>
      <c r="AD9" s="478">
        <v>172.72491180671966</v>
      </c>
      <c r="AE9" s="478">
        <v>33.531818868055431</v>
      </c>
      <c r="AF9" s="478">
        <v>7.0360714531287174</v>
      </c>
      <c r="AG9" s="478">
        <v>0</v>
      </c>
      <c r="AH9" s="484">
        <v>0</v>
      </c>
      <c r="AI9" s="388">
        <v>0</v>
      </c>
      <c r="AJ9" s="413">
        <v>90.714163374524205</v>
      </c>
      <c r="AK9" s="413">
        <v>54.069944079999999</v>
      </c>
      <c r="AL9" s="427">
        <v>0</v>
      </c>
      <c r="AM9" s="359">
        <v>7014.9021647544387</v>
      </c>
    </row>
    <row r="10" spans="1:39">
      <c r="A10" s="360" t="s">
        <v>241</v>
      </c>
      <c r="B10" s="361"/>
      <c r="C10" s="389">
        <v>488.64939432989598</v>
      </c>
      <c r="D10" s="390">
        <v>488.64939432989598</v>
      </c>
      <c r="E10" s="338"/>
      <c r="F10" s="391"/>
      <c r="G10" s="391"/>
      <c r="H10" s="414">
        <v>467.10845991760607</v>
      </c>
      <c r="I10" s="390">
        <v>467.10845991760607</v>
      </c>
      <c r="J10" s="468">
        <v>0</v>
      </c>
      <c r="K10" s="338"/>
      <c r="L10" s="414">
        <v>34.094789404474525</v>
      </c>
      <c r="M10" s="338"/>
      <c r="N10" s="338"/>
      <c r="O10" s="338"/>
      <c r="P10" s="338"/>
      <c r="Q10" s="338"/>
      <c r="R10" s="338">
        <v>25.868327226603597</v>
      </c>
      <c r="S10" s="338"/>
      <c r="T10" s="338">
        <v>8.2264621778709284</v>
      </c>
      <c r="U10" s="338"/>
      <c r="V10" s="391"/>
      <c r="W10" s="391"/>
      <c r="X10" s="391"/>
      <c r="Y10" s="338"/>
      <c r="Z10" s="414">
        <v>2187.6033883210698</v>
      </c>
      <c r="AA10" s="428">
        <v>204.19282321191795</v>
      </c>
      <c r="AB10" s="429"/>
      <c r="AC10" s="338"/>
      <c r="AD10" s="338">
        <v>170.66100434386252</v>
      </c>
      <c r="AE10" s="338">
        <v>33.531818868055431</v>
      </c>
      <c r="AF10" s="338"/>
      <c r="AG10" s="338"/>
      <c r="AH10" s="390"/>
      <c r="AI10" s="391"/>
      <c r="AJ10" s="439">
        <v>90.714163374524205</v>
      </c>
      <c r="AK10" s="414"/>
      <c r="AL10" s="428"/>
      <c r="AM10" s="362">
        <v>3472.3630185594884</v>
      </c>
    </row>
    <row r="11" spans="1:39">
      <c r="A11" s="351" t="s">
        <v>242</v>
      </c>
      <c r="B11" s="352"/>
      <c r="C11" s="382">
        <v>0</v>
      </c>
      <c r="D11" s="333">
        <v>0</v>
      </c>
      <c r="E11" s="335"/>
      <c r="F11" s="346"/>
      <c r="G11" s="346"/>
      <c r="H11" s="410">
        <v>4.7573545322072528</v>
      </c>
      <c r="I11" s="333">
        <v>4.7573545322072528</v>
      </c>
      <c r="J11" s="466"/>
      <c r="K11" s="335"/>
      <c r="L11" s="410">
        <v>0.63499472294399995</v>
      </c>
      <c r="M11" s="335"/>
      <c r="N11" s="344">
        <v>0</v>
      </c>
      <c r="O11" s="335"/>
      <c r="P11" s="335"/>
      <c r="Q11" s="335"/>
      <c r="R11" s="335">
        <v>0</v>
      </c>
      <c r="S11" s="335">
        <v>0.63499472294399995</v>
      </c>
      <c r="T11" s="335">
        <v>0</v>
      </c>
      <c r="U11" s="335"/>
      <c r="V11" s="346"/>
      <c r="W11" s="346"/>
      <c r="X11" s="346"/>
      <c r="Y11" s="335"/>
      <c r="Z11" s="410">
        <v>272.96145103491432</v>
      </c>
      <c r="AA11" s="423">
        <v>9.0999789159858597</v>
      </c>
      <c r="AB11" s="424"/>
      <c r="AC11" s="335"/>
      <c r="AD11" s="335">
        <v>2.0639074628571428</v>
      </c>
      <c r="AE11" s="335"/>
      <c r="AF11" s="335">
        <v>7.0360714531287174</v>
      </c>
      <c r="AG11" s="335"/>
      <c r="AH11" s="333"/>
      <c r="AI11" s="346"/>
      <c r="AJ11" s="437"/>
      <c r="AK11" s="437"/>
      <c r="AL11" s="423"/>
      <c r="AM11" s="353">
        <v>287.45377920605142</v>
      </c>
    </row>
    <row r="12" spans="1:39">
      <c r="A12" s="351" t="s">
        <v>243</v>
      </c>
      <c r="B12" s="352"/>
      <c r="C12" s="382"/>
      <c r="D12" s="333"/>
      <c r="E12" s="335"/>
      <c r="F12" s="346"/>
      <c r="G12" s="346"/>
      <c r="H12" s="410"/>
      <c r="I12" s="333"/>
      <c r="J12" s="466"/>
      <c r="K12" s="335"/>
      <c r="L12" s="410"/>
      <c r="M12" s="335"/>
      <c r="N12" s="344"/>
      <c r="O12" s="335"/>
      <c r="P12" s="335"/>
      <c r="Q12" s="335"/>
      <c r="R12" s="335"/>
      <c r="S12" s="335"/>
      <c r="T12" s="335"/>
      <c r="U12" s="335"/>
      <c r="V12" s="346"/>
      <c r="W12" s="346"/>
      <c r="X12" s="346"/>
      <c r="Y12" s="335"/>
      <c r="Z12" s="410"/>
      <c r="AA12" s="423"/>
      <c r="AB12" s="424"/>
      <c r="AC12" s="335"/>
      <c r="AD12" s="335"/>
      <c r="AE12" s="335"/>
      <c r="AF12" s="335"/>
      <c r="AG12" s="335"/>
      <c r="AH12" s="333"/>
      <c r="AI12" s="346"/>
      <c r="AJ12" s="437"/>
      <c r="AK12" s="437">
        <v>42.942060079999997</v>
      </c>
      <c r="AL12" s="423"/>
      <c r="AM12" s="353">
        <v>42.942060079999997</v>
      </c>
    </row>
    <row r="13" spans="1:39">
      <c r="A13" s="351" t="s">
        <v>244</v>
      </c>
      <c r="B13" s="352"/>
      <c r="C13" s="382">
        <v>0</v>
      </c>
      <c r="D13" s="333"/>
      <c r="E13" s="346"/>
      <c r="F13" s="346"/>
      <c r="G13" s="346"/>
      <c r="H13" s="410">
        <v>68.075576842105264</v>
      </c>
      <c r="I13" s="333">
        <v>68.075576842105264</v>
      </c>
      <c r="J13" s="466"/>
      <c r="K13" s="335"/>
      <c r="L13" s="410">
        <v>0</v>
      </c>
      <c r="M13" s="335"/>
      <c r="N13" s="335"/>
      <c r="O13" s="335"/>
      <c r="P13" s="335"/>
      <c r="Q13" s="335"/>
      <c r="R13" s="335"/>
      <c r="S13" s="335"/>
      <c r="T13" s="335"/>
      <c r="U13" s="335"/>
      <c r="V13" s="346"/>
      <c r="W13" s="346"/>
      <c r="X13" s="346"/>
      <c r="Y13" s="335"/>
      <c r="Z13" s="410"/>
      <c r="AA13" s="423">
        <v>0</v>
      </c>
      <c r="AB13" s="424"/>
      <c r="AC13" s="335"/>
      <c r="AD13" s="335"/>
      <c r="AE13" s="335"/>
      <c r="AF13" s="335"/>
      <c r="AG13" s="335"/>
      <c r="AH13" s="333"/>
      <c r="AI13" s="346"/>
      <c r="AJ13" s="437"/>
      <c r="AK13" s="437"/>
      <c r="AL13" s="423"/>
      <c r="AM13" s="353">
        <v>68.075576842105264</v>
      </c>
    </row>
    <row r="14" spans="1:39">
      <c r="A14" s="363" t="s">
        <v>245</v>
      </c>
      <c r="B14" s="364"/>
      <c r="C14" s="392">
        <v>0</v>
      </c>
      <c r="D14" s="393"/>
      <c r="E14" s="339"/>
      <c r="F14" s="394"/>
      <c r="G14" s="394"/>
      <c r="H14" s="415">
        <v>0</v>
      </c>
      <c r="I14" s="393"/>
      <c r="J14" s="469"/>
      <c r="K14" s="339"/>
      <c r="L14" s="415">
        <v>3092.2052611591994</v>
      </c>
      <c r="M14" s="339">
        <v>3092.2052611591994</v>
      </c>
      <c r="N14" s="339"/>
      <c r="O14" s="339"/>
      <c r="P14" s="339"/>
      <c r="Q14" s="339"/>
      <c r="R14" s="339"/>
      <c r="S14" s="339"/>
      <c r="T14" s="339"/>
      <c r="U14" s="339"/>
      <c r="V14" s="394"/>
      <c r="W14" s="394"/>
      <c r="X14" s="394"/>
      <c r="Y14" s="339"/>
      <c r="Z14" s="415">
        <v>40.734584907594211</v>
      </c>
      <c r="AA14" s="430">
        <v>0</v>
      </c>
      <c r="AB14" s="431"/>
      <c r="AC14" s="339"/>
      <c r="AD14" s="339"/>
      <c r="AE14" s="339"/>
      <c r="AF14" s="339"/>
      <c r="AG14" s="339"/>
      <c r="AH14" s="393"/>
      <c r="AI14" s="394"/>
      <c r="AJ14" s="440"/>
      <c r="AK14" s="440">
        <v>11.127884</v>
      </c>
      <c r="AL14" s="430"/>
      <c r="AM14" s="365">
        <v>3144.0677300667935</v>
      </c>
    </row>
    <row r="15" spans="1:39">
      <c r="A15" s="366" t="s">
        <v>246</v>
      </c>
      <c r="B15" s="347"/>
      <c r="C15" s="395">
        <v>0</v>
      </c>
      <c r="D15" s="396">
        <v>0</v>
      </c>
      <c r="E15" s="340">
        <v>0</v>
      </c>
      <c r="F15" s="397">
        <v>0</v>
      </c>
      <c r="G15" s="397">
        <v>0</v>
      </c>
      <c r="H15" s="416">
        <v>64.671797999999995</v>
      </c>
      <c r="I15" s="396">
        <v>0</v>
      </c>
      <c r="J15" s="474">
        <v>0</v>
      </c>
      <c r="K15" s="340">
        <v>64.671797999999995</v>
      </c>
      <c r="L15" s="416">
        <v>3166.7368998172387</v>
      </c>
      <c r="M15" s="340">
        <v>0</v>
      </c>
      <c r="N15" s="340">
        <v>89.969014531910801</v>
      </c>
      <c r="O15" s="340">
        <v>640.53679657777786</v>
      </c>
      <c r="P15" s="340">
        <v>226.77459106847999</v>
      </c>
      <c r="Q15" s="340">
        <v>0</v>
      </c>
      <c r="R15" s="340">
        <v>960.95017928079096</v>
      </c>
      <c r="S15" s="340">
        <v>64.797462901984332</v>
      </c>
      <c r="T15" s="340">
        <v>1146.9502117491124</v>
      </c>
      <c r="U15" s="340">
        <v>0</v>
      </c>
      <c r="V15" s="397">
        <v>36.758643707182323</v>
      </c>
      <c r="W15" s="397">
        <v>0</v>
      </c>
      <c r="X15" s="397">
        <v>0</v>
      </c>
      <c r="Y15" s="340">
        <v>0</v>
      </c>
      <c r="Z15" s="416">
        <v>0</v>
      </c>
      <c r="AA15" s="367">
        <v>70.406409383935852</v>
      </c>
      <c r="AB15" s="432">
        <v>0</v>
      </c>
      <c r="AC15" s="340">
        <v>0</v>
      </c>
      <c r="AD15" s="340">
        <v>54.776406842584706</v>
      </c>
      <c r="AE15" s="345">
        <v>11.967173135751148</v>
      </c>
      <c r="AF15" s="345">
        <v>3.6628294055999997</v>
      </c>
      <c r="AG15" s="345">
        <v>0</v>
      </c>
      <c r="AH15" s="396">
        <v>0</v>
      </c>
      <c r="AI15" s="397">
        <v>0</v>
      </c>
      <c r="AJ15" s="416">
        <v>24.127289822325451</v>
      </c>
      <c r="AK15" s="416">
        <v>1869.3696002087718</v>
      </c>
      <c r="AL15" s="367">
        <v>0</v>
      </c>
      <c r="AM15" s="368">
        <v>5195.3119972322711</v>
      </c>
    </row>
    <row r="16" spans="1:39">
      <c r="A16" s="360" t="s">
        <v>241</v>
      </c>
      <c r="B16" s="361"/>
      <c r="C16" s="389">
        <v>0</v>
      </c>
      <c r="D16" s="390"/>
      <c r="E16" s="338"/>
      <c r="F16" s="391"/>
      <c r="G16" s="391"/>
      <c r="H16" s="414">
        <v>0</v>
      </c>
      <c r="I16" s="390"/>
      <c r="J16" s="468"/>
      <c r="K16" s="338"/>
      <c r="L16" s="414">
        <v>0</v>
      </c>
      <c r="M16" s="338"/>
      <c r="N16" s="338"/>
      <c r="O16" s="338"/>
      <c r="P16" s="338"/>
      <c r="Q16" s="338"/>
      <c r="R16" s="338"/>
      <c r="S16" s="338"/>
      <c r="T16" s="338"/>
      <c r="U16" s="338"/>
      <c r="V16" s="391"/>
      <c r="W16" s="391"/>
      <c r="X16" s="391"/>
      <c r="Y16" s="338"/>
      <c r="Z16" s="414"/>
      <c r="AA16" s="428">
        <v>65.648541978335857</v>
      </c>
      <c r="AB16" s="429"/>
      <c r="AC16" s="338"/>
      <c r="AD16" s="338">
        <v>53.681368842584703</v>
      </c>
      <c r="AE16" s="344">
        <v>11.967173135751148</v>
      </c>
      <c r="AF16" s="344"/>
      <c r="AG16" s="344"/>
      <c r="AH16" s="390"/>
      <c r="AI16" s="391"/>
      <c r="AJ16" s="439">
        <v>24.127289822325451</v>
      </c>
      <c r="AK16" s="439">
        <v>1663.9966121740963</v>
      </c>
      <c r="AL16" s="428"/>
      <c r="AM16" s="369">
        <v>1663.9966121740963</v>
      </c>
    </row>
    <row r="17" spans="1:39">
      <c r="A17" s="351" t="s">
        <v>247</v>
      </c>
      <c r="B17" s="352"/>
      <c r="C17" s="382">
        <v>0</v>
      </c>
      <c r="D17" s="333"/>
      <c r="E17" s="335"/>
      <c r="F17" s="346"/>
      <c r="G17" s="346"/>
      <c r="H17" s="410">
        <v>0</v>
      </c>
      <c r="I17" s="333"/>
      <c r="J17" s="466"/>
      <c r="K17" s="335"/>
      <c r="L17" s="410">
        <v>0</v>
      </c>
      <c r="M17" s="335"/>
      <c r="N17" s="335"/>
      <c r="O17" s="335"/>
      <c r="P17" s="335"/>
      <c r="Q17" s="335"/>
      <c r="R17" s="335"/>
      <c r="S17" s="335"/>
      <c r="T17" s="335"/>
      <c r="U17" s="335"/>
      <c r="V17" s="346"/>
      <c r="W17" s="346"/>
      <c r="X17" s="346"/>
      <c r="Y17" s="335"/>
      <c r="Z17" s="410"/>
      <c r="AA17" s="423">
        <v>4.7578674055999999</v>
      </c>
      <c r="AB17" s="424"/>
      <c r="AC17" s="335"/>
      <c r="AD17" s="335">
        <v>1.095038</v>
      </c>
      <c r="AE17" s="335"/>
      <c r="AF17" s="335">
        <v>3.6628294055999997</v>
      </c>
      <c r="AG17" s="335"/>
      <c r="AH17" s="333"/>
      <c r="AI17" s="346"/>
      <c r="AJ17" s="437"/>
      <c r="AK17" s="464">
        <v>184.94204862424348</v>
      </c>
      <c r="AL17" s="423"/>
      <c r="AM17" s="353">
        <v>184.94204862424348</v>
      </c>
    </row>
    <row r="18" spans="1:39">
      <c r="A18" s="351" t="s">
        <v>248</v>
      </c>
      <c r="B18" s="352"/>
      <c r="C18" s="382"/>
      <c r="D18" s="333"/>
      <c r="E18" s="335"/>
      <c r="F18" s="346"/>
      <c r="G18" s="346"/>
      <c r="H18" s="410"/>
      <c r="I18" s="333"/>
      <c r="J18" s="466"/>
      <c r="K18" s="335"/>
      <c r="L18" s="410"/>
      <c r="M18" s="335"/>
      <c r="N18" s="335"/>
      <c r="O18" s="335"/>
      <c r="P18" s="335"/>
      <c r="Q18" s="335"/>
      <c r="R18" s="335"/>
      <c r="S18" s="335"/>
      <c r="T18" s="335"/>
      <c r="U18" s="335"/>
      <c r="V18" s="346"/>
      <c r="W18" s="346"/>
      <c r="X18" s="346"/>
      <c r="Y18" s="335"/>
      <c r="Z18" s="410"/>
      <c r="AA18" s="423">
        <v>0</v>
      </c>
      <c r="AB18" s="424"/>
      <c r="AC18" s="335"/>
      <c r="AD18" s="335"/>
      <c r="AE18" s="335"/>
      <c r="AF18" s="335"/>
      <c r="AG18" s="335"/>
      <c r="AH18" s="333"/>
      <c r="AI18" s="346"/>
      <c r="AJ18" s="437"/>
      <c r="AK18" s="437"/>
      <c r="AL18" s="423"/>
      <c r="AM18" s="353">
        <v>0</v>
      </c>
    </row>
    <row r="19" spans="1:39">
      <c r="A19" s="351" t="s">
        <v>249</v>
      </c>
      <c r="B19" s="352"/>
      <c r="C19" s="382"/>
      <c r="D19" s="333"/>
      <c r="E19" s="335"/>
      <c r="F19" s="346"/>
      <c r="G19" s="346"/>
      <c r="H19" s="410"/>
      <c r="I19" s="333"/>
      <c r="J19" s="466"/>
      <c r="K19" s="335"/>
      <c r="L19" s="410"/>
      <c r="M19" s="335"/>
      <c r="N19" s="335"/>
      <c r="O19" s="335"/>
      <c r="P19" s="335"/>
      <c r="Q19" s="335"/>
      <c r="R19" s="335"/>
      <c r="S19" s="335"/>
      <c r="T19" s="335"/>
      <c r="U19" s="335"/>
      <c r="V19" s="346"/>
      <c r="W19" s="346"/>
      <c r="X19" s="346"/>
      <c r="Y19" s="335"/>
      <c r="Z19" s="410"/>
      <c r="AA19" s="423"/>
      <c r="AB19" s="424"/>
      <c r="AC19" s="335"/>
      <c r="AD19" s="335"/>
      <c r="AE19" s="335"/>
      <c r="AF19" s="335"/>
      <c r="AG19" s="335"/>
      <c r="AH19" s="333"/>
      <c r="AI19" s="346"/>
      <c r="AJ19" s="437"/>
      <c r="AK19" s="437">
        <v>20.430939410432</v>
      </c>
      <c r="AL19" s="423"/>
      <c r="AM19" s="353">
        <v>20.430939410432</v>
      </c>
    </row>
    <row r="20" spans="1:39">
      <c r="A20" s="351" t="s">
        <v>244</v>
      </c>
      <c r="B20" s="352"/>
      <c r="C20" s="382"/>
      <c r="D20" s="370"/>
      <c r="E20" s="335"/>
      <c r="F20" s="346"/>
      <c r="G20" s="346"/>
      <c r="H20" s="410">
        <v>64.671797999999995</v>
      </c>
      <c r="I20" s="333"/>
      <c r="J20" s="466"/>
      <c r="K20" s="335">
        <v>64.671797999999995</v>
      </c>
      <c r="L20" s="410">
        <v>0</v>
      </c>
      <c r="M20" s="335"/>
      <c r="N20" s="335"/>
      <c r="O20" s="335"/>
      <c r="P20" s="335"/>
      <c r="Q20" s="335"/>
      <c r="R20" s="335"/>
      <c r="S20" s="335"/>
      <c r="T20" s="335"/>
      <c r="U20" s="335"/>
      <c r="V20" s="346"/>
      <c r="W20" s="346"/>
      <c r="X20" s="346"/>
      <c r="Y20" s="335"/>
      <c r="Z20" s="410"/>
      <c r="AA20" s="423">
        <v>0</v>
      </c>
      <c r="AB20" s="424"/>
      <c r="AC20" s="335"/>
      <c r="AD20" s="335"/>
      <c r="AE20" s="335"/>
      <c r="AF20" s="335"/>
      <c r="AG20" s="335"/>
      <c r="AH20" s="333"/>
      <c r="AI20" s="346"/>
      <c r="AJ20" s="437"/>
      <c r="AK20" s="437"/>
      <c r="AL20" s="423"/>
      <c r="AM20" s="353">
        <v>64.671797999999995</v>
      </c>
    </row>
    <row r="21" spans="1:39">
      <c r="A21" s="363" t="s">
        <v>250</v>
      </c>
      <c r="B21" s="364"/>
      <c r="C21" s="392"/>
      <c r="D21" s="393"/>
      <c r="E21" s="339"/>
      <c r="F21" s="394"/>
      <c r="G21" s="394"/>
      <c r="H21" s="415">
        <v>0</v>
      </c>
      <c r="I21" s="393"/>
      <c r="J21" s="469"/>
      <c r="K21" s="339"/>
      <c r="L21" s="415">
        <v>3166.7368998172387</v>
      </c>
      <c r="M21" s="339"/>
      <c r="N21" s="339">
        <v>89.969014531910801</v>
      </c>
      <c r="O21" s="339">
        <v>640.53679657777786</v>
      </c>
      <c r="P21" s="339">
        <v>226.77459106847999</v>
      </c>
      <c r="Q21" s="339">
        <v>0</v>
      </c>
      <c r="R21" s="339">
        <v>960.95017928079096</v>
      </c>
      <c r="S21" s="339">
        <v>64.797462901984332</v>
      </c>
      <c r="T21" s="339">
        <v>1146.9502117491124</v>
      </c>
      <c r="U21" s="339"/>
      <c r="V21" s="394">
        <v>36.758643707182323</v>
      </c>
      <c r="W21" s="394"/>
      <c r="X21" s="394"/>
      <c r="Y21" s="339"/>
      <c r="Z21" s="415"/>
      <c r="AA21" s="430">
        <v>0</v>
      </c>
      <c r="AB21" s="431"/>
      <c r="AC21" s="339"/>
      <c r="AD21" s="339"/>
      <c r="AE21" s="339"/>
      <c r="AF21" s="339"/>
      <c r="AG21" s="339"/>
      <c r="AH21" s="393"/>
      <c r="AI21" s="394"/>
      <c r="AJ21" s="440"/>
      <c r="AK21" s="440"/>
      <c r="AL21" s="430"/>
      <c r="AM21" s="365">
        <v>3166.7368998172387</v>
      </c>
    </row>
    <row r="22" spans="1:39">
      <c r="A22" s="371" t="s">
        <v>251</v>
      </c>
      <c r="B22" s="372"/>
      <c r="C22" s="398">
        <v>21.675620234332229</v>
      </c>
      <c r="D22" s="399">
        <v>-17.141361188350004</v>
      </c>
      <c r="E22" s="341">
        <v>38.816981422682233</v>
      </c>
      <c r="F22" s="400">
        <v>0</v>
      </c>
      <c r="G22" s="400">
        <v>0</v>
      </c>
      <c r="H22" s="417">
        <v>0</v>
      </c>
      <c r="I22" s="399">
        <v>0</v>
      </c>
      <c r="J22" s="475">
        <v>0</v>
      </c>
      <c r="K22" s="341">
        <v>0</v>
      </c>
      <c r="L22" s="417">
        <v>-24.071643477187674</v>
      </c>
      <c r="M22" s="341">
        <v>0</v>
      </c>
      <c r="N22" s="341">
        <v>0</v>
      </c>
      <c r="O22" s="341">
        <v>0.11733854444431926</v>
      </c>
      <c r="P22" s="341">
        <v>374.46366644960005</v>
      </c>
      <c r="Q22" s="341">
        <v>-373.64776418279996</v>
      </c>
      <c r="R22" s="341">
        <v>0</v>
      </c>
      <c r="S22" s="341">
        <v>0</v>
      </c>
      <c r="T22" s="341">
        <v>-3.3292640540998377</v>
      </c>
      <c r="U22" s="341">
        <v>-21.675620234332225</v>
      </c>
      <c r="V22" s="400">
        <v>0</v>
      </c>
      <c r="W22" s="400">
        <v>0</v>
      </c>
      <c r="X22" s="400">
        <v>0</v>
      </c>
      <c r="Y22" s="341">
        <v>0</v>
      </c>
      <c r="Z22" s="417">
        <v>0</v>
      </c>
      <c r="AA22" s="433">
        <v>-788.25144236760048</v>
      </c>
      <c r="AB22" s="434">
        <v>-59.691708987970003</v>
      </c>
      <c r="AC22" s="341">
        <v>-727.12733781532609</v>
      </c>
      <c r="AD22" s="341">
        <v>0</v>
      </c>
      <c r="AE22" s="435">
        <v>0</v>
      </c>
      <c r="AF22" s="435">
        <v>0</v>
      </c>
      <c r="AG22" s="435">
        <v>0</v>
      </c>
      <c r="AH22" s="399">
        <v>-1.4323955643044282</v>
      </c>
      <c r="AI22" s="400">
        <v>0</v>
      </c>
      <c r="AJ22" s="420">
        <v>0</v>
      </c>
      <c r="AK22" s="417">
        <v>788.25144236760048</v>
      </c>
      <c r="AL22" s="433">
        <v>0</v>
      </c>
      <c r="AM22" s="373">
        <v>-2.3960232428554455</v>
      </c>
    </row>
    <row r="23" spans="1:39">
      <c r="A23" s="360" t="s">
        <v>252</v>
      </c>
      <c r="B23" s="361"/>
      <c r="C23" s="401"/>
      <c r="D23" s="402"/>
      <c r="E23" s="403"/>
      <c r="F23" s="391"/>
      <c r="G23" s="391"/>
      <c r="H23" s="414"/>
      <c r="I23" s="418"/>
      <c r="J23" s="468"/>
      <c r="K23" s="338"/>
      <c r="L23" s="414"/>
      <c r="M23" s="338"/>
      <c r="N23" s="338"/>
      <c r="O23" s="338"/>
      <c r="P23" s="338"/>
      <c r="Q23" s="338"/>
      <c r="R23" s="338"/>
      <c r="S23" s="338"/>
      <c r="T23" s="338"/>
      <c r="U23" s="338"/>
      <c r="V23" s="391"/>
      <c r="W23" s="391"/>
      <c r="X23" s="391"/>
      <c r="Y23" s="338"/>
      <c r="Z23" s="414"/>
      <c r="AA23" s="428">
        <v>-788.25144236760048</v>
      </c>
      <c r="AB23" s="429">
        <v>-59.691708987970003</v>
      </c>
      <c r="AC23" s="338">
        <v>-727.12733781532609</v>
      </c>
      <c r="AD23" s="338"/>
      <c r="AE23" s="344"/>
      <c r="AF23" s="344"/>
      <c r="AG23" s="344"/>
      <c r="AH23" s="390">
        <v>-1.4323955643044282</v>
      </c>
      <c r="AI23" s="391"/>
      <c r="AJ23" s="439"/>
      <c r="AK23" s="414">
        <v>788.25144236760048</v>
      </c>
      <c r="AL23" s="428"/>
      <c r="AM23" s="369">
        <v>0</v>
      </c>
    </row>
    <row r="24" spans="1:39">
      <c r="A24" s="374" t="s">
        <v>253</v>
      </c>
      <c r="B24" s="347"/>
      <c r="C24" s="404"/>
      <c r="D24" s="405"/>
      <c r="E24" s="340"/>
      <c r="F24" s="334"/>
      <c r="G24" s="334"/>
      <c r="H24" s="416"/>
      <c r="I24" s="375"/>
      <c r="J24" s="470"/>
      <c r="K24" s="342"/>
      <c r="L24" s="416"/>
      <c r="M24" s="342"/>
      <c r="N24" s="342"/>
      <c r="O24" s="342"/>
      <c r="P24" s="342"/>
      <c r="Q24" s="342"/>
      <c r="R24" s="342"/>
      <c r="S24" s="342"/>
      <c r="T24" s="342"/>
      <c r="U24" s="342"/>
      <c r="V24" s="334"/>
      <c r="W24" s="334"/>
      <c r="X24" s="334"/>
      <c r="Y24" s="342"/>
      <c r="Z24" s="416"/>
      <c r="AA24" s="367"/>
      <c r="AB24" s="407"/>
      <c r="AC24" s="342"/>
      <c r="AD24" s="342"/>
      <c r="AE24" s="342"/>
      <c r="AF24" s="342"/>
      <c r="AG24" s="342"/>
      <c r="AH24" s="441"/>
      <c r="AI24" s="334"/>
      <c r="AJ24" s="451"/>
      <c r="AK24" s="416"/>
      <c r="AL24" s="367"/>
      <c r="AM24" s="376">
        <v>0</v>
      </c>
    </row>
    <row r="25" spans="1:39" ht="13.5" thickBot="1">
      <c r="A25" s="354" t="s">
        <v>254</v>
      </c>
      <c r="B25" s="355"/>
      <c r="C25" s="406">
        <v>21.675620234332229</v>
      </c>
      <c r="D25" s="462">
        <v>-17.141361188350004</v>
      </c>
      <c r="E25" s="343">
        <v>38.816981422682233</v>
      </c>
      <c r="F25" s="386"/>
      <c r="G25" s="386"/>
      <c r="H25" s="411"/>
      <c r="I25" s="419"/>
      <c r="J25" s="476"/>
      <c r="K25" s="343"/>
      <c r="L25" s="411">
        <v>-24.071643477187674</v>
      </c>
      <c r="M25" s="343"/>
      <c r="N25" s="343"/>
      <c r="O25" s="343">
        <v>0.11733854444431926</v>
      </c>
      <c r="P25" s="343">
        <v>374.46366644960005</v>
      </c>
      <c r="Q25" s="343">
        <v>-373.64776418279996</v>
      </c>
      <c r="R25" s="343">
        <v>0</v>
      </c>
      <c r="S25" s="343"/>
      <c r="T25" s="343">
        <v>-3.3292640540998377</v>
      </c>
      <c r="U25" s="386">
        <v>-21.675620234332225</v>
      </c>
      <c r="V25" s="386"/>
      <c r="W25" s="386"/>
      <c r="X25" s="386"/>
      <c r="Y25" s="343"/>
      <c r="Z25" s="411"/>
      <c r="AA25" s="411">
        <v>0</v>
      </c>
      <c r="AB25" s="426"/>
      <c r="AC25" s="343"/>
      <c r="AD25" s="343"/>
      <c r="AE25" s="343"/>
      <c r="AF25" s="343"/>
      <c r="AG25" s="343"/>
      <c r="AH25" s="412"/>
      <c r="AI25" s="386"/>
      <c r="AJ25" s="438"/>
      <c r="AK25" s="411"/>
      <c r="AL25" s="425"/>
      <c r="AM25" s="356">
        <v>-2.3960232428554455</v>
      </c>
    </row>
    <row r="26" spans="1:39" ht="13.5" thickBot="1">
      <c r="A26" s="366" t="s">
        <v>255</v>
      </c>
      <c r="B26" s="347"/>
      <c r="C26" s="395">
        <v>0</v>
      </c>
      <c r="D26" s="396"/>
      <c r="E26" s="340"/>
      <c r="F26" s="334"/>
      <c r="G26" s="334"/>
      <c r="H26" s="416">
        <v>11.368440725877685</v>
      </c>
      <c r="I26" s="334">
        <v>11.368440725877685</v>
      </c>
      <c r="J26" s="470"/>
      <c r="K26" s="342"/>
      <c r="L26" s="416">
        <v>92.978980127232518</v>
      </c>
      <c r="M26" s="342"/>
      <c r="N26" s="342">
        <v>89.969014531910801</v>
      </c>
      <c r="O26" s="342"/>
      <c r="P26" s="342"/>
      <c r="Q26" s="342"/>
      <c r="R26" s="342">
        <v>0</v>
      </c>
      <c r="S26" s="342">
        <v>4.1693256233877908E-3</v>
      </c>
      <c r="T26" s="342">
        <v>3.0057962696983291</v>
      </c>
      <c r="U26" s="342"/>
      <c r="V26" s="334"/>
      <c r="W26" s="334"/>
      <c r="X26" s="334"/>
      <c r="Y26" s="342"/>
      <c r="Z26" s="416">
        <v>57.528599543766255</v>
      </c>
      <c r="AA26" s="367">
        <v>0</v>
      </c>
      <c r="AB26" s="432"/>
      <c r="AC26" s="342"/>
      <c r="AD26" s="342"/>
      <c r="AE26" s="342"/>
      <c r="AF26" s="342"/>
      <c r="AG26" s="342"/>
      <c r="AH26" s="441"/>
      <c r="AI26" s="334"/>
      <c r="AJ26" s="451"/>
      <c r="AK26" s="416">
        <v>257.5554058341836</v>
      </c>
      <c r="AL26" s="367"/>
      <c r="AM26" s="376">
        <v>419.43142623106007</v>
      </c>
    </row>
    <row r="27" spans="1:39" ht="13.5" thickBot="1">
      <c r="A27" s="479" t="s">
        <v>256</v>
      </c>
      <c r="B27" s="480"/>
      <c r="C27" s="482">
        <v>257.65437785433085</v>
      </c>
      <c r="D27" s="485">
        <v>183.13519529469272</v>
      </c>
      <c r="E27" s="477">
        <v>66.118821612900035</v>
      </c>
      <c r="F27" s="477">
        <v>0</v>
      </c>
      <c r="G27" s="477">
        <v>8.4003609467381786</v>
      </c>
      <c r="H27" s="487">
        <v>199.31419506885075</v>
      </c>
      <c r="I27" s="485">
        <v>0.37225106885080628</v>
      </c>
      <c r="J27" s="489">
        <v>127.70399999999999</v>
      </c>
      <c r="K27" s="477">
        <v>71.237943999999999</v>
      </c>
      <c r="L27" s="487">
        <v>7302.736484101757</v>
      </c>
      <c r="M27" s="477">
        <v>0</v>
      </c>
      <c r="N27" s="477">
        <v>0</v>
      </c>
      <c r="O27" s="477">
        <v>830.66219249999983</v>
      </c>
      <c r="P27" s="477">
        <v>962.00436969728003</v>
      </c>
      <c r="Q27" s="477">
        <v>1095.3569190907197</v>
      </c>
      <c r="R27" s="477">
        <v>15.469962346277839</v>
      </c>
      <c r="S27" s="477">
        <v>187.88084937540125</v>
      </c>
      <c r="T27" s="477">
        <v>3833.6812396704358</v>
      </c>
      <c r="U27" s="477">
        <v>145.4444052742318</v>
      </c>
      <c r="V27" s="477">
        <v>-5.5141208563533439E-2</v>
      </c>
      <c r="W27" s="477">
        <v>195.56026412750296</v>
      </c>
      <c r="X27" s="477">
        <v>1.2218380210726456</v>
      </c>
      <c r="Y27" s="477">
        <v>35.509585207400512</v>
      </c>
      <c r="Z27" s="487">
        <v>1921.4292269183238</v>
      </c>
      <c r="AA27" s="483">
        <v>453.90773416750153</v>
      </c>
      <c r="AB27" s="488">
        <v>0</v>
      </c>
      <c r="AC27" s="478">
        <v>0</v>
      </c>
      <c r="AD27" s="478">
        <v>237.04871700223623</v>
      </c>
      <c r="AE27" s="478">
        <v>0</v>
      </c>
      <c r="AF27" s="478">
        <v>9.7770611234061491</v>
      </c>
      <c r="AG27" s="478">
        <v>149.27283699801595</v>
      </c>
      <c r="AH27" s="484">
        <v>13.54608560366562</v>
      </c>
      <c r="AI27" s="486">
        <v>44.263033440177487</v>
      </c>
      <c r="AJ27" s="487">
        <v>54.722939604974087</v>
      </c>
      <c r="AK27" s="487">
        <v>2343.6109186821886</v>
      </c>
      <c r="AL27" s="483">
        <v>0</v>
      </c>
      <c r="AM27" s="481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4"/>
  </cols>
  <sheetData>
    <row r="1" spans="1:3">
      <c r="A1" s="149" t="s">
        <v>263</v>
      </c>
    </row>
    <row r="2" spans="1:3">
      <c r="A2" s="234" t="s">
        <v>116</v>
      </c>
      <c r="B2" s="234">
        <v>4.1868000000000002E-2</v>
      </c>
      <c r="C2" s="2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6"/>
  <sheetViews>
    <sheetView tabSelected="1" topLeftCell="A26" zoomScale="83" zoomScaleNormal="100" workbookViewId="0">
      <selection activeCell="D50" sqref="D50"/>
    </sheetView>
  </sheetViews>
  <sheetFormatPr defaultColWidth="9.140625" defaultRowHeight="15"/>
  <cols>
    <col min="1" max="1" width="9.140625" style="198"/>
    <col min="2" max="2" width="19" style="198" customWidth="1"/>
    <col min="3" max="3" width="18.28515625" style="198" bestFit="1" customWidth="1"/>
    <col min="4" max="4" width="49.85546875" style="198" customWidth="1"/>
    <col min="5" max="16384" width="9.140625" style="198"/>
  </cols>
  <sheetData>
    <row r="2" spans="2:10">
      <c r="B2" s="298" t="s">
        <v>14</v>
      </c>
      <c r="C2" s="299"/>
      <c r="D2" s="299"/>
      <c r="E2" s="299"/>
      <c r="F2" s="299"/>
      <c r="G2" s="299"/>
      <c r="H2" s="299"/>
      <c r="I2" s="299"/>
    </row>
    <row r="3" spans="2:10" ht="15.75" thickBot="1">
      <c r="B3" s="295" t="s">
        <v>15</v>
      </c>
      <c r="C3" s="295" t="s">
        <v>16</v>
      </c>
      <c r="D3" s="295" t="s">
        <v>17</v>
      </c>
      <c r="E3" s="295" t="s">
        <v>18</v>
      </c>
      <c r="F3" s="295" t="s">
        <v>19</v>
      </c>
      <c r="G3" s="295" t="s">
        <v>20</v>
      </c>
      <c r="H3" s="295" t="s">
        <v>21</v>
      </c>
      <c r="I3" s="295" t="s">
        <v>22</v>
      </c>
    </row>
    <row r="4" spans="2:10" ht="28.5" customHeight="1">
      <c r="B4" s="300" t="s">
        <v>414</v>
      </c>
      <c r="C4" s="300" t="s">
        <v>415</v>
      </c>
      <c r="D4" s="301" t="s">
        <v>348</v>
      </c>
      <c r="E4" s="301"/>
      <c r="F4" s="301"/>
      <c r="G4" s="301"/>
      <c r="H4" s="301"/>
      <c r="I4" s="301"/>
    </row>
    <row r="5" spans="2:10" ht="28.5" customHeight="1">
      <c r="B5" s="306" t="s">
        <v>416</v>
      </c>
      <c r="C5" s="306"/>
      <c r="D5" s="307"/>
      <c r="E5" s="307"/>
      <c r="F5" s="307"/>
      <c r="G5" s="307"/>
      <c r="H5" s="307"/>
      <c r="I5" s="307"/>
    </row>
    <row r="6" spans="2:10">
      <c r="B6" s="312" t="s">
        <v>23</v>
      </c>
      <c r="C6" s="309" t="str">
        <f>CONVENTIONS!B46</f>
        <v>COABIT</v>
      </c>
      <c r="D6" s="309" t="str">
        <f>CONVENTIONS!C46</f>
        <v xml:space="preserve">Bituminous Coal </v>
      </c>
      <c r="E6" s="303" t="s">
        <v>10</v>
      </c>
      <c r="F6" s="303"/>
      <c r="G6" s="303"/>
      <c r="H6" s="303"/>
      <c r="I6" s="303"/>
    </row>
    <row r="7" spans="2:10">
      <c r="B7" s="312" t="s">
        <v>23</v>
      </c>
      <c r="C7" s="309" t="str">
        <f>CONVENTIONS!B47</f>
        <v>COAHAR</v>
      </c>
      <c r="D7" s="309" t="str">
        <f>CONVENTIONS!C47</f>
        <v xml:space="preserve">Hard Coal / Antracite </v>
      </c>
      <c r="E7" s="303" t="s">
        <v>10</v>
      </c>
      <c r="F7" s="303"/>
      <c r="G7" s="303"/>
      <c r="H7" s="303"/>
      <c r="I7" s="303"/>
    </row>
    <row r="8" spans="2:10">
      <c r="B8" s="312" t="s">
        <v>23</v>
      </c>
      <c r="C8" s="309" t="str">
        <f>CONVENTIONS!B48</f>
        <v>COACOK</v>
      </c>
      <c r="D8" s="309" t="str">
        <f>CONVENTIONS!C48</f>
        <v xml:space="preserve">Coke Coal </v>
      </c>
      <c r="E8" s="303" t="s">
        <v>10</v>
      </c>
      <c r="F8" s="303"/>
      <c r="G8" s="303"/>
      <c r="H8" s="303"/>
      <c r="I8" s="303"/>
    </row>
    <row r="9" spans="2:10">
      <c r="B9" s="312" t="s">
        <v>23</v>
      </c>
      <c r="C9" s="309" t="str">
        <f>CONVENTIONS!B49</f>
        <v>COALIG</v>
      </c>
      <c r="D9" s="309" t="str">
        <f>CONVENTIONS!C49</f>
        <v xml:space="preserve">Lignite /  Brown Coal </v>
      </c>
      <c r="E9" s="303" t="s">
        <v>10</v>
      </c>
      <c r="F9" s="303"/>
      <c r="G9" s="303"/>
      <c r="H9" s="303"/>
      <c r="I9" s="303"/>
    </row>
    <row r="10" spans="2:10">
      <c r="B10" s="312" t="s">
        <v>23</v>
      </c>
      <c r="C10" s="309" t="str">
        <f>CONVENTIONS!B50</f>
        <v>PEAT</v>
      </c>
      <c r="D10" s="309" t="str">
        <f>CONVENTIONS!C50</f>
        <v xml:space="preserve">Peat </v>
      </c>
      <c r="E10" s="303" t="s">
        <v>10</v>
      </c>
      <c r="F10" s="303"/>
      <c r="G10" s="303"/>
      <c r="H10" s="303"/>
      <c r="I10" s="303"/>
    </row>
    <row r="11" spans="2:10">
      <c r="B11" s="312" t="s">
        <v>23</v>
      </c>
      <c r="C11" s="309" t="str">
        <f>CONVENTIONS!B51</f>
        <v>OILCRD</v>
      </c>
      <c r="D11" s="309" t="str">
        <f>CONVENTIONS!C51</f>
        <v xml:space="preserve">Crude Oil </v>
      </c>
      <c r="E11" s="303" t="s">
        <v>10</v>
      </c>
      <c r="F11" s="303"/>
      <c r="G11" s="303"/>
      <c r="H11" s="303"/>
      <c r="I11" s="303"/>
    </row>
    <row r="12" spans="2:10">
      <c r="B12" s="312" t="s">
        <v>23</v>
      </c>
      <c r="C12" s="309" t="str">
        <f>CONVENTIONS!B52</f>
        <v>OILRFG</v>
      </c>
      <c r="D12" s="309" t="str">
        <f>CONVENTIONS!C52</f>
        <v xml:space="preserve">Refinery Gas </v>
      </c>
      <c r="E12" s="303" t="s">
        <v>10</v>
      </c>
      <c r="F12" s="303"/>
      <c r="G12" s="303"/>
      <c r="H12" s="303"/>
      <c r="I12" s="303"/>
      <c r="J12" s="257"/>
    </row>
    <row r="13" spans="2:10">
      <c r="B13" s="312" t="s">
        <v>23</v>
      </c>
      <c r="C13" s="309" t="str">
        <f>CONVENTIONS!B53</f>
        <v>OILKER</v>
      </c>
      <c r="D13" s="309" t="str">
        <f>CONVENTIONS!C53</f>
        <v xml:space="preserve">Kerosene </v>
      </c>
      <c r="E13" s="303" t="s">
        <v>10</v>
      </c>
      <c r="F13" s="303"/>
      <c r="G13" s="303"/>
      <c r="H13" s="303"/>
      <c r="I13" s="303"/>
      <c r="J13" s="257"/>
    </row>
    <row r="14" spans="2:10">
      <c r="B14" s="312" t="s">
        <v>23</v>
      </c>
      <c r="C14" s="309" t="str">
        <f>CONVENTIONS!B54</f>
        <v>OILHFO</v>
      </c>
      <c r="D14" s="309" t="str">
        <f>CONVENTIONS!C54</f>
        <v xml:space="preserve">Heavy Fuel Oil </v>
      </c>
      <c r="E14" s="303" t="s">
        <v>10</v>
      </c>
      <c r="F14" s="303"/>
      <c r="G14" s="303"/>
      <c r="H14" s="303"/>
      <c r="I14" s="303"/>
    </row>
    <row r="15" spans="2:10">
      <c r="B15" s="312" t="s">
        <v>23</v>
      </c>
      <c r="C15" s="309" t="str">
        <f>CONVENTIONS!B55</f>
        <v>OILDST</v>
      </c>
      <c r="D15" s="309" t="str">
        <f>CONVENTIONS!C55</f>
        <v xml:space="preserve">Diesel Oil </v>
      </c>
      <c r="E15" s="303" t="s">
        <v>10</v>
      </c>
      <c r="F15" s="303"/>
      <c r="G15" s="303"/>
      <c r="H15" s="303"/>
      <c r="I15" s="303"/>
    </row>
    <row r="16" spans="2:10">
      <c r="B16" s="312" t="s">
        <v>23</v>
      </c>
      <c r="C16" s="309" t="str">
        <f>CONVENTIONS!B56</f>
        <v>OILLPG</v>
      </c>
      <c r="D16" s="309" t="str">
        <f>CONVENTIONS!C56</f>
        <v xml:space="preserve">Liquified Petroleum Gas </v>
      </c>
      <c r="E16" s="303" t="s">
        <v>10</v>
      </c>
      <c r="F16" s="303"/>
      <c r="G16" s="303"/>
      <c r="H16" s="303"/>
      <c r="I16" s="303"/>
    </row>
    <row r="17" spans="2:9">
      <c r="B17" s="312" t="s">
        <v>23</v>
      </c>
      <c r="C17" s="309" t="str">
        <f>CONVENTIONS!B57</f>
        <v>OILGSL</v>
      </c>
      <c r="D17" s="309" t="str">
        <f>CONVENTIONS!C57</f>
        <v xml:space="preserve">Gasoline </v>
      </c>
      <c r="E17" s="303" t="s">
        <v>10</v>
      </c>
      <c r="F17" s="303"/>
      <c r="G17" s="303"/>
      <c r="H17" s="303"/>
      <c r="I17" s="303"/>
    </row>
    <row r="18" spans="2:9">
      <c r="B18" s="312" t="s">
        <v>23</v>
      </c>
      <c r="C18" s="309" t="str">
        <f>CONVENTIONS!B58</f>
        <v>OILCOK</v>
      </c>
      <c r="D18" s="309" t="str">
        <f>CONVENTIONS!C58</f>
        <v xml:space="preserve">Petroleum Coke </v>
      </c>
      <c r="E18" s="303" t="s">
        <v>10</v>
      </c>
      <c r="F18" s="303"/>
      <c r="G18" s="303"/>
      <c r="H18" s="303"/>
      <c r="I18" s="303"/>
    </row>
    <row r="19" spans="2:9">
      <c r="B19" s="312" t="s">
        <v>23</v>
      </c>
      <c r="C19" s="309" t="str">
        <f>CONVENTIONS!B59</f>
        <v>OILNAP</v>
      </c>
      <c r="D19" s="309" t="str">
        <f>CONVENTIONS!C59</f>
        <v xml:space="preserve">Naphta </v>
      </c>
      <c r="E19" s="303" t="s">
        <v>10</v>
      </c>
      <c r="F19" s="303"/>
      <c r="G19" s="303"/>
      <c r="H19" s="303"/>
      <c r="I19" s="303"/>
    </row>
    <row r="20" spans="2:9">
      <c r="B20" s="312" t="s">
        <v>23</v>
      </c>
      <c r="C20" s="309" t="str">
        <f>CONVENTIONS!B60</f>
        <v>OILNEU</v>
      </c>
      <c r="D20" s="309" t="str">
        <f>CONVENTIONS!C60</f>
        <v>Oil for Non-Energy uses</v>
      </c>
      <c r="E20" s="303" t="s">
        <v>10</v>
      </c>
      <c r="F20" s="303"/>
      <c r="G20" s="303"/>
      <c r="H20" s="303"/>
      <c r="I20" s="303"/>
    </row>
    <row r="21" spans="2:9">
      <c r="B21" s="312" t="s">
        <v>23</v>
      </c>
      <c r="C21" s="309" t="str">
        <f>CONVENTIONS!B61</f>
        <v>GASNAT</v>
      </c>
      <c r="D21" s="309" t="str">
        <f>CONVENTIONS!C61</f>
        <v xml:space="preserve">Natural Gas </v>
      </c>
      <c r="E21" s="303" t="s">
        <v>10</v>
      </c>
      <c r="F21" s="303"/>
      <c r="G21" s="303" t="s">
        <v>73</v>
      </c>
      <c r="H21" s="303"/>
      <c r="I21" s="303"/>
    </row>
    <row r="22" spans="2:9">
      <c r="B22" s="312" t="s">
        <v>23</v>
      </c>
      <c r="C22" s="309" t="str">
        <f>CONVENTIONS!B62</f>
        <v>GASLNG</v>
      </c>
      <c r="D22" s="309" t="str">
        <f>CONVENTIONS!C62</f>
        <v xml:space="preserve">Liquified Natural Gas </v>
      </c>
      <c r="E22" s="303" t="s">
        <v>10</v>
      </c>
      <c r="F22" s="303"/>
      <c r="G22" s="303" t="s">
        <v>73</v>
      </c>
      <c r="H22" s="303"/>
      <c r="I22" s="303"/>
    </row>
    <row r="23" spans="2:9">
      <c r="B23" s="312" t="s">
        <v>23</v>
      </c>
      <c r="C23" s="309" t="str">
        <f>CONVENTIONS!B63</f>
        <v>NUCURM</v>
      </c>
      <c r="D23" s="309" t="str">
        <f>CONVENTIONS!C63</f>
        <v>Uranium</v>
      </c>
      <c r="E23" s="303" t="s">
        <v>10</v>
      </c>
      <c r="F23" s="303"/>
      <c r="G23" s="303"/>
      <c r="H23" s="303"/>
      <c r="I23" s="303"/>
    </row>
    <row r="24" spans="2:9">
      <c r="B24" s="312" t="s">
        <v>23</v>
      </c>
      <c r="C24" s="309" t="str">
        <f>CONVENTIONS!B64</f>
        <v>RENHYD</v>
      </c>
      <c r="D24" s="309" t="str">
        <f>CONVENTIONS!C64</f>
        <v xml:space="preserve">Hydro </v>
      </c>
      <c r="E24" s="303" t="s">
        <v>10</v>
      </c>
      <c r="F24" s="303"/>
      <c r="G24" s="303"/>
      <c r="H24" s="303"/>
      <c r="I24" s="303"/>
    </row>
    <row r="25" spans="2:9">
      <c r="B25" s="312" t="s">
        <v>23</v>
      </c>
      <c r="C25" s="309" t="str">
        <f>CONVENTIONS!B65</f>
        <v>RENWIN</v>
      </c>
      <c r="D25" s="309" t="str">
        <f>CONVENTIONS!C65</f>
        <v xml:space="preserve">Wind </v>
      </c>
      <c r="E25" s="303" t="s">
        <v>10</v>
      </c>
      <c r="F25" s="303"/>
      <c r="G25" s="303"/>
      <c r="H25" s="303"/>
      <c r="I25" s="303"/>
    </row>
    <row r="26" spans="2:9">
      <c r="B26" s="312" t="s">
        <v>23</v>
      </c>
      <c r="C26" s="309" t="str">
        <f>CONVENTIONS!B66</f>
        <v>RENSOL</v>
      </c>
      <c r="D26" s="309" t="str">
        <f>CONVENTIONS!C66</f>
        <v xml:space="preserve">Solar </v>
      </c>
      <c r="E26" s="303" t="s">
        <v>10</v>
      </c>
      <c r="F26" s="303"/>
      <c r="G26" s="303"/>
      <c r="H26" s="303"/>
      <c r="I26" s="303"/>
    </row>
    <row r="27" spans="2:9">
      <c r="B27" s="312" t="s">
        <v>23</v>
      </c>
      <c r="C27" s="309" t="str">
        <f>CONVENTIONS!B67</f>
        <v>MSWAS</v>
      </c>
      <c r="D27" s="309" t="str">
        <f>CONVENTIONS!C67</f>
        <v xml:space="preserve">Municipal Solid Waste </v>
      </c>
      <c r="E27" s="303" t="s">
        <v>10</v>
      </c>
      <c r="F27" s="303"/>
      <c r="G27" s="303"/>
      <c r="H27" s="303"/>
      <c r="I27" s="303"/>
    </row>
    <row r="28" spans="2:9">
      <c r="B28" s="312" t="s">
        <v>23</v>
      </c>
      <c r="C28" s="309" t="str">
        <f>CONVENTIONS!B68</f>
        <v>RENOCE</v>
      </c>
      <c r="D28" s="309" t="str">
        <f>CONVENTIONS!C68</f>
        <v xml:space="preserve">Ocean </v>
      </c>
      <c r="E28" s="303" t="s">
        <v>10</v>
      </c>
      <c r="F28" s="303"/>
      <c r="G28" s="303"/>
      <c r="H28" s="303"/>
      <c r="I28" s="303"/>
    </row>
    <row r="29" spans="2:9">
      <c r="B29" s="312" t="s">
        <v>23</v>
      </c>
      <c r="C29" s="309" t="str">
        <f>CONVENTIONS!B69</f>
        <v>RENGEO</v>
      </c>
      <c r="D29" s="309" t="str">
        <f>CONVENTIONS!C69</f>
        <v xml:space="preserve">Geothermal </v>
      </c>
      <c r="E29" s="303" t="s">
        <v>10</v>
      </c>
      <c r="F29" s="303"/>
      <c r="G29" s="303"/>
      <c r="H29" s="303"/>
      <c r="I29" s="303"/>
    </row>
    <row r="30" spans="2:9">
      <c r="B30" s="312" t="s">
        <v>23</v>
      </c>
      <c r="C30" s="309" t="str">
        <f>CONVENTIONS!B70</f>
        <v>BIOETH1G</v>
      </c>
      <c r="D30" s="309" t="str">
        <f>CONVENTIONS!C70</f>
        <v xml:space="preserve">Ethanol 1st generation </v>
      </c>
      <c r="E30" s="303" t="s">
        <v>10</v>
      </c>
      <c r="F30" s="303"/>
      <c r="G30" s="303"/>
      <c r="H30" s="303"/>
      <c r="I30" s="303"/>
    </row>
    <row r="31" spans="2:9">
      <c r="B31" s="312" t="s">
        <v>23</v>
      </c>
      <c r="C31" s="309" t="str">
        <f>CONVENTIONS!B71</f>
        <v>BIOETH2G</v>
      </c>
      <c r="D31" s="309" t="str">
        <f>CONVENTIONS!C71</f>
        <v xml:space="preserve">Ethanol 2nd generation </v>
      </c>
      <c r="E31" s="303" t="s">
        <v>10</v>
      </c>
      <c r="F31" s="303"/>
      <c r="G31" s="303"/>
      <c r="H31" s="303"/>
      <c r="I31" s="303"/>
    </row>
    <row r="32" spans="2:9">
      <c r="B32" s="312" t="s">
        <v>23</v>
      </c>
      <c r="C32" s="309" t="str">
        <f>CONVENTIONS!B72</f>
        <v>BIODST1G</v>
      </c>
      <c r="D32" s="309" t="str">
        <f>CONVENTIONS!C72</f>
        <v xml:space="preserve">Biodiesel 1st generation </v>
      </c>
      <c r="E32" s="303" t="s">
        <v>10</v>
      </c>
      <c r="F32" s="303"/>
      <c r="G32" s="303"/>
      <c r="H32" s="303"/>
      <c r="I32" s="303"/>
    </row>
    <row r="33" spans="2:9">
      <c r="B33" s="312" t="s">
        <v>23</v>
      </c>
      <c r="C33" s="309" t="str">
        <f>CONVENTIONS!B73</f>
        <v>BIODST2G</v>
      </c>
      <c r="D33" s="309" t="str">
        <f>CONVENTIONS!C73</f>
        <v xml:space="preserve">Biodiesel 1nd generation </v>
      </c>
      <c r="E33" s="303" t="s">
        <v>10</v>
      </c>
      <c r="F33" s="303"/>
      <c r="G33" s="303"/>
      <c r="H33" s="303"/>
      <c r="I33" s="303"/>
    </row>
    <row r="34" spans="2:9">
      <c r="B34" s="312" t="s">
        <v>23</v>
      </c>
      <c r="C34" s="309" t="str">
        <f>CONVENTIONS!B74</f>
        <v>BIOGAS1G</v>
      </c>
      <c r="D34" s="309" t="str">
        <f>CONVENTIONS!C74</f>
        <v xml:space="preserve">Biogas 1st generation </v>
      </c>
      <c r="E34" s="303" t="s">
        <v>10</v>
      </c>
      <c r="F34" s="303"/>
      <c r="G34" s="303"/>
      <c r="H34" s="303"/>
      <c r="I34" s="303"/>
    </row>
    <row r="35" spans="2:9">
      <c r="B35" s="312" t="s">
        <v>23</v>
      </c>
      <c r="C35" s="309" t="str">
        <f>CONVENTIONS!B75</f>
        <v>BIOGAS2G</v>
      </c>
      <c r="D35" s="309" t="str">
        <f>CONVENTIONS!C75</f>
        <v xml:space="preserve">Biogas 2nd generation </v>
      </c>
      <c r="E35" s="303" t="s">
        <v>10</v>
      </c>
      <c r="F35" s="303"/>
      <c r="G35" s="303"/>
      <c r="H35" s="303"/>
      <c r="I35" s="303"/>
    </row>
    <row r="36" spans="2:9">
      <c r="B36" s="312" t="s">
        <v>23</v>
      </c>
      <c r="C36" s="309" t="str">
        <f>CONVENTIONS!B76</f>
        <v>BIOWOO</v>
      </c>
      <c r="D36" s="309" t="str">
        <f>CONVENTIONS!C76</f>
        <v xml:space="preserve">Biomass - generic </v>
      </c>
      <c r="E36" s="303" t="s">
        <v>10</v>
      </c>
      <c r="F36" s="303"/>
      <c r="G36" s="303"/>
      <c r="H36" s="303"/>
      <c r="I36" s="303"/>
    </row>
    <row r="37" spans="2:9">
      <c r="B37" s="312" t="s">
        <v>23</v>
      </c>
      <c r="C37" s="309" t="str">
        <f>CONVENTIONS!B77</f>
        <v>BIOWOO1</v>
      </c>
      <c r="D37" s="309" t="str">
        <f>CONVENTIONS!C77</f>
        <v>Sawmill residues</v>
      </c>
      <c r="E37" s="303" t="s">
        <v>10</v>
      </c>
      <c r="F37" s="303"/>
      <c r="G37" s="303"/>
      <c r="H37" s="303"/>
      <c r="I37" s="303"/>
    </row>
    <row r="38" spans="2:9">
      <c r="B38" s="312" t="s">
        <v>23</v>
      </c>
      <c r="C38" s="309" t="str">
        <f>CONVENTIONS!B78</f>
        <v>BIOWOO2</v>
      </c>
      <c r="D38" s="309" t="str">
        <f>CONVENTIONS!C78</f>
        <v>Post-Consumer Recycled Wood</v>
      </c>
      <c r="E38" s="303" t="s">
        <v>10</v>
      </c>
      <c r="F38" s="303"/>
      <c r="G38" s="303"/>
      <c r="H38" s="303"/>
      <c r="I38" s="303"/>
    </row>
    <row r="39" spans="2:9">
      <c r="B39" s="312" t="s">
        <v>23</v>
      </c>
      <c r="C39" s="309" t="str">
        <f>CONVENTIONS!B79</f>
        <v>BIOWOO3</v>
      </c>
      <c r="D39" s="309" t="str">
        <f>CONVENTIONS!C79</f>
        <v>Straw</v>
      </c>
      <c r="E39" s="303" t="s">
        <v>10</v>
      </c>
      <c r="F39" s="303"/>
      <c r="G39" s="303"/>
      <c r="H39" s="303"/>
      <c r="I39" s="303"/>
    </row>
    <row r="40" spans="2:9">
      <c r="B40" s="312" t="s">
        <v>23</v>
      </c>
      <c r="C40" s="309" t="str">
        <f>CONVENTIONS!B80</f>
        <v>BIOWPE</v>
      </c>
      <c r="D40" s="309" t="str">
        <f>CONVENTIONS!C80</f>
        <v xml:space="preserve">Wood Pellets </v>
      </c>
      <c r="E40" s="303" t="s">
        <v>10</v>
      </c>
      <c r="F40" s="303"/>
      <c r="G40" s="303"/>
      <c r="H40" s="303"/>
      <c r="I40" s="303"/>
    </row>
    <row r="41" spans="2:9">
      <c r="B41" s="312" t="s">
        <v>23</v>
      </c>
      <c r="C41" s="309" t="str">
        <f>CONVENTIONS!B81</f>
        <v>BIOWCH</v>
      </c>
      <c r="D41" s="309" t="str">
        <f>CONVENTIONS!C81</f>
        <v xml:space="preserve">Wood Chip </v>
      </c>
      <c r="E41" s="303" t="s">
        <v>10</v>
      </c>
      <c r="F41" s="303"/>
      <c r="G41" s="303"/>
      <c r="H41" s="303"/>
      <c r="I41" s="303"/>
    </row>
    <row r="42" spans="2:9">
      <c r="B42" s="312" t="s">
        <v>23</v>
      </c>
      <c r="C42" s="309" t="str">
        <f>CONVENTIONS!B82</f>
        <v>BIOMSW1</v>
      </c>
      <c r="D42" s="309" t="str">
        <f>CONVENTIONS!C82</f>
        <v xml:space="preserve">Biodegradable Municipal Solid Waste potential - Solid </v>
      </c>
      <c r="E42" s="303" t="s">
        <v>10</v>
      </c>
      <c r="F42" s="303"/>
      <c r="G42" s="303"/>
      <c r="H42" s="303"/>
      <c r="I42" s="303"/>
    </row>
    <row r="43" spans="2:9">
      <c r="B43" s="312" t="s">
        <v>23</v>
      </c>
      <c r="C43" s="309" t="str">
        <f>CONVENTIONS!B83</f>
        <v>BIOMSW2</v>
      </c>
      <c r="D43" s="309" t="str">
        <f>CONVENTIONS!C83</f>
        <v xml:space="preserve">Biodegradable Municipal Solid Waste </v>
      </c>
      <c r="E43" s="303" t="s">
        <v>10</v>
      </c>
      <c r="F43" s="303"/>
      <c r="G43" s="303"/>
      <c r="H43" s="303"/>
      <c r="I43" s="303"/>
    </row>
    <row r="44" spans="2:9">
      <c r="B44" s="312" t="s">
        <v>23</v>
      </c>
      <c r="C44" s="309" t="str">
        <f>CONVENTIONS!B84</f>
        <v>BIOTLW</v>
      </c>
      <c r="D44" s="309" t="str">
        <f>CONVENTIONS!C84</f>
        <v xml:space="preserve">Tallow </v>
      </c>
      <c r="E44" s="303" t="s">
        <v>10</v>
      </c>
      <c r="F44" s="303"/>
      <c r="G44" s="303"/>
      <c r="H44" s="303"/>
      <c r="I44" s="303"/>
    </row>
    <row r="45" spans="2:9">
      <c r="B45" s="312" t="s">
        <v>23</v>
      </c>
      <c r="C45" s="309" t="str">
        <f>CONVENTIONS!B85</f>
        <v>BIORVO</v>
      </c>
      <c r="D45" s="309" t="str">
        <f>CONVENTIONS!C85</f>
        <v xml:space="preserve">Recovered Vegetable Oil </v>
      </c>
      <c r="E45" s="303" t="s">
        <v>10</v>
      </c>
      <c r="F45" s="303"/>
      <c r="G45" s="303"/>
      <c r="H45" s="303"/>
      <c r="I45" s="303"/>
    </row>
    <row r="46" spans="2:9" s="274" customFormat="1">
      <c r="B46" s="312" t="s">
        <v>23</v>
      </c>
      <c r="C46" s="309" t="str">
        <f>CONVENTIONS!B86</f>
        <v>BIOCATW</v>
      </c>
      <c r="D46" s="309" t="str">
        <f>CONVENTIONS!C86</f>
        <v xml:space="preserve">Cattle Waste </v>
      </c>
      <c r="E46" s="303" t="s">
        <v>10</v>
      </c>
      <c r="F46" s="303"/>
      <c r="G46" s="303"/>
      <c r="H46" s="303"/>
      <c r="I46" s="303"/>
    </row>
    <row r="47" spans="2:9" s="274" customFormat="1">
      <c r="B47" s="312" t="s">
        <v>23</v>
      </c>
      <c r="C47" s="309" t="str">
        <f>CONVENTIONS!B87</f>
        <v>BIOPIGW</v>
      </c>
      <c r="D47" s="309" t="str">
        <f>CONVENTIONS!C87</f>
        <v xml:space="preserve">Pig Waste </v>
      </c>
      <c r="E47" s="303" t="s">
        <v>10</v>
      </c>
      <c r="F47" s="303"/>
      <c r="G47" s="303"/>
      <c r="H47" s="303"/>
      <c r="I47" s="303"/>
    </row>
    <row r="48" spans="2:9">
      <c r="B48" s="312" t="s">
        <v>23</v>
      </c>
      <c r="C48" s="318" t="str">
        <f>CONVENTIONS!B88</f>
        <v>BIOINDF</v>
      </c>
      <c r="D48" s="318" t="str">
        <f>CONVENTIONS!C88</f>
        <v xml:space="preserve">Industrial Food Waste </v>
      </c>
      <c r="E48" s="312" t="s">
        <v>10</v>
      </c>
      <c r="F48" s="312"/>
      <c r="G48" s="312"/>
      <c r="H48" s="312"/>
      <c r="I48" s="312"/>
    </row>
    <row r="49" spans="2:12">
      <c r="B49" s="312" t="s">
        <v>23</v>
      </c>
      <c r="C49" s="318" t="str">
        <f>CONVENTIONS!B90</f>
        <v>CYC</v>
      </c>
      <c r="D49" s="318" t="str">
        <f>CONVENTIONS!C90</f>
        <v>Cycling</v>
      </c>
      <c r="E49" s="312" t="s">
        <v>10</v>
      </c>
      <c r="F49" s="312"/>
      <c r="G49" s="312"/>
      <c r="H49" s="312"/>
      <c r="I49" s="312"/>
    </row>
    <row r="50" spans="2:12">
      <c r="B50" s="312" t="s">
        <v>23</v>
      </c>
      <c r="C50" s="318" t="str">
        <f>CONVENTIONS!B91</f>
        <v>WLK</v>
      </c>
      <c r="D50" s="318" t="str">
        <f>CONVENTIONS!C91</f>
        <v>Walking</v>
      </c>
      <c r="E50" s="312" t="s">
        <v>10</v>
      </c>
      <c r="F50" s="312"/>
      <c r="G50" s="312"/>
      <c r="H50" s="312"/>
      <c r="I50" s="312"/>
    </row>
    <row r="51" spans="2:12">
      <c r="B51" s="312" t="s">
        <v>23</v>
      </c>
      <c r="C51" s="309" t="str">
        <f>CONVENTIONS!$B$4&amp;CONVENTIONS!B13</f>
        <v>SUPCOA</v>
      </c>
      <c r="D51" s="309" t="str">
        <f>CONVENTIONS!C13 &amp; " (" &amp; CONVENTIONS!$B$4 &amp; ")"</f>
        <v>Coal (SUP)</v>
      </c>
      <c r="E51" s="303" t="s">
        <v>10</v>
      </c>
      <c r="F51" s="303"/>
      <c r="G51" s="303"/>
      <c r="H51" s="303"/>
      <c r="I51" s="303"/>
    </row>
    <row r="52" spans="2:12">
      <c r="B52" s="312" t="s">
        <v>23</v>
      </c>
      <c r="C52" s="309" t="str">
        <f>CONVENTIONS!$B$4&amp;CONVENTIONS!B20</f>
        <v>SUPNGA</v>
      </c>
      <c r="D52" s="309" t="str">
        <f>CONVENTIONS!C20 &amp; " (" &amp; CONVENTIONS!$B$4 &amp; ")"</f>
        <v>Natural Gas (SUP)</v>
      </c>
      <c r="E52" s="303" t="s">
        <v>10</v>
      </c>
      <c r="F52" s="303"/>
      <c r="G52" s="303"/>
      <c r="H52" s="303"/>
      <c r="I52" s="303"/>
    </row>
    <row r="53" spans="2:12">
      <c r="B53" s="312" t="s">
        <v>23</v>
      </c>
      <c r="C53" s="309" t="str">
        <f>CONVENTIONS!$B$4&amp;CONVENTIONS!B21</f>
        <v>SUPBIO</v>
      </c>
      <c r="D53" s="309" t="str">
        <f>CONVENTIONS!C21 &amp; " (" &amp; CONVENTIONS!$B$4 &amp; ")"</f>
        <v>Biomass (SUP)</v>
      </c>
      <c r="E53" s="303" t="s">
        <v>10</v>
      </c>
      <c r="F53" s="303"/>
      <c r="G53" s="303"/>
      <c r="H53" s="303"/>
      <c r="I53" s="303"/>
    </row>
    <row r="54" spans="2:12" s="274" customFormat="1">
      <c r="B54" s="312" t="s">
        <v>23</v>
      </c>
      <c r="C54" s="309" t="str">
        <f>CONVENTIONS!$B$4&amp;CONVENTIONS!B43</f>
        <v>SUPELC</v>
      </c>
      <c r="D54" s="309" t="str">
        <f>CONVENTIONS!C43 &amp; " (" &amp; CONVENTIONS!$B$4 &amp; ")"</f>
        <v>Electricity (SUP)</v>
      </c>
      <c r="E54" s="303" t="s">
        <v>10</v>
      </c>
      <c r="F54" s="303"/>
      <c r="G54" s="303"/>
      <c r="H54" s="303"/>
      <c r="I54" s="303"/>
    </row>
    <row r="55" spans="2:12">
      <c r="B55" s="312" t="s">
        <v>23</v>
      </c>
      <c r="C55" s="309" t="str">
        <f>CONVENTIONS!$B$4&amp;CONVENTIONS!B45</f>
        <v>SUPWAS</v>
      </c>
      <c r="D55" s="309" t="str">
        <f>CONVENTIONS!C45 &amp; " (" &amp; CONVENTIONS!$B$4 &amp; ")"</f>
        <v>Waste (SUP)</v>
      </c>
      <c r="E55" s="303" t="s">
        <v>10</v>
      </c>
      <c r="F55" s="303"/>
      <c r="G55" s="303"/>
      <c r="H55" s="303"/>
      <c r="I55" s="303"/>
    </row>
    <row r="56" spans="2:12">
      <c r="B56" s="312" t="s">
        <v>23</v>
      </c>
      <c r="C56" s="309" t="str">
        <f>CONVENTIONS!$B$43&amp;CONVENTIONS!P4</f>
        <v>ELCC</v>
      </c>
      <c r="D56" s="309" t="str">
        <f>CONVENTIONS!$C$43 &amp;  " - " &amp; CONVENTIONS!Q4</f>
        <v>Electricity - centralised</v>
      </c>
      <c r="E56" s="303" t="s">
        <v>10</v>
      </c>
      <c r="F56" s="303"/>
      <c r="G56" s="303"/>
      <c r="H56" s="303"/>
      <c r="I56" s="303"/>
    </row>
    <row r="57" spans="2:12">
      <c r="B57" s="312" t="s">
        <v>23</v>
      </c>
      <c r="C57" s="309" t="str">
        <f>CONVENTIONS!$B$4&amp;CONVENTIONS!$B$89&amp;CONVENTIONS!M4&amp;CONVENTIONS!P4</f>
        <v>SUPH2GC</v>
      </c>
      <c r="D57" s="309" t="str">
        <f>CONVENTIONS!$C$89 &amp; " " &amp; CONVENTIONS!N4 &amp; " - " &amp; CONVENTIONS!Q4&amp; " (" &amp; CONVENTIONS!$B$4 &amp; ")"</f>
        <v>Hydrogen gaseous - centralised (SUP)</v>
      </c>
      <c r="E57" s="303" t="s">
        <v>10</v>
      </c>
      <c r="F57" s="303"/>
      <c r="G57" s="303" t="s">
        <v>73</v>
      </c>
      <c r="H57" s="303"/>
      <c r="I57" s="303"/>
    </row>
    <row r="58" spans="2:12">
      <c r="B58" s="312" t="s">
        <v>23</v>
      </c>
      <c r="C58" s="309" t="str">
        <f>CONVENTIONS!$B$4&amp;CONVENTIONS!$B$89&amp;CONVENTIONS!M5&amp;CONVENTIONS!P4</f>
        <v>SUPH2LC</v>
      </c>
      <c r="D58" s="309" t="str">
        <f>CONVENTIONS!$C$89 &amp; " " &amp; CONVENTIONS!N5 &amp; " - " &amp; CONVENTIONS!Q4&amp; " (" &amp; CONVENTIONS!$B$4 &amp; ")"</f>
        <v>Hydrogen liquid - centralised (SUP)</v>
      </c>
      <c r="E58" s="303" t="s">
        <v>10</v>
      </c>
      <c r="F58" s="303"/>
      <c r="G58" s="303" t="s">
        <v>73</v>
      </c>
      <c r="H58" s="303"/>
      <c r="I58" s="303"/>
    </row>
    <row r="59" spans="2:12">
      <c r="B59" s="312" t="s">
        <v>23</v>
      </c>
      <c r="C59" s="309" t="str">
        <f>CONVENTIONS!$B$4&amp;CONVENTIONS!$B$89&amp;CONVENTIONS!M4&amp;CONVENTIONS!P5</f>
        <v>SUPH2GD</v>
      </c>
      <c r="D59" s="309" t="str">
        <f>CONVENTIONS!$C$89 &amp; " " &amp; CONVENTIONS!N4 &amp; " - " &amp; CONVENTIONS!Q5 &amp; " (" &amp; CONVENTIONS!$B$4 &amp; ")"</f>
        <v>Hydrogen gaseous - decentralised (SUP)</v>
      </c>
      <c r="E59" s="303" t="s">
        <v>10</v>
      </c>
      <c r="F59" s="303"/>
      <c r="G59" s="303" t="s">
        <v>73</v>
      </c>
      <c r="H59" s="303"/>
      <c r="I59" s="303"/>
    </row>
    <row r="60" spans="2:12">
      <c r="B60" s="312" t="s">
        <v>23</v>
      </c>
      <c r="C60" s="309" t="str">
        <f>CONVENTIONS!$B$4&amp;CONVENTIONS!$B$89&amp;CONVENTIONS!M5&amp;CONVENTIONS!P5</f>
        <v>SUPH2LD</v>
      </c>
      <c r="D60" s="309" t="str">
        <f>CONVENTIONS!$C$89 &amp; " " &amp; CONVENTIONS!N5 &amp; " - " &amp; CONVENTIONS!Q5 &amp; " (" &amp; CONVENTIONS!$B$4 &amp; ")"</f>
        <v>Hydrogen liquid - decentralised (SUP)</v>
      </c>
      <c r="E60" s="303" t="s">
        <v>10</v>
      </c>
      <c r="F60" s="303"/>
      <c r="G60" s="303" t="s">
        <v>73</v>
      </c>
      <c r="H60" s="303"/>
      <c r="I60" s="303"/>
    </row>
    <row r="61" spans="2:12">
      <c r="B61" s="319" t="s">
        <v>417</v>
      </c>
      <c r="C61" s="319"/>
      <c r="D61" s="319"/>
      <c r="E61" s="319"/>
      <c r="F61" s="319"/>
      <c r="G61" s="319"/>
      <c r="H61" s="319"/>
      <c r="I61" s="319"/>
    </row>
    <row r="62" spans="2:12">
      <c r="B62" s="312" t="s">
        <v>338</v>
      </c>
      <c r="C62" s="309" t="str">
        <f>CONVENTIONS!$B$4&amp;CONVENTIONS!M13</f>
        <v>SUPCH4N</v>
      </c>
      <c r="D62" s="309" t="str">
        <f>CONVENTIONS!N13 &amp; " (" &amp; CONVENTIONS!$B$4 &amp; ")"</f>
        <v>Methane - eNergy Emissions (SUP)</v>
      </c>
      <c r="E62" s="303" t="s">
        <v>339</v>
      </c>
      <c r="F62" s="303"/>
      <c r="G62" s="303"/>
      <c r="H62" s="303"/>
      <c r="I62" s="303"/>
    </row>
    <row r="63" spans="2:12">
      <c r="B63" s="312" t="s">
        <v>338</v>
      </c>
      <c r="C63" s="309" t="str">
        <f>CONVENTIONS!$B$4&amp;CONVENTIONS!M14</f>
        <v>SUPCH4P</v>
      </c>
      <c r="D63" s="309" t="str">
        <f>CONVENTIONS!N14 &amp; " (" &amp; CONVENTIONS!$B$4 &amp; ")"</f>
        <v>Methane Emissions - Process Emissions (SUP)</v>
      </c>
      <c r="E63" s="303" t="s">
        <v>339</v>
      </c>
      <c r="F63" s="303"/>
      <c r="G63" s="303"/>
      <c r="H63" s="303"/>
      <c r="I63" s="303"/>
      <c r="J63" s="274"/>
      <c r="K63" s="274"/>
      <c r="L63" s="274"/>
    </row>
    <row r="64" spans="2:12">
      <c r="B64" s="312" t="s">
        <v>338</v>
      </c>
      <c r="C64" s="309" t="str">
        <f>CONVENTIONS!$B$4&amp;CONVENTIONS!M15</f>
        <v>SUPN2ON</v>
      </c>
      <c r="D64" s="309" t="str">
        <f>CONVENTIONS!N15 &amp; " (" &amp; CONVENTIONS!$B$4 &amp; ")"</f>
        <v>N2O Emissions - eNergy Emissions (SUP)</v>
      </c>
      <c r="E64" s="303" t="s">
        <v>339</v>
      </c>
      <c r="F64" s="303"/>
      <c r="G64" s="303"/>
      <c r="H64" s="303"/>
      <c r="I64" s="303"/>
      <c r="J64" s="274"/>
      <c r="K64" s="274"/>
      <c r="L64" s="274"/>
    </row>
    <row r="65" spans="2:12">
      <c r="B65" s="312" t="s">
        <v>338</v>
      </c>
      <c r="C65" s="309" t="str">
        <f>CONVENTIONS!$B$4&amp;CONVENTIONS!M16</f>
        <v>SUPSO2N</v>
      </c>
      <c r="D65" s="309" t="str">
        <f>CONVENTIONS!N16 &amp; " (" &amp; CONVENTIONS!$B$4 &amp; ")"</f>
        <v>Sulfur dioxide - eNergy Emissions (SUP)</v>
      </c>
      <c r="E65" s="303" t="s">
        <v>339</v>
      </c>
      <c r="F65" s="303"/>
      <c r="G65" s="303"/>
      <c r="H65" s="303"/>
      <c r="I65" s="303"/>
      <c r="J65" s="274"/>
      <c r="K65" s="274"/>
      <c r="L65" s="274"/>
    </row>
    <row r="66" spans="2:12">
      <c r="B66" s="312" t="s">
        <v>338</v>
      </c>
      <c r="C66" s="309" t="str">
        <f>CONVENTIONS!$B$4&amp;CONVENTIONS!M17</f>
        <v>SUPCO2N</v>
      </c>
      <c r="D66" s="309" t="str">
        <f>CONVENTIONS!N17 &amp; " (" &amp; CONVENTIONS!$B$4 &amp; ")"</f>
        <v>Carbon Dioxide - eNergy Emissions (SUP)</v>
      </c>
      <c r="E66" s="303" t="s">
        <v>339</v>
      </c>
      <c r="F66" s="303"/>
      <c r="G66" s="303"/>
      <c r="H66" s="303"/>
      <c r="I66" s="303"/>
      <c r="J66" s="274"/>
      <c r="K66" s="274"/>
      <c r="L66" s="274"/>
    </row>
    <row r="67" spans="2:12">
      <c r="B67" s="312" t="s">
        <v>338</v>
      </c>
      <c r="C67" s="309" t="str">
        <f>CONVENTIONS!$B$4&amp;CONVENTIONS!M18</f>
        <v>SUPCO2P</v>
      </c>
      <c r="D67" s="309" t="str">
        <f>CONVENTIONS!N18 &amp; " (" &amp; CONVENTIONS!$B$4 &amp; ")"</f>
        <v>Carbon Dioxide - Process Emissions (SUP)</v>
      </c>
      <c r="E67" s="303" t="s">
        <v>339</v>
      </c>
      <c r="F67" s="303"/>
      <c r="G67" s="303"/>
      <c r="H67" s="303"/>
      <c r="I67" s="303"/>
      <c r="J67" s="274"/>
      <c r="K67" s="274"/>
      <c r="L67" s="274"/>
    </row>
    <row r="68" spans="2:12">
      <c r="B68" s="312" t="s">
        <v>338</v>
      </c>
      <c r="C68" s="309" t="str">
        <f>CONVENTIONS!$B$4&amp;CONVENTIONS!M19</f>
        <v>SUPCO2S</v>
      </c>
      <c r="D68" s="309" t="str">
        <f>CONVENTIONS!N19 &amp; " (" &amp; CONVENTIONS!$B$4 &amp; ")"</f>
        <v>Carbon Dioxide - Sequestered (SUP)</v>
      </c>
      <c r="E68" s="303" t="s">
        <v>339</v>
      </c>
      <c r="F68" s="303"/>
      <c r="G68" s="303"/>
      <c r="H68" s="303"/>
      <c r="I68" s="303"/>
    </row>
    <row r="69" spans="2:12">
      <c r="B69" s="312" t="s">
        <v>338</v>
      </c>
      <c r="C69" s="309" t="str">
        <f>CONVENTIONS!$B$4&amp;CONVENTIONS!M20</f>
        <v>SUPNOXN</v>
      </c>
      <c r="D69" s="309" t="str">
        <f>CONVENTIONS!N20 &amp; " (" &amp; CONVENTIONS!$B$4 &amp; ")"</f>
        <v>Nitrogen Oxide  - eNergy Emissions (SUP)</v>
      </c>
      <c r="E69" s="303" t="s">
        <v>339</v>
      </c>
      <c r="F69" s="303"/>
      <c r="G69" s="303"/>
      <c r="H69" s="303"/>
      <c r="I69" s="303"/>
    </row>
    <row r="70" spans="2:12">
      <c r="B70" s="312" t="s">
        <v>338</v>
      </c>
      <c r="C70" s="309" t="str">
        <f>CONVENTIONS!$B$4&amp;CONVENTIONS!M21</f>
        <v>SUPPM10</v>
      </c>
      <c r="D70" s="309" t="str">
        <f>CONVENTIONS!N21 &amp; " (" &amp; CONVENTIONS!$B$4 &amp; ")"</f>
        <v>Particulate Matter &lt;10 µm (SUP)</v>
      </c>
      <c r="E70" s="303" t="s">
        <v>339</v>
      </c>
      <c r="F70" s="303"/>
      <c r="G70" s="303"/>
      <c r="H70" s="303"/>
      <c r="I70" s="303"/>
    </row>
    <row r="71" spans="2:12">
      <c r="B71" s="312" t="s">
        <v>338</v>
      </c>
      <c r="C71" s="309" t="str">
        <f>CONVENTIONS!$B$4&amp;CONVENTIONS!M22</f>
        <v>SUPPM25</v>
      </c>
      <c r="D71" s="309" t="str">
        <f>CONVENTIONS!N22 &amp; " (" &amp; CONVENTIONS!$B$4 &amp; ")"</f>
        <v>Particulate Matter &lt;2.5 µm (SUP)</v>
      </c>
      <c r="E71" s="303" t="s">
        <v>339</v>
      </c>
      <c r="F71" s="303"/>
      <c r="G71" s="303"/>
      <c r="H71" s="303"/>
      <c r="I71" s="303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4" t="s">
        <v>418</v>
      </c>
      <c r="C1" s="305"/>
      <c r="D1" s="305"/>
      <c r="E1" s="305"/>
      <c r="F1" s="305"/>
      <c r="G1" s="305"/>
      <c r="H1" s="305"/>
      <c r="I1" s="305"/>
    </row>
    <row r="3" spans="2:20">
      <c r="B3" s="298" t="s">
        <v>0</v>
      </c>
      <c r="C3" s="299"/>
      <c r="D3" s="299"/>
      <c r="E3" s="299"/>
      <c r="F3" s="299"/>
      <c r="G3" s="299"/>
      <c r="H3" s="299"/>
      <c r="I3" s="299"/>
    </row>
    <row r="4" spans="2:20" ht="15.75" thickBot="1">
      <c r="B4" s="295" t="s">
        <v>1</v>
      </c>
      <c r="C4" s="295" t="s">
        <v>2</v>
      </c>
      <c r="D4" s="295" t="s">
        <v>3</v>
      </c>
      <c r="E4" s="295" t="s">
        <v>4</v>
      </c>
      <c r="F4" s="295" t="s">
        <v>5</v>
      </c>
      <c r="G4" s="295" t="s">
        <v>6</v>
      </c>
      <c r="H4" s="295" t="s">
        <v>7</v>
      </c>
      <c r="I4" s="295" t="s">
        <v>8</v>
      </c>
    </row>
    <row r="5" spans="2:20" s="290" customFormat="1">
      <c r="B5" s="300" t="s">
        <v>168</v>
      </c>
      <c r="C5" s="300" t="s">
        <v>419</v>
      </c>
      <c r="D5" s="300" t="s">
        <v>348</v>
      </c>
      <c r="E5" s="300" t="s">
        <v>420</v>
      </c>
      <c r="F5" s="300" t="s">
        <v>421</v>
      </c>
      <c r="G5" s="300" t="s">
        <v>422</v>
      </c>
      <c r="H5" s="302" t="s">
        <v>423</v>
      </c>
      <c r="I5" s="302" t="s">
        <v>169</v>
      </c>
      <c r="K5"/>
      <c r="L5"/>
      <c r="M5"/>
      <c r="N5"/>
      <c r="O5"/>
      <c r="P5"/>
      <c r="Q5"/>
      <c r="R5"/>
      <c r="S5"/>
      <c r="T5"/>
    </row>
    <row r="6" spans="2:20" s="290" customFormat="1">
      <c r="B6" s="306" t="s">
        <v>474</v>
      </c>
      <c r="C6" s="306"/>
      <c r="D6" s="307"/>
      <c r="E6" s="307"/>
      <c r="F6" s="307"/>
      <c r="G6" s="307"/>
      <c r="H6" s="307"/>
      <c r="I6" s="307"/>
      <c r="K6"/>
      <c r="L6"/>
      <c r="M6"/>
      <c r="N6"/>
      <c r="O6"/>
      <c r="P6"/>
      <c r="Q6"/>
      <c r="R6"/>
      <c r="S6"/>
      <c r="T6"/>
    </row>
    <row r="7" spans="2:20">
      <c r="B7" s="309" t="str">
        <f>CONVENTIONS!K13</f>
        <v>IMP</v>
      </c>
      <c r="C7" s="309" t="str">
        <f>CONVENTIONS!E13</f>
        <v>IMPCOABIT</v>
      </c>
      <c r="D7" s="309" t="str">
        <f>CONVENTIONS!F13</f>
        <v xml:space="preserve">Import of Bituminous Coal </v>
      </c>
      <c r="E7" s="320" t="s">
        <v>10</v>
      </c>
      <c r="F7" s="296" t="s">
        <v>425</v>
      </c>
      <c r="G7" s="296"/>
      <c r="H7" s="321"/>
      <c r="I7" s="296"/>
    </row>
    <row r="8" spans="2:20">
      <c r="B8" s="309" t="str">
        <f>CONVENTIONS!K14</f>
        <v>IMP</v>
      </c>
      <c r="C8" s="309" t="str">
        <f>CONVENTIONS!E14</f>
        <v>IMPCOAHAR</v>
      </c>
      <c r="D8" s="309" t="str">
        <f>CONVENTIONS!F14</f>
        <v xml:space="preserve">Import of Hard Coal / Antracite </v>
      </c>
      <c r="E8" s="320" t="s">
        <v>10</v>
      </c>
      <c r="F8" s="296" t="s">
        <v>425</v>
      </c>
      <c r="G8" s="322"/>
      <c r="H8" s="321"/>
      <c r="I8" s="296"/>
    </row>
    <row r="9" spans="2:20">
      <c r="B9" s="309" t="str">
        <f>CONVENTIONS!K15</f>
        <v>IMP</v>
      </c>
      <c r="C9" s="309" t="str">
        <f>CONVENTIONS!E15</f>
        <v>IMPCOACOK</v>
      </c>
      <c r="D9" s="309" t="str">
        <f>CONVENTIONS!F15</f>
        <v xml:space="preserve">Import of Coke Coal </v>
      </c>
      <c r="E9" s="320" t="s">
        <v>10</v>
      </c>
      <c r="F9" s="296" t="s">
        <v>425</v>
      </c>
      <c r="G9" s="322"/>
      <c r="H9" s="321"/>
      <c r="I9" s="296"/>
    </row>
    <row r="10" spans="2:20">
      <c r="B10" s="309" t="str">
        <f>CONVENTIONS!K16</f>
        <v>IMP</v>
      </c>
      <c r="C10" s="309" t="str">
        <f>CONVENTIONS!E16</f>
        <v>IMPCOALIG</v>
      </c>
      <c r="D10" s="309" t="str">
        <f>CONVENTIONS!F16</f>
        <v xml:space="preserve">Import of Lignite /  Brown Coal </v>
      </c>
      <c r="E10" s="320" t="s">
        <v>10</v>
      </c>
      <c r="F10" s="296" t="s">
        <v>425</v>
      </c>
      <c r="G10" s="322"/>
      <c r="H10" s="321"/>
      <c r="I10" s="296"/>
    </row>
    <row r="11" spans="2:20">
      <c r="B11" s="309" t="str">
        <f>CONVENTIONS!K17</f>
        <v>IMP</v>
      </c>
      <c r="C11" s="309" t="str">
        <f>CONVENTIONS!E17</f>
        <v>IMPOILCRD</v>
      </c>
      <c r="D11" s="309" t="str">
        <f>CONVENTIONS!F17</f>
        <v xml:space="preserve">Import of Crude Oil </v>
      </c>
      <c r="E11" s="320" t="s">
        <v>10</v>
      </c>
      <c r="F11" s="296" t="s">
        <v>425</v>
      </c>
      <c r="G11" s="322"/>
      <c r="H11" s="321"/>
      <c r="I11" s="296"/>
    </row>
    <row r="12" spans="2:20">
      <c r="B12" s="309" t="str">
        <f>CONVENTIONS!K18</f>
        <v>IMP</v>
      </c>
      <c r="C12" s="309" t="str">
        <f>CONVENTIONS!E18</f>
        <v>IMPOILKER</v>
      </c>
      <c r="D12" s="309" t="str">
        <f>CONVENTIONS!F18</f>
        <v xml:space="preserve">Import of Kerosene </v>
      </c>
      <c r="E12" s="320" t="s">
        <v>10</v>
      </c>
      <c r="F12" s="296" t="s">
        <v>425</v>
      </c>
      <c r="G12" s="322"/>
      <c r="H12" s="321"/>
      <c r="I12" s="296"/>
    </row>
    <row r="13" spans="2:20">
      <c r="B13" s="309" t="str">
        <f>CONVENTIONS!K19</f>
        <v>IMP</v>
      </c>
      <c r="C13" s="309" t="str">
        <f>CONVENTIONS!E19</f>
        <v>IMPOILHFO</v>
      </c>
      <c r="D13" s="309" t="str">
        <f>CONVENTIONS!F19</f>
        <v xml:space="preserve">Import of Heavy Fuel Oil </v>
      </c>
      <c r="E13" s="320" t="s">
        <v>10</v>
      </c>
      <c r="F13" s="296" t="s">
        <v>425</v>
      </c>
      <c r="G13" s="322"/>
      <c r="H13" s="321"/>
      <c r="I13" s="296"/>
    </row>
    <row r="14" spans="2:20">
      <c r="B14" s="309" t="str">
        <f>CONVENTIONS!K20</f>
        <v>IMP</v>
      </c>
      <c r="C14" s="309" t="str">
        <f>CONVENTIONS!E20</f>
        <v>IMPOILDST</v>
      </c>
      <c r="D14" s="309" t="str">
        <f>CONVENTIONS!F20</f>
        <v xml:space="preserve">Import of Diesel Oil </v>
      </c>
      <c r="E14" s="320" t="s">
        <v>10</v>
      </c>
      <c r="F14" s="296" t="s">
        <v>425</v>
      </c>
      <c r="G14" s="322"/>
      <c r="H14" s="321"/>
      <c r="I14" s="296"/>
    </row>
    <row r="15" spans="2:20">
      <c r="B15" s="309" t="str">
        <f>CONVENTIONS!K21</f>
        <v>IMP</v>
      </c>
      <c r="C15" s="309" t="str">
        <f>CONVENTIONS!E21</f>
        <v>IMPOILLPG</v>
      </c>
      <c r="D15" s="309" t="str">
        <f>CONVENTIONS!F21</f>
        <v xml:space="preserve">Import of Liquified Petroleum Gas </v>
      </c>
      <c r="E15" s="323" t="s">
        <v>10</v>
      </c>
      <c r="F15" s="296" t="s">
        <v>425</v>
      </c>
      <c r="G15" s="322"/>
      <c r="H15" s="321"/>
      <c r="I15" s="296"/>
    </row>
    <row r="16" spans="2:20">
      <c r="B16" s="309" t="str">
        <f>CONVENTIONS!K22</f>
        <v>IMP</v>
      </c>
      <c r="C16" s="309" t="str">
        <f>CONVENTIONS!E22</f>
        <v>IMPOILGSL</v>
      </c>
      <c r="D16" s="309" t="str">
        <f>CONVENTIONS!F22</f>
        <v xml:space="preserve">Import of Gasoline </v>
      </c>
      <c r="E16" s="320" t="s">
        <v>10</v>
      </c>
      <c r="F16" s="296" t="s">
        <v>425</v>
      </c>
      <c r="G16" s="322"/>
      <c r="H16" s="321"/>
      <c r="I16" s="296"/>
    </row>
    <row r="17" spans="2:12">
      <c r="B17" s="309" t="str">
        <f>CONVENTIONS!K23</f>
        <v>IMP</v>
      </c>
      <c r="C17" s="309" t="str">
        <f>CONVENTIONS!E23</f>
        <v>IMPOILCOK</v>
      </c>
      <c r="D17" s="309" t="str">
        <f>CONVENTIONS!F23</f>
        <v xml:space="preserve">Import of Petroleum Coke </v>
      </c>
      <c r="E17" s="323" t="s">
        <v>10</v>
      </c>
      <c r="F17" s="296" t="s">
        <v>425</v>
      </c>
      <c r="G17" s="296"/>
      <c r="H17" s="296"/>
      <c r="I17" s="296"/>
    </row>
    <row r="18" spans="2:12">
      <c r="B18" s="309" t="str">
        <f>CONVENTIONS!K24</f>
        <v>IMP</v>
      </c>
      <c r="C18" s="309" t="str">
        <f>CONVENTIONS!E24</f>
        <v>IMPOILNEU</v>
      </c>
      <c r="D18" s="309" t="str">
        <f>CONVENTIONS!F24</f>
        <v>Import of Oil for Non-Energy uses</v>
      </c>
      <c r="E18" s="317" t="s">
        <v>10</v>
      </c>
      <c r="F18" s="296" t="s">
        <v>425</v>
      </c>
      <c r="G18" s="321"/>
      <c r="H18" s="321"/>
      <c r="I18" s="324"/>
    </row>
    <row r="19" spans="2:12">
      <c r="B19" s="309" t="str">
        <f>CONVENTIONS!K25</f>
        <v>IMP</v>
      </c>
      <c r="C19" s="309" t="str">
        <f>CONVENTIONS!E25</f>
        <v>IMPGASNAT_UK</v>
      </c>
      <c r="D19" s="309" t="str">
        <f>CONVENTIONS!F25</f>
        <v>Import of Natural Gas  - UK</v>
      </c>
      <c r="E19" s="323" t="s">
        <v>10</v>
      </c>
      <c r="F19" s="296" t="s">
        <v>425</v>
      </c>
      <c r="G19" s="322" t="s">
        <v>73</v>
      </c>
      <c r="H19" s="321"/>
      <c r="I19" s="324"/>
    </row>
    <row r="20" spans="2:12">
      <c r="B20" s="309" t="str">
        <f>CONVENTIONS!K26</f>
        <v>IMP</v>
      </c>
      <c r="C20" s="309" t="str">
        <f>CONVENTIONS!E26</f>
        <v>IMPGASLNG_GLOBAL</v>
      </c>
      <c r="D20" s="309" t="str">
        <f>CONVENTIONS!F26</f>
        <v xml:space="preserve">Import of Liquified Natural Gas </v>
      </c>
      <c r="E20" s="323" t="s">
        <v>10</v>
      </c>
      <c r="F20" s="296" t="s">
        <v>425</v>
      </c>
      <c r="G20" s="322" t="s">
        <v>73</v>
      </c>
      <c r="H20" s="321"/>
      <c r="I20" s="296"/>
    </row>
    <row r="21" spans="2:12">
      <c r="B21" s="309" t="str">
        <f>CONVENTIONS!K27</f>
        <v>IMP</v>
      </c>
      <c r="C21" s="309" t="str">
        <f>CONVENTIONS!E27</f>
        <v>IMPNUCURM</v>
      </c>
      <c r="D21" s="309" t="str">
        <f>CONVENTIONS!F27</f>
        <v>Import of Uranium</v>
      </c>
      <c r="E21" s="323" t="s">
        <v>10</v>
      </c>
      <c r="F21" s="296" t="s">
        <v>425</v>
      </c>
      <c r="G21" s="321"/>
      <c r="H21" s="321"/>
      <c r="I21" s="324"/>
      <c r="L21" s="294"/>
    </row>
    <row r="22" spans="2:12">
      <c r="B22" s="306" t="s">
        <v>475</v>
      </c>
      <c r="C22" s="306"/>
      <c r="D22" s="307"/>
      <c r="E22" s="307"/>
      <c r="F22" s="307"/>
      <c r="G22" s="307"/>
      <c r="H22" s="307"/>
      <c r="I22" s="307"/>
    </row>
    <row r="23" spans="2:12" s="294" customFormat="1">
      <c r="B23" s="309" t="str">
        <f>CONVENTIONS!K28</f>
        <v>IMP</v>
      </c>
      <c r="C23" s="309" t="str">
        <f>CONVENTIONS!E28</f>
        <v>IMPBIOETH1G_S1</v>
      </c>
      <c r="D23" s="309" t="str">
        <f>CONVENTIONS!F28</f>
        <v>Import of Ethanol 1st generation  - Step 1</v>
      </c>
      <c r="E23" s="320" t="s">
        <v>10</v>
      </c>
      <c r="F23" s="296" t="s">
        <v>425</v>
      </c>
      <c r="G23" s="325"/>
      <c r="H23" s="326"/>
      <c r="I23" s="327"/>
    </row>
    <row r="24" spans="2:12" s="294" customFormat="1">
      <c r="B24" s="309" t="str">
        <f>CONVENTIONS!K29</f>
        <v>IMP</v>
      </c>
      <c r="C24" s="309" t="str">
        <f>CONVENTIONS!E29</f>
        <v>IMPBIOETH1G_S2</v>
      </c>
      <c r="D24" s="309" t="str">
        <f>CONVENTIONS!F29</f>
        <v>Import of Ethanol 1st generation  - Step 2</v>
      </c>
      <c r="E24" s="320" t="s">
        <v>10</v>
      </c>
      <c r="F24" s="296" t="s">
        <v>425</v>
      </c>
      <c r="G24" s="325"/>
      <c r="H24" s="326"/>
      <c r="I24" s="327"/>
    </row>
    <row r="25" spans="2:12" s="294" customFormat="1">
      <c r="B25" s="309" t="str">
        <f>CONVENTIONS!K30</f>
        <v>IMP</v>
      </c>
      <c r="C25" s="309" t="str">
        <f>CONVENTIONS!E30</f>
        <v>IMPBIOETH1G_S3</v>
      </c>
      <c r="D25" s="309" t="str">
        <f>CONVENTIONS!F30</f>
        <v>Import of Ethanol 1st generation  - Step 3</v>
      </c>
      <c r="E25" s="320" t="s">
        <v>10</v>
      </c>
      <c r="F25" s="296" t="s">
        <v>425</v>
      </c>
      <c r="G25" s="325"/>
      <c r="H25" s="326"/>
      <c r="I25" s="327"/>
    </row>
    <row r="26" spans="2:12" s="294" customFormat="1">
      <c r="B26" s="309" t="str">
        <f>CONVENTIONS!K31</f>
        <v>IMP</v>
      </c>
      <c r="C26" s="309" t="str">
        <f>CONVENTIONS!E31</f>
        <v>IMPBIOETH1G_S4</v>
      </c>
      <c r="D26" s="309" t="str">
        <f>CONVENTIONS!F31</f>
        <v>Import of Ethanol 1st generation  - Step 4</v>
      </c>
      <c r="E26" s="320" t="s">
        <v>10</v>
      </c>
      <c r="F26" s="296" t="s">
        <v>425</v>
      </c>
      <c r="G26" s="316"/>
      <c r="H26" s="326"/>
      <c r="I26" s="316"/>
    </row>
    <row r="27" spans="2:12" s="294" customFormat="1">
      <c r="B27" s="309" t="str">
        <f>CONVENTIONS!K32</f>
        <v>IMP</v>
      </c>
      <c r="C27" s="309" t="str">
        <f>CONVENTIONS!E32</f>
        <v>IMPBIODST1G_S1</v>
      </c>
      <c r="D27" s="309" t="str">
        <f>CONVENTIONS!F32</f>
        <v>Import of Biodiesel 1st generation  - Step 1</v>
      </c>
      <c r="E27" s="320" t="s">
        <v>10</v>
      </c>
      <c r="F27" s="296" t="s">
        <v>425</v>
      </c>
      <c r="G27" s="316"/>
      <c r="H27" s="326"/>
      <c r="I27" s="316"/>
    </row>
    <row r="28" spans="2:12" s="294" customFormat="1">
      <c r="B28" s="309" t="str">
        <f>CONVENTIONS!K33</f>
        <v>IMP</v>
      </c>
      <c r="C28" s="309" t="str">
        <f>CONVENTIONS!E33</f>
        <v>IMPBIODST1G_S2</v>
      </c>
      <c r="D28" s="309" t="str">
        <f>CONVENTIONS!F33</f>
        <v>Import of Biodiesel 1st generation  - Step 2</v>
      </c>
      <c r="E28" s="320" t="s">
        <v>10</v>
      </c>
      <c r="F28" s="296" t="s">
        <v>425</v>
      </c>
      <c r="G28" s="316"/>
      <c r="H28" s="326"/>
      <c r="I28" s="316"/>
    </row>
    <row r="29" spans="2:12" s="294" customFormat="1">
      <c r="B29" s="309" t="str">
        <f>CONVENTIONS!K34</f>
        <v>IMP</v>
      </c>
      <c r="C29" s="309" t="str">
        <f>CONVENTIONS!E34</f>
        <v>IMPBIODST1G_S3</v>
      </c>
      <c r="D29" s="309" t="str">
        <f>CONVENTIONS!F34</f>
        <v>Import of Biodiesel 1st generation  - Step 3</v>
      </c>
      <c r="E29" s="320" t="s">
        <v>10</v>
      </c>
      <c r="F29" s="296" t="s">
        <v>425</v>
      </c>
      <c r="G29" s="316"/>
      <c r="H29" s="326"/>
      <c r="I29" s="316"/>
    </row>
    <row r="30" spans="2:12" s="294" customFormat="1">
      <c r="B30" s="309" t="str">
        <f>CONVENTIONS!K35</f>
        <v>IMP</v>
      </c>
      <c r="C30" s="309" t="str">
        <f>CONVENTIONS!E35</f>
        <v>IMPBIODST1G_S4</v>
      </c>
      <c r="D30" s="309" t="str">
        <f>CONVENTIONS!F35</f>
        <v>Import of Biodiesel 1st generation  - Step 4</v>
      </c>
      <c r="E30" s="320" t="s">
        <v>10</v>
      </c>
      <c r="F30" s="296" t="s">
        <v>425</v>
      </c>
      <c r="G30" s="316"/>
      <c r="H30" s="326"/>
      <c r="I30" s="316"/>
    </row>
    <row r="31" spans="2:12" s="294" customFormat="1">
      <c r="B31" s="309" t="str">
        <f>CONVENTIONS!K36</f>
        <v>IMP</v>
      </c>
      <c r="C31" s="309" t="str">
        <f>CONVENTIONS!E36</f>
        <v>IMPBIOWPE_S1</v>
      </c>
      <c r="D31" s="309" t="str">
        <f>CONVENTIONS!F36</f>
        <v>Import of Wood Pellets  - Step 1</v>
      </c>
      <c r="E31" s="320" t="s">
        <v>10</v>
      </c>
      <c r="F31" s="296" t="s">
        <v>425</v>
      </c>
      <c r="G31" s="316"/>
      <c r="H31" s="326"/>
      <c r="I31" s="316"/>
    </row>
    <row r="32" spans="2:12" s="294" customFormat="1">
      <c r="B32" s="309" t="str">
        <f>CONVENTIONS!K37</f>
        <v>IMP</v>
      </c>
      <c r="C32" s="309" t="str">
        <f>CONVENTIONS!E37</f>
        <v>IMPBIOWPE_S2</v>
      </c>
      <c r="D32" s="309" t="str">
        <f>CONVENTIONS!F37</f>
        <v>Import of Wood Pellets  - Step 2</v>
      </c>
      <c r="E32" s="323" t="s">
        <v>10</v>
      </c>
      <c r="F32" s="296" t="s">
        <v>425</v>
      </c>
      <c r="G32" s="316"/>
      <c r="H32" s="326"/>
      <c r="I32" s="316"/>
    </row>
    <row r="33" spans="2:22" s="294" customFormat="1">
      <c r="B33" s="309" t="str">
        <f>CONVENTIONS!K38</f>
        <v>IMP</v>
      </c>
      <c r="C33" s="309" t="str">
        <f>CONVENTIONS!E38</f>
        <v>IMPBIOWPE_S3</v>
      </c>
      <c r="D33" s="309" t="str">
        <f>CONVENTIONS!F38</f>
        <v>Import of Wood Pellets  - Step 3</v>
      </c>
      <c r="E33" s="320" t="s">
        <v>10</v>
      </c>
      <c r="F33" s="296" t="s">
        <v>425</v>
      </c>
      <c r="G33" s="316"/>
      <c r="H33" s="326"/>
      <c r="I33" s="316"/>
    </row>
    <row r="34" spans="2:22" s="294" customFormat="1">
      <c r="B34" s="309" t="str">
        <f>CONVENTIONS!K39</f>
        <v>IMP</v>
      </c>
      <c r="C34" s="309" t="str">
        <f>CONVENTIONS!E39</f>
        <v>IMPBIOWPE_S4</v>
      </c>
      <c r="D34" s="309" t="str">
        <f>CONVENTIONS!F39</f>
        <v>Import of Wood Pellets  - Step 4</v>
      </c>
      <c r="E34" s="323" t="s">
        <v>10</v>
      </c>
      <c r="F34" s="296" t="s">
        <v>425</v>
      </c>
      <c r="G34" s="317"/>
      <c r="H34" s="326"/>
      <c r="I34" s="317"/>
      <c r="K34"/>
      <c r="L34"/>
      <c r="M34"/>
      <c r="N34"/>
      <c r="O34"/>
      <c r="P34"/>
      <c r="Q34"/>
      <c r="R34"/>
      <c r="S34"/>
      <c r="T34"/>
      <c r="U34"/>
      <c r="V34"/>
    </row>
    <row r="35" spans="2:22" s="294" customFormat="1">
      <c r="B35" s="309" t="str">
        <f>CONVENTIONS!K40</f>
        <v>IMP</v>
      </c>
      <c r="C35" s="309" t="str">
        <f>CONVENTIONS!E40</f>
        <v>IMPBIOWCH_S1</v>
      </c>
      <c r="D35" s="309" t="str">
        <f>CONVENTIONS!F40</f>
        <v>Import of Wood Chip  - Step 1</v>
      </c>
      <c r="E35" s="317" t="s">
        <v>10</v>
      </c>
      <c r="F35" s="296" t="s">
        <v>425</v>
      </c>
      <c r="G35" s="317"/>
      <c r="H35" s="326"/>
      <c r="I35" s="317"/>
      <c r="K35"/>
      <c r="L35"/>
      <c r="M35"/>
      <c r="N35"/>
      <c r="O35"/>
      <c r="P35"/>
      <c r="Q35"/>
      <c r="R35"/>
      <c r="S35"/>
      <c r="T35"/>
      <c r="U35"/>
      <c r="V35"/>
    </row>
    <row r="36" spans="2:22" s="294" customFormat="1">
      <c r="B36" s="309" t="str">
        <f>CONVENTIONS!K41</f>
        <v>IMP</v>
      </c>
      <c r="C36" s="309" t="str">
        <f>CONVENTIONS!E41</f>
        <v>IMPBIOWCH_S2</v>
      </c>
      <c r="D36" s="309" t="str">
        <f>CONVENTIONS!F41</f>
        <v>Import of Wood Chip  - Step 2</v>
      </c>
      <c r="E36" s="323" t="s">
        <v>10</v>
      </c>
      <c r="F36" s="296" t="s">
        <v>425</v>
      </c>
      <c r="G36" s="317"/>
      <c r="H36" s="326"/>
      <c r="I36" s="317"/>
      <c r="K36"/>
      <c r="L36"/>
      <c r="M36"/>
      <c r="N36"/>
      <c r="O36"/>
      <c r="P36"/>
      <c r="Q36"/>
      <c r="R36"/>
      <c r="S36"/>
      <c r="T36"/>
      <c r="U36"/>
      <c r="V36"/>
    </row>
    <row r="37" spans="2:22" s="294" customFormat="1">
      <c r="B37" s="309" t="str">
        <f>CONVENTIONS!K42</f>
        <v>IMP</v>
      </c>
      <c r="C37" s="309" t="str">
        <f>CONVENTIONS!E42</f>
        <v>IMPBIOWCH_S3</v>
      </c>
      <c r="D37" s="309" t="str">
        <f>CONVENTIONS!F42</f>
        <v>Import of Wood Chip  - Step 3</v>
      </c>
      <c r="E37" s="323" t="s">
        <v>10</v>
      </c>
      <c r="F37" s="296" t="s">
        <v>425</v>
      </c>
      <c r="G37" s="317"/>
      <c r="H37" s="326"/>
      <c r="I37" s="317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09" t="str">
        <f>CONVENTIONS!K43</f>
        <v>IMP</v>
      </c>
      <c r="C38" s="309" t="str">
        <f>CONVENTIONS!E43</f>
        <v>IMPBIOWCH_S4</v>
      </c>
      <c r="D38" s="309" t="str">
        <f>CONVENTIONS!F43</f>
        <v>Import of Wood Chip  - Step 4</v>
      </c>
      <c r="E38" s="323" t="s">
        <v>10</v>
      </c>
      <c r="F38" s="296" t="s">
        <v>425</v>
      </c>
      <c r="G38" s="317"/>
      <c r="H38" s="328"/>
      <c r="I38" s="317"/>
    </row>
    <row r="39" spans="2:22" s="294" customFormat="1">
      <c r="B39" s="306" t="s">
        <v>476</v>
      </c>
      <c r="C39" s="306"/>
      <c r="D39" s="307"/>
      <c r="E39" s="307"/>
      <c r="F39" s="307"/>
      <c r="G39" s="307"/>
      <c r="H39" s="307"/>
      <c r="I39" s="307"/>
      <c r="K39"/>
      <c r="L39"/>
      <c r="M39"/>
      <c r="N39"/>
      <c r="O39"/>
      <c r="P39"/>
      <c r="Q39"/>
      <c r="R39"/>
      <c r="S39"/>
      <c r="T39"/>
      <c r="U39"/>
      <c r="V39"/>
    </row>
    <row r="40" spans="2:22" s="294" customFormat="1">
      <c r="B40" s="309" t="str">
        <f>CONVENTIONS!K44</f>
        <v>MIN</v>
      </c>
      <c r="C40" s="309" t="str">
        <f>CONVENTIONS!E44</f>
        <v>MINGASNAT_S1</v>
      </c>
      <c r="D40" s="309" t="str">
        <f>CONVENTIONS!F44</f>
        <v>Domestic Potential of Natural Gas  - Step 1</v>
      </c>
      <c r="E40" s="320" t="s">
        <v>10</v>
      </c>
      <c r="F40" s="296" t="s">
        <v>425</v>
      </c>
      <c r="G40" s="316" t="s">
        <v>73</v>
      </c>
      <c r="H40" s="326"/>
      <c r="I40" s="316"/>
      <c r="K40"/>
      <c r="L40"/>
      <c r="M40"/>
      <c r="N40"/>
      <c r="O40"/>
      <c r="P40"/>
      <c r="Q40"/>
      <c r="R40"/>
      <c r="S40"/>
      <c r="T40"/>
      <c r="U40"/>
      <c r="V40"/>
    </row>
    <row r="41" spans="2:22" s="294" customFormat="1">
      <c r="B41" s="309" t="str">
        <f>CONVENTIONS!K45</f>
        <v>MIN</v>
      </c>
      <c r="C41" s="309" t="str">
        <f>CONVENTIONS!E45</f>
        <v>MINGASNAT_S2</v>
      </c>
      <c r="D41" s="309" t="str">
        <f>CONVENTIONS!F45</f>
        <v>Domestic Potential of Natural Gas  - Step 2</v>
      </c>
      <c r="E41" s="320" t="s">
        <v>10</v>
      </c>
      <c r="F41" s="296" t="s">
        <v>425</v>
      </c>
      <c r="G41" s="316" t="s">
        <v>73</v>
      </c>
      <c r="H41" s="326"/>
      <c r="I41" s="316"/>
      <c r="K41"/>
      <c r="L41"/>
      <c r="M41"/>
      <c r="N41"/>
      <c r="O41"/>
      <c r="P41"/>
      <c r="Q41"/>
      <c r="R41"/>
      <c r="S41"/>
      <c r="T41"/>
      <c r="U41"/>
      <c r="V41"/>
    </row>
    <row r="42" spans="2:22" s="294" customFormat="1">
      <c r="B42" s="309" t="str">
        <f>CONVENTIONS!K46</f>
        <v>MIN</v>
      </c>
      <c r="C42" s="309" t="str">
        <f>CONVENTIONS!E46</f>
        <v>MINPEAT_S1</v>
      </c>
      <c r="D42" s="309" t="str">
        <f>CONVENTIONS!F46</f>
        <v>Domestic Potential of Peat  - Step 1</v>
      </c>
      <c r="E42" s="320" t="s">
        <v>10</v>
      </c>
      <c r="F42" s="296" t="s">
        <v>425</v>
      </c>
      <c r="G42" s="316"/>
      <c r="H42" s="326"/>
      <c r="I42" s="316"/>
      <c r="K42"/>
      <c r="L42"/>
      <c r="M42"/>
      <c r="N42"/>
      <c r="O42"/>
      <c r="P42"/>
      <c r="Q42"/>
      <c r="R42"/>
      <c r="S42"/>
      <c r="T42"/>
      <c r="U42"/>
      <c r="V42"/>
    </row>
    <row r="43" spans="2:22" s="294" customFormat="1">
      <c r="B43" s="309" t="str">
        <f>CONVENTIONS!K47</f>
        <v>MIN</v>
      </c>
      <c r="C43" s="309" t="str">
        <f>CONVENTIONS!E47</f>
        <v>MINPEAT_S2</v>
      </c>
      <c r="D43" s="309" t="str">
        <f>CONVENTIONS!F47</f>
        <v>Domestic Potential of Peat  - Step 2</v>
      </c>
      <c r="E43" s="323" t="s">
        <v>10</v>
      </c>
      <c r="F43" s="296" t="s">
        <v>425</v>
      </c>
      <c r="G43" s="316"/>
      <c r="H43" s="326"/>
      <c r="I43" s="316"/>
      <c r="K43"/>
      <c r="L43"/>
      <c r="M43"/>
      <c r="N43"/>
      <c r="O43"/>
      <c r="P43"/>
      <c r="Q43"/>
      <c r="R43"/>
      <c r="S43"/>
      <c r="T43"/>
      <c r="U43"/>
      <c r="V43"/>
    </row>
    <row r="44" spans="2:22" s="294" customFormat="1">
      <c r="B44" s="309" t="str">
        <f>CONVENTIONS!K48</f>
        <v>MIN</v>
      </c>
      <c r="C44" s="309" t="str">
        <f>CONVENTIONS!E48</f>
        <v>MINRENHYD</v>
      </c>
      <c r="D44" s="309" t="str">
        <f>CONVENTIONS!F48</f>
        <v xml:space="preserve">Domestic Potential of Hydro </v>
      </c>
      <c r="E44" s="320" t="s">
        <v>10</v>
      </c>
      <c r="F44" s="296" t="s">
        <v>425</v>
      </c>
      <c r="G44" s="316"/>
      <c r="H44" s="326"/>
      <c r="I44" s="316"/>
      <c r="K44"/>
      <c r="L44"/>
      <c r="M44"/>
      <c r="N44"/>
      <c r="O44"/>
      <c r="P44"/>
      <c r="Q44"/>
      <c r="R44"/>
      <c r="S44"/>
      <c r="T44"/>
      <c r="U44"/>
      <c r="V44"/>
    </row>
    <row r="45" spans="2:22" s="294" customFormat="1">
      <c r="B45" s="309" t="str">
        <f>CONVENTIONS!K49</f>
        <v>MIN</v>
      </c>
      <c r="C45" s="309" t="str">
        <f>CONVENTIONS!E49</f>
        <v>MINRENWIN</v>
      </c>
      <c r="D45" s="309" t="str">
        <f>CONVENTIONS!F49</f>
        <v xml:space="preserve">Domestic Potential of Wind </v>
      </c>
      <c r="E45" s="323" t="s">
        <v>10</v>
      </c>
      <c r="F45" s="296" t="s">
        <v>425</v>
      </c>
      <c r="G45" s="317"/>
      <c r="H45" s="326"/>
      <c r="I45" s="317"/>
      <c r="K45"/>
      <c r="L45"/>
      <c r="M45"/>
      <c r="N45"/>
      <c r="O45"/>
      <c r="P45"/>
      <c r="Q45"/>
      <c r="R45"/>
      <c r="S45"/>
      <c r="T45"/>
      <c r="U45"/>
      <c r="V45"/>
    </row>
    <row r="46" spans="2:22" s="294" customFormat="1">
      <c r="B46" s="309" t="str">
        <f>CONVENTIONS!K50</f>
        <v>MIN</v>
      </c>
      <c r="C46" s="309" t="str">
        <f>CONVENTIONS!E50</f>
        <v>MINRENSOL</v>
      </c>
      <c r="D46" s="309" t="str">
        <f>CONVENTIONS!F50</f>
        <v xml:space="preserve">Domestic Potential of Solar </v>
      </c>
      <c r="E46" s="317" t="s">
        <v>10</v>
      </c>
      <c r="F46" s="296" t="s">
        <v>425</v>
      </c>
      <c r="G46" s="317"/>
      <c r="H46" s="326"/>
      <c r="I46" s="317"/>
    </row>
    <row r="47" spans="2:22" s="294" customFormat="1">
      <c r="B47" s="309" t="str">
        <f>CONVENTIONS!K51</f>
        <v>MIN</v>
      </c>
      <c r="C47" s="309" t="str">
        <f>CONVENTIONS!E51</f>
        <v>MINMSWAS</v>
      </c>
      <c r="D47" s="309" t="str">
        <f>CONVENTIONS!F51</f>
        <v xml:space="preserve">Domestic Potential of Municipal Solid Waste </v>
      </c>
      <c r="E47" s="323" t="s">
        <v>10</v>
      </c>
      <c r="F47" s="296" t="s">
        <v>425</v>
      </c>
      <c r="G47" s="317"/>
      <c r="H47" s="326"/>
      <c r="I47" s="317"/>
    </row>
    <row r="48" spans="2:22" s="294" customFormat="1">
      <c r="B48" s="309" t="str">
        <f>CONVENTIONS!K52</f>
        <v>MIN</v>
      </c>
      <c r="C48" s="309" t="str">
        <f>CONVENTIONS!E52</f>
        <v>MINRENOCE</v>
      </c>
      <c r="D48" s="309" t="str">
        <f>CONVENTIONS!F52</f>
        <v xml:space="preserve">Domestic Potential of Ocean </v>
      </c>
      <c r="E48" s="323" t="s">
        <v>10</v>
      </c>
      <c r="F48" s="296" t="s">
        <v>425</v>
      </c>
      <c r="G48" s="317"/>
      <c r="H48" s="326"/>
      <c r="I48" s="317"/>
      <c r="L48"/>
      <c r="M48"/>
      <c r="N48"/>
      <c r="O48"/>
      <c r="P48"/>
      <c r="Q48"/>
      <c r="R48"/>
      <c r="S48"/>
    </row>
    <row r="49" spans="2:19" s="294" customFormat="1">
      <c r="B49" s="309" t="str">
        <f>CONVENTIONS!K53</f>
        <v>MIN</v>
      </c>
      <c r="C49" s="309" t="str">
        <f>CONVENTIONS!E53</f>
        <v>MINRENGEO</v>
      </c>
      <c r="D49" s="309" t="str">
        <f>CONVENTIONS!F53</f>
        <v xml:space="preserve">Domestic Potential of Geothermal </v>
      </c>
      <c r="E49" s="323" t="s">
        <v>10</v>
      </c>
      <c r="F49" s="296" t="s">
        <v>425</v>
      </c>
      <c r="G49" s="317"/>
      <c r="H49" s="328"/>
      <c r="I49" s="317"/>
      <c r="L49"/>
      <c r="M49"/>
      <c r="N49"/>
      <c r="O49"/>
      <c r="P49"/>
      <c r="Q49"/>
      <c r="R49"/>
      <c r="S49"/>
    </row>
    <row r="50" spans="2:19">
      <c r="B50" s="309" t="str">
        <f>CONVENTIONS!K54</f>
        <v>MIN</v>
      </c>
      <c r="C50" s="309" t="str">
        <f>CONVENTIONS!E54</f>
        <v>MINBIOWOO1_S1</v>
      </c>
      <c r="D50" s="309" t="str">
        <f>CONVENTIONS!F54</f>
        <v>Domestic Potential of Sawmill residues - Step 1</v>
      </c>
      <c r="E50" s="323" t="s">
        <v>10</v>
      </c>
      <c r="F50" s="296" t="s">
        <v>425</v>
      </c>
      <c r="G50" s="296"/>
      <c r="H50" s="296"/>
      <c r="I50" s="296"/>
    </row>
    <row r="51" spans="2:19">
      <c r="B51" s="309" t="str">
        <f>CONVENTIONS!K55</f>
        <v>MIN</v>
      </c>
      <c r="C51" s="309" t="str">
        <f>CONVENTIONS!E55</f>
        <v>MINBIOWOO1_S2</v>
      </c>
      <c r="D51" s="309" t="str">
        <f>CONVENTIONS!F55</f>
        <v>Domestic Potential of Sawmill residues - Step 2</v>
      </c>
      <c r="E51" s="323" t="s">
        <v>10</v>
      </c>
      <c r="F51" s="296" t="s">
        <v>425</v>
      </c>
      <c r="G51" s="296"/>
      <c r="H51" s="296"/>
      <c r="I51" s="296"/>
      <c r="L51" s="197"/>
      <c r="P51" s="197"/>
      <c r="Q51" s="197"/>
      <c r="R51" s="197"/>
      <c r="S51" s="197"/>
    </row>
    <row r="52" spans="2:19">
      <c r="B52" s="309" t="str">
        <f>CONVENTIONS!K56</f>
        <v>MIN</v>
      </c>
      <c r="C52" s="309" t="str">
        <f>CONVENTIONS!E56</f>
        <v>MINBIOWOO1_S3</v>
      </c>
      <c r="D52" s="309" t="str">
        <f>CONVENTIONS!F56</f>
        <v>Domestic Potential of Sawmill residues - Step 3</v>
      </c>
      <c r="E52" s="323" t="s">
        <v>10</v>
      </c>
      <c r="F52" s="296" t="s">
        <v>425</v>
      </c>
      <c r="G52" s="296"/>
      <c r="H52" s="296"/>
      <c r="I52" s="296"/>
      <c r="L52" s="39"/>
      <c r="P52" s="197"/>
      <c r="Q52" s="197"/>
      <c r="R52" s="197"/>
      <c r="S52" s="197"/>
    </row>
    <row r="53" spans="2:19">
      <c r="B53" s="309" t="str">
        <f>CONVENTIONS!K57</f>
        <v>MIN</v>
      </c>
      <c r="C53" s="309" t="str">
        <f>CONVENTIONS!E57</f>
        <v>MINBIOWOO2_S1</v>
      </c>
      <c r="D53" s="309" t="str">
        <f>CONVENTIONS!F57</f>
        <v>Domestic Potential of Post-Consumer Recycled Wood - Step 1</v>
      </c>
      <c r="E53" s="323" t="s">
        <v>10</v>
      </c>
      <c r="F53" s="296" t="s">
        <v>425</v>
      </c>
      <c r="G53" s="296"/>
      <c r="H53" s="296"/>
      <c r="I53" s="296"/>
      <c r="L53" s="39"/>
      <c r="P53" s="197"/>
      <c r="Q53" s="197"/>
      <c r="R53" s="196"/>
      <c r="S53" s="196"/>
    </row>
    <row r="54" spans="2:19">
      <c r="B54" s="309" t="str">
        <f>CONVENTIONS!K58</f>
        <v>MIN</v>
      </c>
      <c r="C54" s="309" t="str">
        <f>CONVENTIONS!E58</f>
        <v>MINBIOWOO2_S2</v>
      </c>
      <c r="D54" s="309" t="str">
        <f>CONVENTIONS!F58</f>
        <v>Domestic Potential of Post-Consumer Recycled Wood - Step 2</v>
      </c>
      <c r="E54" s="323" t="s">
        <v>10</v>
      </c>
      <c r="F54" s="296" t="s">
        <v>425</v>
      </c>
      <c r="G54" s="296"/>
      <c r="H54" s="296"/>
      <c r="I54" s="296"/>
      <c r="L54" s="197"/>
      <c r="P54" s="197"/>
      <c r="Q54" s="197"/>
      <c r="R54" s="196"/>
      <c r="S54" s="196"/>
    </row>
    <row r="55" spans="2:19">
      <c r="B55" s="309" t="str">
        <f>CONVENTIONS!K59</f>
        <v>MIN</v>
      </c>
      <c r="C55" s="309" t="str">
        <f>CONVENTIONS!E59</f>
        <v>MINBIOWOO2_S3</v>
      </c>
      <c r="D55" s="309" t="str">
        <f>CONVENTIONS!F59</f>
        <v>Domestic Potential of Post-Consumer Recycled Wood - Step 3</v>
      </c>
      <c r="E55" s="323" t="s">
        <v>10</v>
      </c>
      <c r="F55" s="296" t="s">
        <v>425</v>
      </c>
      <c r="G55" s="296"/>
      <c r="H55" s="296"/>
      <c r="I55" s="296"/>
    </row>
    <row r="56" spans="2:19">
      <c r="B56" s="309" t="str">
        <f>CONVENTIONS!K60</f>
        <v>MIN</v>
      </c>
      <c r="C56" s="309" t="str">
        <f>CONVENTIONS!E60</f>
        <v>MINBIOWOO3_S1</v>
      </c>
      <c r="D56" s="309" t="str">
        <f>CONVENTIONS!F60</f>
        <v>Domestic Potential of Straw - Step 1</v>
      </c>
      <c r="E56" s="323" t="s">
        <v>10</v>
      </c>
      <c r="F56" s="296" t="s">
        <v>425</v>
      </c>
      <c r="G56" s="296"/>
      <c r="H56" s="296"/>
      <c r="I56" s="296"/>
    </row>
    <row r="57" spans="2:19">
      <c r="B57" s="309" t="str">
        <f>CONVENTIONS!K61</f>
        <v>MIN</v>
      </c>
      <c r="C57" s="309" t="str">
        <f>CONVENTIONS!E61</f>
        <v>MINBIOWOO3_S2</v>
      </c>
      <c r="D57" s="309" t="str">
        <f>CONVENTIONS!F61</f>
        <v>Domestic Potential of Straw - Step 2</v>
      </c>
      <c r="E57" s="323" t="s">
        <v>10</v>
      </c>
      <c r="F57" s="296" t="s">
        <v>425</v>
      </c>
      <c r="G57" s="296"/>
      <c r="H57" s="296"/>
      <c r="I57" s="296"/>
    </row>
    <row r="58" spans="2:19">
      <c r="B58" s="309" t="str">
        <f>CONVENTIONS!K62</f>
        <v>MIN</v>
      </c>
      <c r="C58" s="309" t="str">
        <f>CONVENTIONS!E62</f>
        <v>MINBIOWOO3_S3</v>
      </c>
      <c r="D58" s="309" t="str">
        <f>CONVENTIONS!F62</f>
        <v>Domestic Potential of Straw - Step 3</v>
      </c>
      <c r="E58" s="323" t="s">
        <v>10</v>
      </c>
      <c r="F58" s="296" t="s">
        <v>425</v>
      </c>
      <c r="G58" s="296"/>
      <c r="H58" s="296"/>
      <c r="I58" s="296"/>
    </row>
    <row r="59" spans="2:19">
      <c r="B59" s="309" t="str">
        <f>CONVENTIONS!K63</f>
        <v>MIN</v>
      </c>
      <c r="C59" s="309" t="str">
        <f>CONVENTIONS!E63</f>
        <v>MINBIOMSW1_S1</v>
      </c>
      <c r="D59" s="309" t="str">
        <f>CONVENTIONS!F63</f>
        <v>Domestic Potential of Biodegradable Municipal Solid Waste potential - Solid  - Step 1</v>
      </c>
      <c r="E59" s="323" t="s">
        <v>10</v>
      </c>
      <c r="F59" s="296" t="s">
        <v>425</v>
      </c>
      <c r="G59" s="296"/>
      <c r="H59" s="296"/>
      <c r="I59" s="296"/>
    </row>
    <row r="60" spans="2:19">
      <c r="B60" s="309" t="str">
        <f>CONVENTIONS!K64</f>
        <v>MIN</v>
      </c>
      <c r="C60" s="309" t="str">
        <f>CONVENTIONS!E64</f>
        <v>MINBIOMSW1_S2</v>
      </c>
      <c r="D60" s="309" t="str">
        <f>CONVENTIONS!F64</f>
        <v>Domestic Potential of Biodegradable Municipal Solid Waste potential - Solid  - Step 2</v>
      </c>
      <c r="E60" s="323" t="s">
        <v>10</v>
      </c>
      <c r="F60" s="296" t="s">
        <v>425</v>
      </c>
      <c r="G60" s="296"/>
      <c r="H60" s="296"/>
      <c r="I60" s="296"/>
    </row>
    <row r="61" spans="2:19">
      <c r="B61" s="309" t="str">
        <f>CONVENTIONS!K65</f>
        <v>MIN</v>
      </c>
      <c r="C61" s="309" t="str">
        <f>CONVENTIONS!E65</f>
        <v>MINBIOMSW1_S3</v>
      </c>
      <c r="D61" s="309" t="str">
        <f>CONVENTIONS!F65</f>
        <v>Domestic Potential of Biodegradable Municipal Solid Waste potential - Solid  - Step 3</v>
      </c>
      <c r="E61" s="323" t="s">
        <v>10</v>
      </c>
      <c r="F61" s="296" t="s">
        <v>425</v>
      </c>
      <c r="G61" s="296"/>
      <c r="H61" s="296"/>
      <c r="I61" s="296"/>
    </row>
    <row r="62" spans="2:19">
      <c r="B62" s="309" t="str">
        <f>CONVENTIONS!K66</f>
        <v>MIN</v>
      </c>
      <c r="C62" s="309" t="str">
        <f>CONVENTIONS!E66</f>
        <v>MINBIOMSW2_S1</v>
      </c>
      <c r="D62" s="309" t="str">
        <f>CONVENTIONS!F66</f>
        <v>Domestic Potential of Biodegradable Municipal Solid Waste  - Step 1</v>
      </c>
      <c r="E62" s="323" t="s">
        <v>10</v>
      </c>
      <c r="F62" s="296" t="s">
        <v>425</v>
      </c>
      <c r="G62" s="296"/>
      <c r="H62" s="296"/>
      <c r="I62" s="296"/>
    </row>
    <row r="63" spans="2:19">
      <c r="B63" s="309" t="str">
        <f>CONVENTIONS!K67</f>
        <v>MIN</v>
      </c>
      <c r="C63" s="309" t="str">
        <f>CONVENTIONS!E67</f>
        <v>MINBIOMSW2_S2</v>
      </c>
      <c r="D63" s="309" t="str">
        <f>CONVENTIONS!F67</f>
        <v>Domestic Potential of Biodegradable Municipal Solid Waste  - Step 2</v>
      </c>
      <c r="E63" s="323" t="s">
        <v>10</v>
      </c>
      <c r="F63" s="296" t="s">
        <v>425</v>
      </c>
      <c r="G63" s="296"/>
      <c r="H63" s="296"/>
      <c r="I63" s="296"/>
    </row>
    <row r="64" spans="2:19">
      <c r="B64" s="309" t="str">
        <f>CONVENTIONS!K68</f>
        <v>MIN</v>
      </c>
      <c r="C64" s="309" t="str">
        <f>CONVENTIONS!E68</f>
        <v>MINBIOMSW2_S3</v>
      </c>
      <c r="D64" s="309" t="str">
        <f>CONVENTIONS!F68</f>
        <v>Domestic Potential of Biodegradable Municipal Solid Waste  - Step 3</v>
      </c>
      <c r="E64" s="323" t="s">
        <v>10</v>
      </c>
      <c r="F64" s="296" t="s">
        <v>425</v>
      </c>
      <c r="G64" s="296"/>
      <c r="H64" s="296"/>
      <c r="I64" s="296"/>
    </row>
    <row r="65" spans="2:9">
      <c r="B65" s="309" t="str">
        <f>CONVENTIONS!K69</f>
        <v>MIN</v>
      </c>
      <c r="C65" s="309" t="str">
        <f>CONVENTIONS!E69</f>
        <v>MINBIOTLW_S1</v>
      </c>
      <c r="D65" s="309" t="str">
        <f>CONVENTIONS!F69</f>
        <v>Domestic Potential of Tallow  - Step 1</v>
      </c>
      <c r="E65" s="323" t="s">
        <v>10</v>
      </c>
      <c r="F65" s="296" t="s">
        <v>425</v>
      </c>
      <c r="G65" s="296"/>
      <c r="H65" s="296"/>
      <c r="I65" s="296"/>
    </row>
    <row r="66" spans="2:9">
      <c r="B66" s="309" t="str">
        <f>CONVENTIONS!K70</f>
        <v>MIN</v>
      </c>
      <c r="C66" s="309" t="str">
        <f>CONVENTIONS!E70</f>
        <v>MINBIOTLW_S2</v>
      </c>
      <c r="D66" s="309" t="str">
        <f>CONVENTIONS!F70</f>
        <v>Domestic Potential of Tallow  - Step 2</v>
      </c>
      <c r="E66" s="323" t="s">
        <v>10</v>
      </c>
      <c r="F66" s="296" t="s">
        <v>425</v>
      </c>
      <c r="G66" s="296"/>
      <c r="H66" s="296"/>
      <c r="I66" s="296"/>
    </row>
    <row r="67" spans="2:9">
      <c r="B67" s="309" t="str">
        <f>CONVENTIONS!K71</f>
        <v>MIN</v>
      </c>
      <c r="C67" s="309" t="str">
        <f>CONVENTIONS!E71</f>
        <v>MINBIOTLW_S3</v>
      </c>
      <c r="D67" s="309" t="str">
        <f>CONVENTIONS!F71</f>
        <v>Domestic Potential of Tallow  - Step 3</v>
      </c>
      <c r="E67" s="323" t="s">
        <v>10</v>
      </c>
      <c r="F67" s="296" t="s">
        <v>425</v>
      </c>
      <c r="G67" s="296"/>
      <c r="H67" s="296"/>
      <c r="I67" s="296"/>
    </row>
    <row r="68" spans="2:9">
      <c r="B68" s="309" t="str">
        <f>CONVENTIONS!K72</f>
        <v>MIN</v>
      </c>
      <c r="C68" s="309" t="str">
        <f>CONVENTIONS!E72</f>
        <v>MINBIORVO_S1</v>
      </c>
      <c r="D68" s="309" t="str">
        <f>CONVENTIONS!F72</f>
        <v>Domestic Potential of Recovered Vegetable Oil  - Step 1</v>
      </c>
      <c r="E68" s="323" t="s">
        <v>10</v>
      </c>
      <c r="F68" s="296" t="s">
        <v>425</v>
      </c>
      <c r="G68" s="296"/>
      <c r="H68" s="296"/>
      <c r="I68" s="296"/>
    </row>
    <row r="69" spans="2:9">
      <c r="B69" s="309" t="str">
        <f>CONVENTIONS!K73</f>
        <v>MIN</v>
      </c>
      <c r="C69" s="309" t="str">
        <f>CONVENTIONS!E73</f>
        <v>MINBIORVO_S2</v>
      </c>
      <c r="D69" s="309" t="str">
        <f>CONVENTIONS!F73</f>
        <v>Domestic Potential of Recovered Vegetable Oil  - Step 2</v>
      </c>
      <c r="E69" s="323" t="s">
        <v>10</v>
      </c>
      <c r="F69" s="296" t="s">
        <v>425</v>
      </c>
      <c r="G69" s="296"/>
      <c r="H69" s="296"/>
      <c r="I69" s="296"/>
    </row>
    <row r="70" spans="2:9">
      <c r="B70" s="309" t="str">
        <f>CONVENTIONS!K74</f>
        <v>MIN</v>
      </c>
      <c r="C70" s="309" t="str">
        <f>CONVENTIONS!E74</f>
        <v>MINBIORVO_S3</v>
      </c>
      <c r="D70" s="309" t="str">
        <f>CONVENTIONS!F74</f>
        <v>Domestic Potential of Recovered Vegetable Oil  - Step 3</v>
      </c>
      <c r="E70" s="323" t="s">
        <v>10</v>
      </c>
      <c r="F70" s="296" t="s">
        <v>425</v>
      </c>
      <c r="G70" s="296"/>
      <c r="H70" s="296"/>
      <c r="I70" s="296"/>
    </row>
    <row r="71" spans="2:9">
      <c r="B71" s="309" t="str">
        <f>CONVENTIONS!K75</f>
        <v>MIN</v>
      </c>
      <c r="C71" s="309" t="str">
        <f>CONVENTIONS!E75</f>
        <v>MINBIOCATW_S1</v>
      </c>
      <c r="D71" s="309" t="str">
        <f>CONVENTIONS!F75</f>
        <v>Domestic Potential of Cattle Waste  - Step 1</v>
      </c>
      <c r="E71" s="323" t="s">
        <v>10</v>
      </c>
      <c r="F71" s="296" t="s">
        <v>425</v>
      </c>
      <c r="G71" s="296"/>
      <c r="H71" s="296"/>
      <c r="I71" s="296"/>
    </row>
    <row r="72" spans="2:9">
      <c r="B72" s="309" t="str">
        <f>CONVENTIONS!K76</f>
        <v>MIN</v>
      </c>
      <c r="C72" s="309" t="str">
        <f>CONVENTIONS!E76</f>
        <v>MINBIOCATW_S2</v>
      </c>
      <c r="D72" s="309" t="str">
        <f>CONVENTIONS!F76</f>
        <v>Domestic Potential of Cattle Waste  - Step 2</v>
      </c>
      <c r="E72" s="323" t="s">
        <v>10</v>
      </c>
      <c r="F72" s="296" t="s">
        <v>425</v>
      </c>
      <c r="G72" s="296"/>
      <c r="H72" s="296"/>
      <c r="I72" s="296"/>
    </row>
    <row r="73" spans="2:9">
      <c r="B73" s="309" t="str">
        <f>CONVENTIONS!K77</f>
        <v>MIN</v>
      </c>
      <c r="C73" s="309" t="str">
        <f>CONVENTIONS!E77</f>
        <v>MINBIOCATW_S3</v>
      </c>
      <c r="D73" s="309" t="str">
        <f>CONVENTIONS!F77</f>
        <v>Domestic Potential of Cattle Waste  - Step 3</v>
      </c>
      <c r="E73" s="323" t="s">
        <v>10</v>
      </c>
      <c r="F73" s="296" t="s">
        <v>425</v>
      </c>
      <c r="G73" s="296"/>
      <c r="H73" s="296"/>
      <c r="I73" s="296"/>
    </row>
    <row r="74" spans="2:9">
      <c r="B74" s="309" t="str">
        <f>CONVENTIONS!K78</f>
        <v>MIN</v>
      </c>
      <c r="C74" s="309" t="str">
        <f>CONVENTIONS!E78</f>
        <v>MINBIOPIGW_S1</v>
      </c>
      <c r="D74" s="309" t="str">
        <f>CONVENTIONS!F78</f>
        <v>Domestic Potential of Pig Waste  - Step 1</v>
      </c>
      <c r="E74" s="323" t="s">
        <v>10</v>
      </c>
      <c r="F74" s="296" t="s">
        <v>425</v>
      </c>
      <c r="G74" s="296"/>
      <c r="H74" s="296"/>
      <c r="I74" s="296"/>
    </row>
    <row r="75" spans="2:9">
      <c r="B75" s="309" t="str">
        <f>CONVENTIONS!K79</f>
        <v>MIN</v>
      </c>
      <c r="C75" s="309" t="str">
        <f>CONVENTIONS!E79</f>
        <v>MINBIOPIGW_S2</v>
      </c>
      <c r="D75" s="309" t="str">
        <f>CONVENTIONS!F79</f>
        <v>Domestic Potential of Pig Waste  - Step 2</v>
      </c>
      <c r="E75" s="323" t="s">
        <v>10</v>
      </c>
      <c r="F75" s="296" t="s">
        <v>425</v>
      </c>
      <c r="G75" s="296"/>
      <c r="H75" s="296"/>
      <c r="I75" s="296"/>
    </row>
    <row r="76" spans="2:9">
      <c r="B76" s="309" t="str">
        <f>CONVENTIONS!K80</f>
        <v>MIN</v>
      </c>
      <c r="C76" s="309" t="str">
        <f>CONVENTIONS!E80</f>
        <v>MINBIOPIGW_S3</v>
      </c>
      <c r="D76" s="309" t="str">
        <f>CONVENTIONS!F80</f>
        <v>Domestic Potential of Pig Waste  - Step 3</v>
      </c>
      <c r="E76" s="323" t="s">
        <v>10</v>
      </c>
      <c r="F76" s="296" t="s">
        <v>425</v>
      </c>
      <c r="G76" s="296"/>
      <c r="H76" s="296"/>
      <c r="I76" s="296"/>
    </row>
    <row r="77" spans="2:9">
      <c r="B77" s="309" t="str">
        <f>CONVENTIONS!K81</f>
        <v>MIN</v>
      </c>
      <c r="C77" s="309" t="str">
        <f>CONVENTIONS!E81</f>
        <v>MINBIOINDF_S1</v>
      </c>
      <c r="D77" s="309" t="str">
        <f>CONVENTIONS!F81</f>
        <v>Domestic Potential of Industrial Food Waste  - Step 1</v>
      </c>
      <c r="E77" s="323" t="s">
        <v>10</v>
      </c>
      <c r="F77" s="296" t="s">
        <v>425</v>
      </c>
      <c r="G77" s="296"/>
      <c r="H77" s="296"/>
      <c r="I77" s="296"/>
    </row>
    <row r="78" spans="2:9">
      <c r="B78" s="309" t="str">
        <f>CONVENTIONS!K82</f>
        <v>MIN</v>
      </c>
      <c r="C78" s="309" t="str">
        <f>CONVENTIONS!E82</f>
        <v>MINBIOINDF_S2</v>
      </c>
      <c r="D78" s="309" t="str">
        <f>CONVENTIONS!F82</f>
        <v>Domestic Potential of Industrial Food Waste  - Step 2</v>
      </c>
      <c r="E78" s="323" t="s">
        <v>10</v>
      </c>
      <c r="F78" s="296" t="s">
        <v>425</v>
      </c>
      <c r="G78" s="296"/>
      <c r="H78" s="296"/>
      <c r="I78" s="296"/>
    </row>
    <row r="79" spans="2:9">
      <c r="B79" s="309" t="str">
        <f>CONVENTIONS!K83</f>
        <v>MIN</v>
      </c>
      <c r="C79" s="309" t="str">
        <f>CONVENTIONS!E83</f>
        <v>MINBIOINDF_S3</v>
      </c>
      <c r="D79" s="309" t="str">
        <f>CONVENTIONS!F83</f>
        <v>Domestic Potential of Industrial Food Waste  - Step 3</v>
      </c>
      <c r="E79" s="323" t="s">
        <v>10</v>
      </c>
      <c r="F79" s="296" t="s">
        <v>425</v>
      </c>
      <c r="G79" s="296"/>
      <c r="H79" s="296"/>
      <c r="I79" s="296"/>
    </row>
    <row r="80" spans="2:9" s="294" customFormat="1">
      <c r="B80" s="309" t="str">
        <f>CONVENTIONS!K86</f>
        <v>IMP</v>
      </c>
      <c r="C80" s="309" t="str">
        <f>CONVENTIONS!E86</f>
        <v>IMPELC_UK</v>
      </c>
      <c r="D80" s="309" t="str">
        <f>CONVENTIONS!F86</f>
        <v>Import of Electricity - UK</v>
      </c>
      <c r="E80" s="323" t="s">
        <v>10</v>
      </c>
      <c r="F80" s="296" t="s">
        <v>425</v>
      </c>
      <c r="G80" s="296" t="s">
        <v>65</v>
      </c>
      <c r="H80" s="296"/>
      <c r="I80" s="296"/>
    </row>
    <row r="81" spans="2:9" s="294" customFormat="1">
      <c r="B81" s="309" t="str">
        <f>CONVENTIONS!K87</f>
        <v>EXP</v>
      </c>
      <c r="C81" s="309" t="str">
        <f>CONVENTIONS!E87</f>
        <v>EXPELC_UK</v>
      </c>
      <c r="D81" s="309" t="str">
        <f>CONVENTIONS!F87</f>
        <v>Export of Electricity - UK</v>
      </c>
      <c r="E81" s="323" t="s">
        <v>10</v>
      </c>
      <c r="F81" s="296" t="s">
        <v>425</v>
      </c>
      <c r="G81" s="296" t="s">
        <v>65</v>
      </c>
      <c r="H81" s="296"/>
      <c r="I81" s="296"/>
    </row>
    <row r="82" spans="2:9">
      <c r="B82" s="309" t="str">
        <f>CONVENTIONS!K88</f>
        <v>PRE</v>
      </c>
      <c r="C82" s="309" t="str">
        <f>CONVENTIONS!E88</f>
        <v>BDNBIOWOO</v>
      </c>
      <c r="D82" s="309" t="str">
        <f>CONVENTIONS!F88</f>
        <v xml:space="preserve">Blending of Biomass - generic </v>
      </c>
      <c r="E82" s="323" t="s">
        <v>10</v>
      </c>
      <c r="F82" s="296" t="s">
        <v>425</v>
      </c>
      <c r="G82" s="296"/>
      <c r="H82" s="328"/>
      <c r="I82" s="317"/>
    </row>
    <row r="83" spans="2:9">
      <c r="B83" s="309" t="str">
        <f>CONVENTIONS!K89</f>
        <v>PRE</v>
      </c>
      <c r="C83" s="309" t="str">
        <f>CONVENTIONS!E89</f>
        <v>SREFOILCRD_Whitegate</v>
      </c>
      <c r="D83" s="309" t="str">
        <f>CONVENTIONS!F89</f>
        <v>Refinery of Crude Oil  - Whitegate</v>
      </c>
      <c r="E83" s="323" t="s">
        <v>10</v>
      </c>
      <c r="F83" s="296" t="s">
        <v>425</v>
      </c>
      <c r="G83" s="317"/>
      <c r="H83" s="328" t="str">
        <f>Commodities!C11</f>
        <v>OILCRD</v>
      </c>
      <c r="I83" s="317"/>
    </row>
    <row r="84" spans="2:9">
      <c r="B84" s="302" t="s">
        <v>424</v>
      </c>
      <c r="C84" s="306"/>
      <c r="D84" s="307"/>
      <c r="E84" s="307"/>
      <c r="F84" s="307"/>
      <c r="G84" s="308"/>
      <c r="H84" s="308"/>
      <c r="I84" s="308"/>
    </row>
    <row r="85" spans="2:9">
      <c r="B85" s="309" t="str">
        <f>CONVENTIONS!K90</f>
        <v>PRE</v>
      </c>
      <c r="C85" s="309" t="str">
        <f>CONVENTIONS!E90</f>
        <v>FT-SUPNGA</v>
      </c>
      <c r="D85" s="309" t="str">
        <f>CONVENTIONS!F90</f>
        <v>Fuel Tech - Natural Gas (SUP)</v>
      </c>
      <c r="E85" s="284" t="s">
        <v>10</v>
      </c>
      <c r="F85" s="296" t="s">
        <v>425</v>
      </c>
      <c r="G85" s="317" t="s">
        <v>73</v>
      </c>
      <c r="H85" s="328"/>
      <c r="I85" s="317"/>
    </row>
    <row r="86" spans="2:9">
      <c r="B86" s="309" t="str">
        <f>CONVENTIONS!K91</f>
        <v>PRE</v>
      </c>
      <c r="C86" s="309" t="str">
        <f>CONVENTIONS!E91</f>
        <v>FT-SUPCOA</v>
      </c>
      <c r="D86" s="309" t="str">
        <f>CONVENTIONS!F91</f>
        <v>Fuel Tech - Coal (SUP)</v>
      </c>
      <c r="E86" s="331" t="s">
        <v>10</v>
      </c>
      <c r="F86" s="296" t="s">
        <v>425</v>
      </c>
      <c r="G86" s="310"/>
      <c r="H86" s="310"/>
      <c r="I86" s="310"/>
    </row>
    <row r="87" spans="2:9">
      <c r="B87" s="309" t="str">
        <f>CONVENTIONS!K92</f>
        <v>PRE</v>
      </c>
      <c r="C87" s="309" t="str">
        <f>CONVENTIONS!E92</f>
        <v>FT-SUPWAS</v>
      </c>
      <c r="D87" s="309" t="str">
        <f>CONVENTIONS!F92</f>
        <v>Fuel Tech - Waste (SUP)</v>
      </c>
      <c r="E87" s="331" t="s">
        <v>10</v>
      </c>
      <c r="F87" s="296" t="s">
        <v>425</v>
      </c>
      <c r="G87" s="310"/>
      <c r="H87" s="310"/>
      <c r="I87" s="310"/>
    </row>
    <row r="88" spans="2:9">
      <c r="B88" s="309" t="str">
        <f>CONVENTIONS!K93</f>
        <v>PRE</v>
      </c>
      <c r="C88" s="309" t="str">
        <f>CONVENTIONS!E93</f>
        <v>FT-SUPBIO</v>
      </c>
      <c r="D88" s="309" t="str">
        <f>CONVENTIONS!F93</f>
        <v>Fuel Tech - Biomass (SUP)</v>
      </c>
      <c r="E88" s="331" t="s">
        <v>10</v>
      </c>
      <c r="F88" s="296" t="s">
        <v>425</v>
      </c>
      <c r="G88" s="310"/>
      <c r="H88" s="310"/>
      <c r="I88" s="310"/>
    </row>
    <row r="89" spans="2:9">
      <c r="B89" s="309" t="str">
        <f>CONVENTIONS!K94</f>
        <v>PRE</v>
      </c>
      <c r="C89" s="309" t="str">
        <f>CONVENTIONS!E94</f>
        <v>FT-SUPELC</v>
      </c>
      <c r="D89" s="309" t="str">
        <f>CONVENTIONS!F94</f>
        <v>Fuel Tech - Electricity (SUP)</v>
      </c>
      <c r="E89" s="284" t="s">
        <v>10</v>
      </c>
      <c r="F89" s="296" t="s">
        <v>425</v>
      </c>
      <c r="G89" s="310" t="s">
        <v>65</v>
      </c>
      <c r="H89" s="310"/>
      <c r="I89" s="3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G16" sqref="G16"/>
    </sheetView>
  </sheetViews>
  <sheetFormatPr defaultRowHeight="15"/>
  <cols>
    <col min="1" max="1" width="9.140625" style="275"/>
    <col min="2" max="2" width="14.7109375" style="275" customWidth="1"/>
    <col min="3" max="3" width="26" style="275" bestFit="1" customWidth="1"/>
    <col min="4" max="4" width="11.140625" style="275" bestFit="1" customWidth="1"/>
    <col min="5" max="7" width="9.140625" style="275"/>
    <col min="8" max="8" width="10.28515625" style="275" bestFit="1" customWidth="1"/>
    <col min="9" max="9" width="8.85546875" style="258" bestFit="1" customWidth="1"/>
    <col min="10" max="10" width="16.85546875" style="275" customWidth="1"/>
    <col min="11" max="11" width="9.140625" style="275"/>
    <col min="12" max="12" width="11.28515625" style="275" bestFit="1" customWidth="1"/>
    <col min="13" max="13" width="14.7109375" style="275" bestFit="1" customWidth="1"/>
    <col min="14" max="14" width="37" style="275" bestFit="1" customWidth="1"/>
    <col min="15" max="16" width="9.85546875" style="275" customWidth="1"/>
    <col min="17" max="261" width="9.140625" style="275"/>
    <col min="262" max="262" width="10.5703125" style="275" bestFit="1" customWidth="1"/>
    <col min="263" max="263" width="14.85546875" style="275" bestFit="1" customWidth="1"/>
    <col min="264" max="264" width="11.140625" style="275" bestFit="1" customWidth="1"/>
    <col min="265" max="517" width="9.140625" style="275"/>
    <col min="518" max="518" width="10.5703125" style="275" bestFit="1" customWidth="1"/>
    <col min="519" max="519" width="14.85546875" style="275" bestFit="1" customWidth="1"/>
    <col min="520" max="520" width="11.140625" style="275" bestFit="1" customWidth="1"/>
    <col min="521" max="773" width="9.140625" style="275"/>
    <col min="774" max="774" width="10.5703125" style="275" bestFit="1" customWidth="1"/>
    <col min="775" max="775" width="14.85546875" style="275" bestFit="1" customWidth="1"/>
    <col min="776" max="776" width="11.140625" style="275" bestFit="1" customWidth="1"/>
    <col min="777" max="1029" width="9.140625" style="275"/>
    <col min="1030" max="1030" width="10.5703125" style="275" bestFit="1" customWidth="1"/>
    <col min="1031" max="1031" width="14.85546875" style="275" bestFit="1" customWidth="1"/>
    <col min="1032" max="1032" width="11.140625" style="275" bestFit="1" customWidth="1"/>
    <col min="1033" max="1285" width="9.140625" style="275"/>
    <col min="1286" max="1286" width="10.5703125" style="275" bestFit="1" customWidth="1"/>
    <col min="1287" max="1287" width="14.85546875" style="275" bestFit="1" customWidth="1"/>
    <col min="1288" max="1288" width="11.140625" style="275" bestFit="1" customWidth="1"/>
    <col min="1289" max="1541" width="9.140625" style="275"/>
    <col min="1542" max="1542" width="10.5703125" style="275" bestFit="1" customWidth="1"/>
    <col min="1543" max="1543" width="14.85546875" style="275" bestFit="1" customWidth="1"/>
    <col min="1544" max="1544" width="11.140625" style="275" bestFit="1" customWidth="1"/>
    <col min="1545" max="1797" width="9.140625" style="275"/>
    <col min="1798" max="1798" width="10.5703125" style="275" bestFit="1" customWidth="1"/>
    <col min="1799" max="1799" width="14.85546875" style="275" bestFit="1" customWidth="1"/>
    <col min="1800" max="1800" width="11.140625" style="275" bestFit="1" customWidth="1"/>
    <col min="1801" max="2053" width="9.140625" style="275"/>
    <col min="2054" max="2054" width="10.5703125" style="275" bestFit="1" customWidth="1"/>
    <col min="2055" max="2055" width="14.85546875" style="275" bestFit="1" customWidth="1"/>
    <col min="2056" max="2056" width="11.140625" style="275" bestFit="1" customWidth="1"/>
    <col min="2057" max="2309" width="9.140625" style="275"/>
    <col min="2310" max="2310" width="10.5703125" style="275" bestFit="1" customWidth="1"/>
    <col min="2311" max="2311" width="14.85546875" style="275" bestFit="1" customWidth="1"/>
    <col min="2312" max="2312" width="11.140625" style="275" bestFit="1" customWidth="1"/>
    <col min="2313" max="2565" width="9.140625" style="275"/>
    <col min="2566" max="2566" width="10.5703125" style="275" bestFit="1" customWidth="1"/>
    <col min="2567" max="2567" width="14.85546875" style="275" bestFit="1" customWidth="1"/>
    <col min="2568" max="2568" width="11.140625" style="275" bestFit="1" customWidth="1"/>
    <col min="2569" max="2821" width="9.140625" style="275"/>
    <col min="2822" max="2822" width="10.5703125" style="275" bestFit="1" customWidth="1"/>
    <col min="2823" max="2823" width="14.85546875" style="275" bestFit="1" customWidth="1"/>
    <col min="2824" max="2824" width="11.140625" style="275" bestFit="1" customWidth="1"/>
    <col min="2825" max="3077" width="9.140625" style="275"/>
    <col min="3078" max="3078" width="10.5703125" style="275" bestFit="1" customWidth="1"/>
    <col min="3079" max="3079" width="14.85546875" style="275" bestFit="1" customWidth="1"/>
    <col min="3080" max="3080" width="11.140625" style="275" bestFit="1" customWidth="1"/>
    <col min="3081" max="3333" width="9.140625" style="275"/>
    <col min="3334" max="3334" width="10.5703125" style="275" bestFit="1" customWidth="1"/>
    <col min="3335" max="3335" width="14.85546875" style="275" bestFit="1" customWidth="1"/>
    <col min="3336" max="3336" width="11.140625" style="275" bestFit="1" customWidth="1"/>
    <col min="3337" max="3589" width="9.140625" style="275"/>
    <col min="3590" max="3590" width="10.5703125" style="275" bestFit="1" customWidth="1"/>
    <col min="3591" max="3591" width="14.85546875" style="275" bestFit="1" customWidth="1"/>
    <col min="3592" max="3592" width="11.140625" style="275" bestFit="1" customWidth="1"/>
    <col min="3593" max="3845" width="9.140625" style="275"/>
    <col min="3846" max="3846" width="10.5703125" style="275" bestFit="1" customWidth="1"/>
    <col min="3847" max="3847" width="14.85546875" style="275" bestFit="1" customWidth="1"/>
    <col min="3848" max="3848" width="11.140625" style="275" bestFit="1" customWidth="1"/>
    <col min="3849" max="4101" width="9.140625" style="275"/>
    <col min="4102" max="4102" width="10.5703125" style="275" bestFit="1" customWidth="1"/>
    <col min="4103" max="4103" width="14.85546875" style="275" bestFit="1" customWidth="1"/>
    <col min="4104" max="4104" width="11.140625" style="275" bestFit="1" customWidth="1"/>
    <col min="4105" max="4357" width="9.140625" style="275"/>
    <col min="4358" max="4358" width="10.5703125" style="275" bestFit="1" customWidth="1"/>
    <col min="4359" max="4359" width="14.85546875" style="275" bestFit="1" customWidth="1"/>
    <col min="4360" max="4360" width="11.140625" style="275" bestFit="1" customWidth="1"/>
    <col min="4361" max="4613" width="9.140625" style="275"/>
    <col min="4614" max="4614" width="10.5703125" style="275" bestFit="1" customWidth="1"/>
    <col min="4615" max="4615" width="14.85546875" style="275" bestFit="1" customWidth="1"/>
    <col min="4616" max="4616" width="11.140625" style="275" bestFit="1" customWidth="1"/>
    <col min="4617" max="4869" width="9.140625" style="275"/>
    <col min="4870" max="4870" width="10.5703125" style="275" bestFit="1" customWidth="1"/>
    <col min="4871" max="4871" width="14.85546875" style="275" bestFit="1" customWidth="1"/>
    <col min="4872" max="4872" width="11.140625" style="275" bestFit="1" customWidth="1"/>
    <col min="4873" max="5125" width="9.140625" style="275"/>
    <col min="5126" max="5126" width="10.5703125" style="275" bestFit="1" customWidth="1"/>
    <col min="5127" max="5127" width="14.85546875" style="275" bestFit="1" customWidth="1"/>
    <col min="5128" max="5128" width="11.140625" style="275" bestFit="1" customWidth="1"/>
    <col min="5129" max="5381" width="9.140625" style="275"/>
    <col min="5382" max="5382" width="10.5703125" style="275" bestFit="1" customWidth="1"/>
    <col min="5383" max="5383" width="14.85546875" style="275" bestFit="1" customWidth="1"/>
    <col min="5384" max="5384" width="11.140625" style="275" bestFit="1" customWidth="1"/>
    <col min="5385" max="5637" width="9.140625" style="275"/>
    <col min="5638" max="5638" width="10.5703125" style="275" bestFit="1" customWidth="1"/>
    <col min="5639" max="5639" width="14.85546875" style="275" bestFit="1" customWidth="1"/>
    <col min="5640" max="5640" width="11.140625" style="275" bestFit="1" customWidth="1"/>
    <col min="5641" max="5893" width="9.140625" style="275"/>
    <col min="5894" max="5894" width="10.5703125" style="275" bestFit="1" customWidth="1"/>
    <col min="5895" max="5895" width="14.85546875" style="275" bestFit="1" customWidth="1"/>
    <col min="5896" max="5896" width="11.140625" style="275" bestFit="1" customWidth="1"/>
    <col min="5897" max="6149" width="9.140625" style="275"/>
    <col min="6150" max="6150" width="10.5703125" style="275" bestFit="1" customWidth="1"/>
    <col min="6151" max="6151" width="14.85546875" style="275" bestFit="1" customWidth="1"/>
    <col min="6152" max="6152" width="11.140625" style="275" bestFit="1" customWidth="1"/>
    <col min="6153" max="6405" width="9.140625" style="275"/>
    <col min="6406" max="6406" width="10.5703125" style="275" bestFit="1" customWidth="1"/>
    <col min="6407" max="6407" width="14.85546875" style="275" bestFit="1" customWidth="1"/>
    <col min="6408" max="6408" width="11.140625" style="275" bestFit="1" customWidth="1"/>
    <col min="6409" max="6661" width="9.140625" style="275"/>
    <col min="6662" max="6662" width="10.5703125" style="275" bestFit="1" customWidth="1"/>
    <col min="6663" max="6663" width="14.85546875" style="275" bestFit="1" customWidth="1"/>
    <col min="6664" max="6664" width="11.140625" style="275" bestFit="1" customWidth="1"/>
    <col min="6665" max="6917" width="9.140625" style="275"/>
    <col min="6918" max="6918" width="10.5703125" style="275" bestFit="1" customWidth="1"/>
    <col min="6919" max="6919" width="14.85546875" style="275" bestFit="1" customWidth="1"/>
    <col min="6920" max="6920" width="11.140625" style="275" bestFit="1" customWidth="1"/>
    <col min="6921" max="7173" width="9.140625" style="275"/>
    <col min="7174" max="7174" width="10.5703125" style="275" bestFit="1" customWidth="1"/>
    <col min="7175" max="7175" width="14.85546875" style="275" bestFit="1" customWidth="1"/>
    <col min="7176" max="7176" width="11.140625" style="275" bestFit="1" customWidth="1"/>
    <col min="7177" max="7429" width="9.140625" style="275"/>
    <col min="7430" max="7430" width="10.5703125" style="275" bestFit="1" customWidth="1"/>
    <col min="7431" max="7431" width="14.85546875" style="275" bestFit="1" customWidth="1"/>
    <col min="7432" max="7432" width="11.140625" style="275" bestFit="1" customWidth="1"/>
    <col min="7433" max="7685" width="9.140625" style="275"/>
    <col min="7686" max="7686" width="10.5703125" style="275" bestFit="1" customWidth="1"/>
    <col min="7687" max="7687" width="14.85546875" style="275" bestFit="1" customWidth="1"/>
    <col min="7688" max="7688" width="11.140625" style="275" bestFit="1" customWidth="1"/>
    <col min="7689" max="7941" width="9.140625" style="275"/>
    <col min="7942" max="7942" width="10.5703125" style="275" bestFit="1" customWidth="1"/>
    <col min="7943" max="7943" width="14.85546875" style="275" bestFit="1" customWidth="1"/>
    <col min="7944" max="7944" width="11.140625" style="275" bestFit="1" customWidth="1"/>
    <col min="7945" max="8197" width="9.140625" style="275"/>
    <col min="8198" max="8198" width="10.5703125" style="275" bestFit="1" customWidth="1"/>
    <col min="8199" max="8199" width="14.85546875" style="275" bestFit="1" customWidth="1"/>
    <col min="8200" max="8200" width="11.140625" style="275" bestFit="1" customWidth="1"/>
    <col min="8201" max="8453" width="9.140625" style="275"/>
    <col min="8454" max="8454" width="10.5703125" style="275" bestFit="1" customWidth="1"/>
    <col min="8455" max="8455" width="14.85546875" style="275" bestFit="1" customWidth="1"/>
    <col min="8456" max="8456" width="11.140625" style="275" bestFit="1" customWidth="1"/>
    <col min="8457" max="8709" width="9.140625" style="275"/>
    <col min="8710" max="8710" width="10.5703125" style="275" bestFit="1" customWidth="1"/>
    <col min="8711" max="8711" width="14.85546875" style="275" bestFit="1" customWidth="1"/>
    <col min="8712" max="8712" width="11.140625" style="275" bestFit="1" customWidth="1"/>
    <col min="8713" max="8965" width="9.140625" style="275"/>
    <col min="8966" max="8966" width="10.5703125" style="275" bestFit="1" customWidth="1"/>
    <col min="8967" max="8967" width="14.85546875" style="275" bestFit="1" customWidth="1"/>
    <col min="8968" max="8968" width="11.140625" style="275" bestFit="1" customWidth="1"/>
    <col min="8969" max="9221" width="9.140625" style="275"/>
    <col min="9222" max="9222" width="10.5703125" style="275" bestFit="1" customWidth="1"/>
    <col min="9223" max="9223" width="14.85546875" style="275" bestFit="1" customWidth="1"/>
    <col min="9224" max="9224" width="11.140625" style="275" bestFit="1" customWidth="1"/>
    <col min="9225" max="9477" width="9.140625" style="275"/>
    <col min="9478" max="9478" width="10.5703125" style="275" bestFit="1" customWidth="1"/>
    <col min="9479" max="9479" width="14.85546875" style="275" bestFit="1" customWidth="1"/>
    <col min="9480" max="9480" width="11.140625" style="275" bestFit="1" customWidth="1"/>
    <col min="9481" max="9733" width="9.140625" style="275"/>
    <col min="9734" max="9734" width="10.5703125" style="275" bestFit="1" customWidth="1"/>
    <col min="9735" max="9735" width="14.85546875" style="275" bestFit="1" customWidth="1"/>
    <col min="9736" max="9736" width="11.140625" style="275" bestFit="1" customWidth="1"/>
    <col min="9737" max="9989" width="9.140625" style="275"/>
    <col min="9990" max="9990" width="10.5703125" style="275" bestFit="1" customWidth="1"/>
    <col min="9991" max="9991" width="14.85546875" style="275" bestFit="1" customWidth="1"/>
    <col min="9992" max="9992" width="11.140625" style="275" bestFit="1" customWidth="1"/>
    <col min="9993" max="10245" width="9.140625" style="275"/>
    <col min="10246" max="10246" width="10.5703125" style="275" bestFit="1" customWidth="1"/>
    <col min="10247" max="10247" width="14.85546875" style="275" bestFit="1" customWidth="1"/>
    <col min="10248" max="10248" width="11.140625" style="275" bestFit="1" customWidth="1"/>
    <col min="10249" max="10501" width="9.140625" style="275"/>
    <col min="10502" max="10502" width="10.5703125" style="275" bestFit="1" customWidth="1"/>
    <col min="10503" max="10503" width="14.85546875" style="275" bestFit="1" customWidth="1"/>
    <col min="10504" max="10504" width="11.140625" style="275" bestFit="1" customWidth="1"/>
    <col min="10505" max="10757" width="9.140625" style="275"/>
    <col min="10758" max="10758" width="10.5703125" style="275" bestFit="1" customWidth="1"/>
    <col min="10759" max="10759" width="14.85546875" style="275" bestFit="1" customWidth="1"/>
    <col min="10760" max="10760" width="11.140625" style="275" bestFit="1" customWidth="1"/>
    <col min="10761" max="11013" width="9.140625" style="275"/>
    <col min="11014" max="11014" width="10.5703125" style="275" bestFit="1" customWidth="1"/>
    <col min="11015" max="11015" width="14.85546875" style="275" bestFit="1" customWidth="1"/>
    <col min="11016" max="11016" width="11.140625" style="275" bestFit="1" customWidth="1"/>
    <col min="11017" max="11269" width="9.140625" style="275"/>
    <col min="11270" max="11270" width="10.5703125" style="275" bestFit="1" customWidth="1"/>
    <col min="11271" max="11271" width="14.85546875" style="275" bestFit="1" customWidth="1"/>
    <col min="11272" max="11272" width="11.140625" style="275" bestFit="1" customWidth="1"/>
    <col min="11273" max="11525" width="9.140625" style="275"/>
    <col min="11526" max="11526" width="10.5703125" style="275" bestFit="1" customWidth="1"/>
    <col min="11527" max="11527" width="14.85546875" style="275" bestFit="1" customWidth="1"/>
    <col min="11528" max="11528" width="11.140625" style="275" bestFit="1" customWidth="1"/>
    <col min="11529" max="11781" width="9.140625" style="275"/>
    <col min="11782" max="11782" width="10.5703125" style="275" bestFit="1" customWidth="1"/>
    <col min="11783" max="11783" width="14.85546875" style="275" bestFit="1" customWidth="1"/>
    <col min="11784" max="11784" width="11.140625" style="275" bestFit="1" customWidth="1"/>
    <col min="11785" max="12037" width="9.140625" style="275"/>
    <col min="12038" max="12038" width="10.5703125" style="275" bestFit="1" customWidth="1"/>
    <col min="12039" max="12039" width="14.85546875" style="275" bestFit="1" customWidth="1"/>
    <col min="12040" max="12040" width="11.140625" style="275" bestFit="1" customWidth="1"/>
    <col min="12041" max="12293" width="9.140625" style="275"/>
    <col min="12294" max="12294" width="10.5703125" style="275" bestFit="1" customWidth="1"/>
    <col min="12295" max="12295" width="14.85546875" style="275" bestFit="1" customWidth="1"/>
    <col min="12296" max="12296" width="11.140625" style="275" bestFit="1" customWidth="1"/>
    <col min="12297" max="12549" width="9.140625" style="275"/>
    <col min="12550" max="12550" width="10.5703125" style="275" bestFit="1" customWidth="1"/>
    <col min="12551" max="12551" width="14.85546875" style="275" bestFit="1" customWidth="1"/>
    <col min="12552" max="12552" width="11.140625" style="275" bestFit="1" customWidth="1"/>
    <col min="12553" max="12805" width="9.140625" style="275"/>
    <col min="12806" max="12806" width="10.5703125" style="275" bestFit="1" customWidth="1"/>
    <col min="12807" max="12807" width="14.85546875" style="275" bestFit="1" customWidth="1"/>
    <col min="12808" max="12808" width="11.140625" style="275" bestFit="1" customWidth="1"/>
    <col min="12809" max="13061" width="9.140625" style="275"/>
    <col min="13062" max="13062" width="10.5703125" style="275" bestFit="1" customWidth="1"/>
    <col min="13063" max="13063" width="14.85546875" style="275" bestFit="1" customWidth="1"/>
    <col min="13064" max="13064" width="11.140625" style="275" bestFit="1" customWidth="1"/>
    <col min="13065" max="13317" width="9.140625" style="275"/>
    <col min="13318" max="13318" width="10.5703125" style="275" bestFit="1" customWidth="1"/>
    <col min="13319" max="13319" width="14.85546875" style="275" bestFit="1" customWidth="1"/>
    <col min="13320" max="13320" width="11.140625" style="275" bestFit="1" customWidth="1"/>
    <col min="13321" max="13573" width="9.140625" style="275"/>
    <col min="13574" max="13574" width="10.5703125" style="275" bestFit="1" customWidth="1"/>
    <col min="13575" max="13575" width="14.85546875" style="275" bestFit="1" customWidth="1"/>
    <col min="13576" max="13576" width="11.140625" style="275" bestFit="1" customWidth="1"/>
    <col min="13577" max="13829" width="9.140625" style="275"/>
    <col min="13830" max="13830" width="10.5703125" style="275" bestFit="1" customWidth="1"/>
    <col min="13831" max="13831" width="14.85546875" style="275" bestFit="1" customWidth="1"/>
    <col min="13832" max="13832" width="11.140625" style="275" bestFit="1" customWidth="1"/>
    <col min="13833" max="14085" width="9.140625" style="275"/>
    <col min="14086" max="14086" width="10.5703125" style="275" bestFit="1" customWidth="1"/>
    <col min="14087" max="14087" width="14.85546875" style="275" bestFit="1" customWidth="1"/>
    <col min="14088" max="14088" width="11.140625" style="275" bestFit="1" customWidth="1"/>
    <col min="14089" max="14341" width="9.140625" style="275"/>
    <col min="14342" max="14342" width="10.5703125" style="275" bestFit="1" customWidth="1"/>
    <col min="14343" max="14343" width="14.85546875" style="275" bestFit="1" customWidth="1"/>
    <col min="14344" max="14344" width="11.140625" style="275" bestFit="1" customWidth="1"/>
    <col min="14345" max="14597" width="9.140625" style="275"/>
    <col min="14598" max="14598" width="10.5703125" style="275" bestFit="1" customWidth="1"/>
    <col min="14599" max="14599" width="14.85546875" style="275" bestFit="1" customWidth="1"/>
    <col min="14600" max="14600" width="11.140625" style="275" bestFit="1" customWidth="1"/>
    <col min="14601" max="14853" width="9.140625" style="275"/>
    <col min="14854" max="14854" width="10.5703125" style="275" bestFit="1" customWidth="1"/>
    <col min="14855" max="14855" width="14.85546875" style="275" bestFit="1" customWidth="1"/>
    <col min="14856" max="14856" width="11.140625" style="275" bestFit="1" customWidth="1"/>
    <col min="14857" max="15109" width="9.140625" style="275"/>
    <col min="15110" max="15110" width="10.5703125" style="275" bestFit="1" customWidth="1"/>
    <col min="15111" max="15111" width="14.85546875" style="275" bestFit="1" customWidth="1"/>
    <col min="15112" max="15112" width="11.140625" style="275" bestFit="1" customWidth="1"/>
    <col min="15113" max="15365" width="9.140625" style="275"/>
    <col min="15366" max="15366" width="10.5703125" style="275" bestFit="1" customWidth="1"/>
    <col min="15367" max="15367" width="14.85546875" style="275" bestFit="1" customWidth="1"/>
    <col min="15368" max="15368" width="11.140625" style="275" bestFit="1" customWidth="1"/>
    <col min="15369" max="15621" width="9.140625" style="275"/>
    <col min="15622" max="15622" width="10.5703125" style="275" bestFit="1" customWidth="1"/>
    <col min="15623" max="15623" width="14.85546875" style="275" bestFit="1" customWidth="1"/>
    <col min="15624" max="15624" width="11.140625" style="275" bestFit="1" customWidth="1"/>
    <col min="15625" max="15877" width="9.140625" style="275"/>
    <col min="15878" max="15878" width="10.5703125" style="275" bestFit="1" customWidth="1"/>
    <col min="15879" max="15879" width="14.85546875" style="275" bestFit="1" customWidth="1"/>
    <col min="15880" max="15880" width="11.140625" style="275" bestFit="1" customWidth="1"/>
    <col min="15881" max="16133" width="9.140625" style="275"/>
    <col min="16134" max="16134" width="10.5703125" style="275" bestFit="1" customWidth="1"/>
    <col min="16135" max="16135" width="14.85546875" style="275" bestFit="1" customWidth="1"/>
    <col min="16136" max="16136" width="11.140625" style="275" bestFit="1" customWidth="1"/>
    <col min="16137" max="16384" width="9.140625" style="275"/>
  </cols>
  <sheetData>
    <row r="1" spans="2:18" ht="18.75">
      <c r="B1" s="277" t="s">
        <v>290</v>
      </c>
      <c r="C1" s="278"/>
      <c r="D1" s="279"/>
      <c r="E1" s="279"/>
      <c r="I1" s="275"/>
    </row>
    <row r="3" spans="2:18">
      <c r="D3" s="2" t="s">
        <v>60</v>
      </c>
    </row>
    <row r="4" spans="2:18">
      <c r="B4" s="280" t="s">
        <v>2</v>
      </c>
      <c r="C4" s="280" t="s">
        <v>69</v>
      </c>
      <c r="D4" s="280" t="s">
        <v>40</v>
      </c>
      <c r="E4" s="281" t="s">
        <v>150</v>
      </c>
      <c r="F4" s="282" t="s">
        <v>181</v>
      </c>
      <c r="G4" s="281" t="s">
        <v>291</v>
      </c>
      <c r="H4" s="282" t="s">
        <v>503</v>
      </c>
      <c r="I4" s="282" t="s">
        <v>292</v>
      </c>
      <c r="J4" s="282" t="s">
        <v>293</v>
      </c>
    </row>
    <row r="5" spans="2:18" ht="15.75" thickBot="1">
      <c r="B5" s="283" t="s">
        <v>261</v>
      </c>
      <c r="C5" s="283"/>
      <c r="D5" s="283"/>
      <c r="E5" s="283"/>
      <c r="F5" s="283"/>
      <c r="G5" s="283"/>
      <c r="H5" s="283" t="s">
        <v>187</v>
      </c>
      <c r="I5" s="283" t="s">
        <v>294</v>
      </c>
      <c r="J5" s="283" t="s">
        <v>295</v>
      </c>
    </row>
    <row r="6" spans="2:18">
      <c r="B6" s="275" t="str">
        <f>Processes!C85</f>
        <v>FT-SUPNGA</v>
      </c>
      <c r="C6" s="275" t="str">
        <f>Commodities!C21</f>
        <v>GASNAT</v>
      </c>
      <c r="D6" s="275" t="str">
        <f>Commodities!C52</f>
        <v>SUPNGA</v>
      </c>
      <c r="E6" s="47">
        <f>$C$20</f>
        <v>1</v>
      </c>
      <c r="F6" s="47">
        <f>$C$21</f>
        <v>100</v>
      </c>
      <c r="G6" s="47"/>
      <c r="H6" s="193"/>
      <c r="J6" s="47"/>
    </row>
    <row r="7" spans="2:18">
      <c r="B7" s="275" t="str">
        <f>Processes!C86</f>
        <v>FT-SUPCOA</v>
      </c>
      <c r="C7" s="275" t="str">
        <f>Commodities!C7</f>
        <v>COAHAR</v>
      </c>
      <c r="D7" s="275" t="str">
        <f>Commodities!C51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3"/>
      <c r="J7" s="47"/>
    </row>
    <row r="8" spans="2:18">
      <c r="B8" s="275" t="str">
        <f>Processes!C87</f>
        <v>FT-SUPWAS</v>
      </c>
      <c r="C8" s="275" t="str">
        <f>Commodities!C27</f>
        <v>MSWAS</v>
      </c>
      <c r="D8" s="275" t="str">
        <f>Commodities!C55</f>
        <v>SUPWAS</v>
      </c>
      <c r="E8" s="47">
        <f t="shared" si="0"/>
        <v>1</v>
      </c>
      <c r="F8" s="47">
        <f t="shared" si="1"/>
        <v>100</v>
      </c>
      <c r="G8" s="47"/>
      <c r="H8" s="193"/>
      <c r="J8" s="47"/>
    </row>
    <row r="9" spans="2:18">
      <c r="B9" s="275" t="str">
        <f>Processes!C88</f>
        <v>FT-SUPBIO</v>
      </c>
      <c r="C9" s="275" t="str">
        <f>_xlfn.TEXTJOIN(", ",TRUE,Commodities!C36,Commodities!C40,Commodities!C41)</f>
        <v>BIOWOO, BIOWPE, BIOWCH</v>
      </c>
      <c r="D9" s="275" t="str">
        <f>Commodities!C53</f>
        <v>SUPBIO</v>
      </c>
      <c r="E9" s="47">
        <f t="shared" si="0"/>
        <v>1</v>
      </c>
      <c r="F9" s="47">
        <f t="shared" si="1"/>
        <v>100</v>
      </c>
      <c r="G9" s="47"/>
      <c r="H9" s="193"/>
      <c r="J9" s="47"/>
    </row>
    <row r="10" spans="2:18">
      <c r="B10" s="275" t="str">
        <f>Processes!C89</f>
        <v>FT-SUPELC</v>
      </c>
      <c r="C10" s="275" t="s">
        <v>70</v>
      </c>
      <c r="D10" s="275" t="str">
        <f>Commodities!C54</f>
        <v>SUPELC</v>
      </c>
      <c r="E10" s="47">
        <f t="shared" si="0"/>
        <v>1</v>
      </c>
      <c r="F10" s="47">
        <f t="shared" si="1"/>
        <v>100</v>
      </c>
      <c r="G10" s="47"/>
      <c r="H10" s="193"/>
      <c r="J10" s="47"/>
    </row>
    <row r="11" spans="2:18">
      <c r="E11" s="47"/>
      <c r="F11" s="47"/>
      <c r="G11" s="47"/>
      <c r="H11" s="193"/>
      <c r="J11" s="47"/>
      <c r="L11" s="258"/>
      <c r="M11" s="258"/>
      <c r="N11" s="274"/>
      <c r="O11" s="284"/>
      <c r="P11" s="284"/>
      <c r="Q11" s="284"/>
      <c r="R11" s="270"/>
    </row>
    <row r="12" spans="2:18">
      <c r="E12" s="47"/>
      <c r="F12" s="47"/>
      <c r="G12" s="285"/>
      <c r="H12" s="193"/>
      <c r="J12" s="285"/>
      <c r="L12" s="258"/>
      <c r="M12" s="258"/>
      <c r="N12" s="274"/>
      <c r="O12" s="284"/>
      <c r="P12" s="284"/>
      <c r="Q12" s="284"/>
      <c r="R12" s="270"/>
    </row>
    <row r="13" spans="2:18">
      <c r="F13" s="285"/>
      <c r="G13" s="285"/>
      <c r="H13" s="285"/>
      <c r="J13" s="285"/>
      <c r="L13" s="258"/>
      <c r="M13" s="258"/>
      <c r="N13" s="274"/>
      <c r="O13" s="284"/>
      <c r="P13" s="284"/>
      <c r="Q13" s="258"/>
      <c r="R13" s="270"/>
    </row>
    <row r="14" spans="2:18">
      <c r="E14" s="47"/>
      <c r="F14" s="47"/>
      <c r="G14" s="47"/>
      <c r="H14" s="193"/>
      <c r="J14" s="47"/>
      <c r="L14" s="258"/>
      <c r="M14" s="258"/>
      <c r="N14" s="274"/>
      <c r="O14" s="284"/>
      <c r="P14" s="284"/>
      <c r="Q14" s="284"/>
      <c r="R14" s="270"/>
    </row>
    <row r="19" spans="2:3">
      <c r="B19" s="275" t="s">
        <v>466</v>
      </c>
    </row>
    <row r="20" spans="2:3">
      <c r="B20" s="275" t="s">
        <v>150</v>
      </c>
      <c r="C20" s="275">
        <v>1</v>
      </c>
    </row>
    <row r="21" spans="2:3">
      <c r="B21" s="275" t="s">
        <v>181</v>
      </c>
      <c r="C21" s="275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zoomScaleNormal="100" workbookViewId="0">
      <selection activeCell="R10" sqref="R10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1"/>
      <c r="L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3"/>
      <c r="L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3"/>
      <c r="L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3"/>
      <c r="L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2" t="s">
        <v>266</v>
      </c>
      <c r="K7" s="3"/>
      <c r="L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4">
        <v>0.95000000000000484</v>
      </c>
      <c r="K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4">
        <v>1.2700000000000062</v>
      </c>
      <c r="K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4">
        <v>0.87557603686636576</v>
      </c>
      <c r="K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4">
        <v>1.0669585115925122</v>
      </c>
      <c r="K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5">
        <v>1.5294117647058842</v>
      </c>
      <c r="K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5">
        <v>1.6470588235294101</v>
      </c>
      <c r="K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5">
        <v>0.80999999999999872</v>
      </c>
      <c r="K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5">
        <v>1.6470588235294101</v>
      </c>
      <c r="K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29">
        <v>1.2941176470588207</v>
      </c>
      <c r="K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4">
        <v>1.6470588235294101</v>
      </c>
      <c r="K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1"/>
      <c r="F18" s="15"/>
      <c r="G18" s="15"/>
      <c r="H18" s="15"/>
      <c r="I18" s="15"/>
      <c r="J18" s="113"/>
      <c r="K18" s="3"/>
      <c r="L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2" t="str">
        <f>Commodities!C20</f>
        <v>OILNEU</v>
      </c>
      <c r="E19" s="261">
        <f t="shared" ref="E19:I19" si="2">E5</f>
        <v>6.8347633154600382</v>
      </c>
      <c r="F19" s="261">
        <f t="shared" si="2"/>
        <v>10.989227291523985</v>
      </c>
      <c r="G19" s="261">
        <f t="shared" si="2"/>
        <v>17.019900805165197</v>
      </c>
      <c r="H19" s="261">
        <f t="shared" si="2"/>
        <v>19.566185177591485</v>
      </c>
      <c r="I19" s="261">
        <f t="shared" si="2"/>
        <v>22.493409731719346</v>
      </c>
      <c r="J19" s="292"/>
      <c r="K19" s="3"/>
      <c r="L19" s="3"/>
    </row>
    <row r="20" spans="2:20">
      <c r="B20"/>
      <c r="C20"/>
      <c r="D20"/>
      <c r="E20"/>
      <c r="F20"/>
      <c r="G20"/>
      <c r="H20" s="258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0" t="s">
        <v>102</v>
      </c>
      <c r="C23" s="141"/>
      <c r="D23" s="141"/>
      <c r="E23" s="141"/>
      <c r="F23" s="141"/>
      <c r="G23" s="141"/>
      <c r="H23" s="506" t="s">
        <v>89</v>
      </c>
      <c r="I23" s="507"/>
      <c r="J23" s="507"/>
      <c r="K23" s="508"/>
      <c r="L23" s="509" t="s">
        <v>90</v>
      </c>
      <c r="M23" s="509"/>
      <c r="N23" s="509"/>
      <c r="O23" s="510"/>
      <c r="P23" s="499" t="s">
        <v>91</v>
      </c>
      <c r="Q23" s="499"/>
      <c r="R23" s="499"/>
      <c r="S23" s="500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01" t="s">
        <v>85</v>
      </c>
      <c r="I57" s="502"/>
      <c r="J57"/>
      <c r="K57" s="501" t="s">
        <v>96</v>
      </c>
      <c r="L57" s="502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503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4"/>
      <c r="I60" s="65">
        <v>0.13700000000000001</v>
      </c>
      <c r="J60"/>
      <c r="K60" s="61" t="s">
        <v>157</v>
      </c>
      <c r="L60" s="153">
        <f>1/L59</f>
        <v>0.76869859328157431</v>
      </c>
      <c r="M60"/>
      <c r="S60"/>
    </row>
    <row r="61" spans="2:19">
      <c r="H61" s="505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V57"/>
  <sheetViews>
    <sheetView topLeftCell="A12" zoomScale="110" zoomScaleNormal="110" workbookViewId="0">
      <selection activeCell="K24" sqref="K24"/>
    </sheetView>
  </sheetViews>
  <sheetFormatPr defaultColWidth="9.140625" defaultRowHeight="15"/>
  <cols>
    <col min="1" max="1" width="9.140625" style="275"/>
    <col min="2" max="2" width="22.140625" style="275" bestFit="1" customWidth="1"/>
    <col min="3" max="3" width="31.7109375" style="275" bestFit="1" customWidth="1"/>
    <col min="4" max="4" width="16.28515625" style="275" bestFit="1" customWidth="1"/>
    <col min="5" max="13" width="12.85546875" style="275" customWidth="1"/>
    <col min="14" max="15" width="13" style="275" customWidth="1"/>
    <col min="16" max="16" width="21.85546875" style="275" customWidth="1"/>
    <col min="17" max="17" width="29.5703125" style="275" bestFit="1" customWidth="1"/>
    <col min="18" max="21" width="9.140625" style="275"/>
    <col min="22" max="22" width="14.5703125" style="275" bestFit="1" customWidth="1"/>
    <col min="23" max="23" width="29.5703125" style="275" bestFit="1" customWidth="1"/>
    <col min="24" max="16384" width="9.140625" style="275"/>
  </cols>
  <sheetData>
    <row r="2" spans="2:11" ht="18.75">
      <c r="B2" s="4" t="s">
        <v>104</v>
      </c>
      <c r="C2" s="4"/>
      <c r="D2" s="18" t="s">
        <v>132</v>
      </c>
      <c r="E2" s="179"/>
      <c r="F2" s="179"/>
      <c r="G2" s="178"/>
      <c r="H2" s="178"/>
      <c r="I2" s="178"/>
      <c r="J2" s="178"/>
      <c r="K2" s="178"/>
    </row>
    <row r="3" spans="2:11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180" t="s">
        <v>71</v>
      </c>
    </row>
    <row r="4" spans="2:11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81"/>
    </row>
    <row r="5" spans="2:11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2">
        <f>'SEAI-AEA_BioData'!K$23</f>
        <v>18.176172733352441</v>
      </c>
      <c r="F5" s="182">
        <f>'SEAI-AEA_BioData'!L$23</f>
        <v>17.579057991783699</v>
      </c>
      <c r="G5" s="182">
        <f>'SEAI-AEA_BioData'!M$23</f>
        <v>16.599789815610968</v>
      </c>
      <c r="H5" s="182">
        <f>'SEAI-AEA_BioData'!N$23</f>
        <v>15.883252125728479</v>
      </c>
      <c r="I5" s="182"/>
      <c r="J5" s="182"/>
      <c r="K5" s="39"/>
    </row>
    <row r="6" spans="2:11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2">
        <f>'SEAI-AEA_BioData'!K$33</f>
        <v>18.916595012897677</v>
      </c>
      <c r="F6" s="182">
        <f>'SEAI-AEA_BioData'!L$33</f>
        <v>19.083787140536923</v>
      </c>
      <c r="G6" s="182">
        <f>'SEAI-AEA_BioData'!M$33</f>
        <v>18.916595012897677</v>
      </c>
      <c r="H6" s="182">
        <f>'SEAI-AEA_BioData'!N$33</f>
        <v>19.131556319862423</v>
      </c>
      <c r="I6" s="182">
        <f>H6*Imports_Fossil!$N$31/Imports_Fossil!$M$31</f>
        <v>21.993757659054438</v>
      </c>
      <c r="J6" s="182">
        <f>H6*Imports_Fossil!$O$31/Imports_Fossil!$M$31</f>
        <v>25.284162348204315</v>
      </c>
      <c r="K6" s="39"/>
    </row>
    <row r="7" spans="2:11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2">
        <f>'SEAI-AEA_BioData'!K$44</f>
        <v>19.680901882105665</v>
      </c>
      <c r="F7" s="182">
        <f>'SEAI-AEA_BioData'!L$44</f>
        <v>20.684054647941146</v>
      </c>
      <c r="G7" s="182">
        <f>'SEAI-AEA_BioData'!M$44</f>
        <v>21.758861182764878</v>
      </c>
      <c r="H7" s="182">
        <f>'SEAI-AEA_BioData'!N$44</f>
        <v>23.550205407471097</v>
      </c>
      <c r="I7" s="182">
        <f>H7*Imports_Fossil!$N$31/Imports_Fossil!$M$31</f>
        <v>27.073464484179372</v>
      </c>
      <c r="J7" s="182">
        <f>H7*Imports_Fossil!$O$31/Imports_Fossil!$M$31</f>
        <v>31.123825312521166</v>
      </c>
      <c r="K7" s="39"/>
    </row>
    <row r="8" spans="2:11">
      <c r="B8" s="116" t="str">
        <f>Processes!C26</f>
        <v>IMPBIOETH1G_S4</v>
      </c>
      <c r="C8" s="116" t="str">
        <f>Processes!D26</f>
        <v>Import of Ethanol 1st generation  - Step 4</v>
      </c>
      <c r="D8" s="116" t="str">
        <f>Commodities!$C$30</f>
        <v>BIOETH1G</v>
      </c>
      <c r="E8" s="128">
        <f>'SEAI-AEA_BioData'!K$55</f>
        <v>20.636285468615647</v>
      </c>
      <c r="F8" s="128">
        <f>'SEAI-AEA_BioData'!L$55</f>
        <v>22.714244769274863</v>
      </c>
      <c r="G8" s="128">
        <f>'SEAI-AEA_BioData'!M$55</f>
        <v>25.174357504538072</v>
      </c>
      <c r="H8" s="128">
        <f>'SEAI-AEA_BioData'!N$55</f>
        <v>28.757045953950509</v>
      </c>
      <c r="I8" s="128">
        <f>H8*Imports_Fossil!$N$31/Imports_Fossil!$M$31</f>
        <v>33.059281175407669</v>
      </c>
      <c r="J8" s="128">
        <f>H8*Imports_Fossil!$O$31/Imports_Fossil!$M$31</f>
        <v>38.005157886689133</v>
      </c>
      <c r="K8" s="116"/>
    </row>
    <row r="9" spans="2:11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2">
        <f>'SEAI-AEA_BioData'!K$25</f>
        <v>31.360466227190216</v>
      </c>
      <c r="F9" s="182">
        <f>'SEAI-AEA_BioData'!L$25</f>
        <v>33.175695041559187</v>
      </c>
      <c r="G9" s="182">
        <f>'SEAI-AEA_BioData'!M$25</f>
        <v>31.862042610107956</v>
      </c>
      <c r="H9" s="182">
        <f>'SEAI-AEA_BioData'!N$25</f>
        <v>31.336581637527466</v>
      </c>
      <c r="I9" s="182"/>
      <c r="J9" s="182"/>
      <c r="K9" s="39"/>
    </row>
    <row r="10" spans="2:11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2">
        <f>'SEAI-AEA_BioData'!K$35</f>
        <v>32.650234068978691</v>
      </c>
      <c r="F10" s="182">
        <f>'SEAI-AEA_BioData'!L$35</f>
        <v>35.826884494124393</v>
      </c>
      <c r="G10" s="182">
        <f>'SEAI-AEA_BioData'!M$35</f>
        <v>35.97019203210089</v>
      </c>
      <c r="H10" s="182">
        <f>'SEAI-AEA_BioData'!N$35</f>
        <v>37.021113977261869</v>
      </c>
      <c r="I10" s="182">
        <f>H10*Imports_Fossil!$N$31/Imports_Fossil!$M$31</f>
        <v>42.559705832127818</v>
      </c>
      <c r="J10" s="182">
        <f>H10*Imports_Fossil!$O$31/Imports_Fossil!$M$31</f>
        <v>48.9269059172493</v>
      </c>
      <c r="K10" s="39"/>
    </row>
    <row r="11" spans="2:11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2">
        <f>'SEAI-AEA_BioData'!K$46</f>
        <v>33.916117321104423</v>
      </c>
      <c r="F11" s="182">
        <f>'SEAI-AEA_BioData'!L$46</f>
        <v>38.334766408713094</v>
      </c>
      <c r="G11" s="182">
        <f>'SEAI-AEA_BioData'!M$46</f>
        <v>40.460494888697809</v>
      </c>
      <c r="H11" s="182">
        <f>'SEAI-AEA_BioData'!N$46</f>
        <v>43.756568262157252</v>
      </c>
      <c r="I11" s="182">
        <f>H11*Imports_Fossil!$N$31/Imports_Fossil!$M$31</f>
        <v>50.302826506102036</v>
      </c>
      <c r="J11" s="182">
        <f>H11*Imports_Fossil!$O$31/Imports_Fossil!$M$31</f>
        <v>57.828446219613369</v>
      </c>
      <c r="K11" s="39"/>
    </row>
    <row r="12" spans="2:11">
      <c r="B12" s="116" t="str">
        <f>Processes!C30</f>
        <v>IMPBIODST1G_S4</v>
      </c>
      <c r="C12" s="116" t="str">
        <f>Processes!D30</f>
        <v>Import of Biodiesel 1st generation  - Step 4</v>
      </c>
      <c r="D12" s="116" t="str">
        <f>Commodities!$C$32</f>
        <v>BIODST1G</v>
      </c>
      <c r="E12" s="128">
        <f>'SEAI-AEA_BioData'!K$57</f>
        <v>35.540269418171391</v>
      </c>
      <c r="F12" s="128">
        <f>'SEAI-AEA_BioData'!L$57</f>
        <v>41.917454858125538</v>
      </c>
      <c r="G12" s="128">
        <f>'SEAI-AEA_BioData'!M$57</f>
        <v>46.527180663036205</v>
      </c>
      <c r="H12" s="128">
        <f>'SEAI-AEA_BioData'!N$57</f>
        <v>52.832712334002096</v>
      </c>
      <c r="I12" s="128">
        <f>H12*Imports_Fossil!$N$31/Imports_Fossil!$M$31</f>
        <v>60.736818903655944</v>
      </c>
      <c r="J12" s="128">
        <f>H12*Imports_Fossil!$O$31/Imports_Fossil!$M$31</f>
        <v>69.823429605777719</v>
      </c>
      <c r="K12" s="116"/>
    </row>
    <row r="13" spans="2:11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2">
        <f>'SEAI-AEA_BioData'!K$21</f>
        <v>10.652526989586319</v>
      </c>
      <c r="F13" s="182">
        <f>'SEAI-AEA_BioData'!L$21</f>
        <v>8.5029139199388553</v>
      </c>
      <c r="G13" s="182">
        <f>'SEAI-AEA_BioData'!M$21</f>
        <v>7.2847998471386255</v>
      </c>
      <c r="H13" s="182">
        <f>'SEAI-AEA_BioData'!N$21</f>
        <v>6.9504155918601311</v>
      </c>
      <c r="I13" s="182"/>
      <c r="J13" s="182"/>
      <c r="K13" s="39"/>
    </row>
    <row r="14" spans="2:11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2">
        <f>'SEAI-AEA_BioData'!K$42</f>
        <v>11.034680424190311</v>
      </c>
      <c r="F14" s="182">
        <f>'SEAI-AEA_BioData'!L$42</f>
        <v>9.0522594821820963</v>
      </c>
      <c r="G14" s="182">
        <f>'SEAI-AEA_BioData'!M$42</f>
        <v>8.0729913060093619</v>
      </c>
      <c r="H14" s="182">
        <f>'SEAI-AEA_BioData'!N$42</f>
        <v>7.9057991783701151</v>
      </c>
      <c r="I14" s="182"/>
      <c r="J14" s="182"/>
      <c r="K14" s="39"/>
    </row>
    <row r="15" spans="2:11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2">
        <f>'SEAI-AEA_BioData'!K$31</f>
        <v>12.27667908665329</v>
      </c>
      <c r="F15" s="182">
        <f>'SEAI-AEA_BioData'!L$31</f>
        <v>10.103181427343078</v>
      </c>
      <c r="G15" s="182">
        <f>'SEAI-AEA_BioData'!M$31</f>
        <v>8.9328365338683469</v>
      </c>
      <c r="H15" s="182">
        <f>'SEAI-AEA_BioData'!N$31</f>
        <v>8.7656444062291001</v>
      </c>
      <c r="I15" s="182"/>
      <c r="J15" s="182"/>
      <c r="K15" s="39"/>
    </row>
    <row r="16" spans="2:11">
      <c r="B16" s="116" t="str">
        <f>Processes!C34</f>
        <v>IMPBIOWPE_S4</v>
      </c>
      <c r="C16" s="116" t="str">
        <f>Processes!D34</f>
        <v>Import of Wood Pellets  - Step 4</v>
      </c>
      <c r="D16" s="116" t="str">
        <f>Commodities!$C$40</f>
        <v>BIOWPE</v>
      </c>
      <c r="E16" s="128">
        <f>'SEAI-AEA_BioData'!K$53</f>
        <v>12.778255469571032</v>
      </c>
      <c r="F16" s="128">
        <f>'SEAI-AEA_BioData'!L$53</f>
        <v>10.795834527562816</v>
      </c>
      <c r="G16" s="128">
        <f>'SEAI-AEA_BioData'!M$53</f>
        <v>9.9837584790293299</v>
      </c>
      <c r="H16" s="128">
        <f>'SEAI-AEA_BioData'!N$53</f>
        <v>10.055412248017578</v>
      </c>
      <c r="I16" s="128"/>
      <c r="J16" s="128"/>
      <c r="K16" s="116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2">
        <f>'SEAI-AEA_BioData'!K$19</f>
        <v>5.2068405464794116</v>
      </c>
      <c r="F17" s="182">
        <f>'SEAI-AEA_BioData'!L$19</f>
        <v>4.1559186013184295</v>
      </c>
      <c r="G17" s="182">
        <f>'SEAI-AEA_BioData'!M$19</f>
        <v>3.5588038597496894</v>
      </c>
      <c r="H17" s="182">
        <f>'SEAI-AEA_BioData'!N$19</f>
        <v>3.3916117321104422</v>
      </c>
      <c r="I17" s="182"/>
      <c r="J17" s="182"/>
      <c r="K17" s="39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2">
        <f>'SEAI-AEA_BioData'!K$40</f>
        <v>5.3979172637814079</v>
      </c>
      <c r="F18" s="182">
        <f>'SEAI-AEA_BioData'!L$40</f>
        <v>4.4186490876086744</v>
      </c>
      <c r="G18" s="182">
        <f>'SEAI-AEA_BioData'!M$40</f>
        <v>3.9409572943536828</v>
      </c>
      <c r="H18" s="182">
        <f>'SEAI-AEA_BioData'!N$40</f>
        <v>3.8693035253654342</v>
      </c>
      <c r="I18" s="182"/>
      <c r="J18" s="182"/>
      <c r="K18" s="39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2">
        <f>'SEAI-AEA_BioData'!K$29</f>
        <v>6.1383395433266452</v>
      </c>
      <c r="F19" s="182">
        <f>'SEAI-AEA_BioData'!L$29</f>
        <v>5.039648418840164</v>
      </c>
      <c r="G19" s="182">
        <f>'SEAI-AEA_BioData'!M$29</f>
        <v>4.4664182669341734</v>
      </c>
      <c r="H19" s="182">
        <f>'SEAI-AEA_BioData'!N$29</f>
        <v>4.3708799082831753</v>
      </c>
      <c r="I19" s="182"/>
      <c r="J19" s="182"/>
      <c r="K19" s="39"/>
    </row>
    <row r="20" spans="2:17">
      <c r="B20" s="116" t="str">
        <f>Processes!C38</f>
        <v>IMPBIOWCH_S4</v>
      </c>
      <c r="C20" s="116" t="str">
        <f>Processes!D38</f>
        <v>Import of Wood Chip  - Step 4</v>
      </c>
      <c r="D20" s="116" t="str">
        <f>Commodities!$C$41</f>
        <v>BIOWCH</v>
      </c>
      <c r="E20" s="128">
        <f>'SEAI-AEA_BioData'!K$51</f>
        <v>6.3771854399541414</v>
      </c>
      <c r="F20" s="128">
        <f>'SEAI-AEA_BioData'!L$51</f>
        <v>5.3979172637814079</v>
      </c>
      <c r="G20" s="128">
        <f>'SEAI-AEA_BioData'!M$51</f>
        <v>4.9918792395146649</v>
      </c>
      <c r="H20" s="128">
        <f>'SEAI-AEA_BioData'!N$51</f>
        <v>5.039648418840164</v>
      </c>
      <c r="I20" s="128"/>
      <c r="J20" s="128"/>
      <c r="K20" s="116"/>
    </row>
    <row r="21" spans="2:17">
      <c r="B21" s="178"/>
      <c r="C21" s="39"/>
      <c r="D21" s="39"/>
      <c r="E21" s="119"/>
      <c r="F21" s="178"/>
      <c r="G21" s="178"/>
      <c r="H21" s="178"/>
      <c r="I21" s="178"/>
      <c r="J21" s="178"/>
      <c r="K21" s="178"/>
      <c r="L21" s="178"/>
    </row>
    <row r="22" spans="2:17" ht="26.25">
      <c r="B22" s="4" t="s">
        <v>134</v>
      </c>
      <c r="C22" s="4"/>
      <c r="D22" s="18" t="s">
        <v>133</v>
      </c>
      <c r="E22" s="119"/>
      <c r="F22" s="178"/>
      <c r="G22" s="178"/>
      <c r="H22" s="178"/>
      <c r="I22" s="178"/>
      <c r="J22" s="178"/>
      <c r="K22" s="178"/>
      <c r="M22" s="233" t="s">
        <v>188</v>
      </c>
      <c r="N22" s="231"/>
      <c r="O22" s="231"/>
      <c r="P22" s="231"/>
      <c r="Q22" s="231"/>
    </row>
    <row r="23" spans="2:17">
      <c r="B23" s="22" t="s">
        <v>2</v>
      </c>
      <c r="C23" s="22" t="s">
        <v>3</v>
      </c>
      <c r="D23" s="22" t="s">
        <v>40</v>
      </c>
      <c r="E23" s="43" t="s">
        <v>344</v>
      </c>
      <c r="F23" s="43" t="s">
        <v>135</v>
      </c>
      <c r="G23" s="43" t="s">
        <v>136</v>
      </c>
      <c r="H23" s="43" t="s">
        <v>137</v>
      </c>
      <c r="I23" s="43" t="s">
        <v>138</v>
      </c>
      <c r="J23" s="180" t="s">
        <v>71</v>
      </c>
      <c r="M23" s="275" t="s">
        <v>189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1"/>
      <c r="M24" s="232"/>
      <c r="N24" s="232"/>
      <c r="O24" s="273" t="s">
        <v>190</v>
      </c>
      <c r="P24" s="273"/>
      <c r="Q24" s="273" t="s">
        <v>191</v>
      </c>
    </row>
    <row r="25" spans="2:17" ht="15.75" thickBot="1">
      <c r="B25" s="120" t="str">
        <f t="shared" ref="B25:C25" si="0">B13</f>
        <v>IMPBIOWPE_S1</v>
      </c>
      <c r="C25" s="120" t="str">
        <f t="shared" si="0"/>
        <v>Import of Wood Pellets  - Step 1</v>
      </c>
      <c r="D25" s="39" t="str">
        <f>Commodities!$C$40</f>
        <v>BIOWPE</v>
      </c>
      <c r="E25" s="183">
        <f t="shared" ref="E25:E32" si="1">SUM($O$25:$Q$25)</f>
        <v>4.8499999999999996</v>
      </c>
      <c r="F25" s="183">
        <f>SUM($O$25:$P$25)+$Q$25*(Imports_Fossil!L$31/Imports_Fossil!$D$31)</f>
        <v>4.1959971466765573</v>
      </c>
      <c r="G25" s="183">
        <f>SUM($O$25:$P$25)+$Q$25*(Imports_Fossil!M$31/Imports_Fossil!$D$31)</f>
        <v>5.1596541174136927</v>
      </c>
      <c r="H25" s="183">
        <f>SUM($O$25:$P$25)+$Q$25*(Imports_Fossil!N$31/Imports_Fossil!$D$31)</f>
        <v>5.5665315050582613</v>
      </c>
      <c r="I25" s="183">
        <f>SUM($O$25:$P$25)+$Q$25*(Imports_Fossil!O$31/Imports_Fossil!$D$31)</f>
        <v>6.0342803129016236</v>
      </c>
      <c r="J25" s="511" t="s">
        <v>139</v>
      </c>
      <c r="M25" s="241" t="s">
        <v>192</v>
      </c>
      <c r="N25" s="271" t="s">
        <v>193</v>
      </c>
      <c r="O25" s="262">
        <v>0.53</v>
      </c>
      <c r="P25" s="262">
        <v>1.91</v>
      </c>
      <c r="Q25" s="262">
        <v>2.41</v>
      </c>
    </row>
    <row r="26" spans="2:17">
      <c r="B26" s="38" t="str">
        <f t="shared" ref="B26:C26" si="2">B14</f>
        <v>IMPBIOWPE_S2</v>
      </c>
      <c r="C26" s="38" t="str">
        <f t="shared" si="2"/>
        <v>Import of Wood Pellets  - Step 2</v>
      </c>
      <c r="D26" s="39" t="str">
        <f>Commodities!$C$40</f>
        <v>BIOWPE</v>
      </c>
      <c r="E26" s="235">
        <f t="shared" si="1"/>
        <v>4.8499999999999996</v>
      </c>
      <c r="F26" s="235">
        <f>SUM($O$25:$P$25)+$Q$25*(Imports_Fossil!L$31/Imports_Fossil!$D$31)</f>
        <v>4.1959971466765573</v>
      </c>
      <c r="G26" s="235">
        <f>SUM($O$25:$P$25)+$Q$25*(Imports_Fossil!M$31/Imports_Fossil!$D$31)</f>
        <v>5.1596541174136927</v>
      </c>
      <c r="H26" s="235">
        <f>SUM($O$25:$P$25)+$Q$25*(Imports_Fossil!N$31/Imports_Fossil!$D$31)</f>
        <v>5.5665315050582613</v>
      </c>
      <c r="I26" s="235">
        <f>SUM($O$25:$P$25)+$Q$25*(Imports_Fossil!O$31/Imports_Fossil!$D$31)</f>
        <v>6.0342803129016236</v>
      </c>
      <c r="J26" s="512"/>
      <c r="L26" s="237"/>
      <c r="M26" s="272"/>
      <c r="N26" s="267"/>
      <c r="O26" s="267"/>
      <c r="P26" s="267"/>
    </row>
    <row r="27" spans="2:17">
      <c r="B27" s="38" t="str">
        <f t="shared" ref="B27:C27" si="3">B15</f>
        <v>IMPBIOWPE_S3</v>
      </c>
      <c r="C27" s="38" t="str">
        <f t="shared" si="3"/>
        <v>Import of Wood Pellets  - Step 3</v>
      </c>
      <c r="D27" s="39" t="str">
        <f>Commodities!$C$40</f>
        <v>BIOWPE</v>
      </c>
      <c r="E27" s="235">
        <f t="shared" si="1"/>
        <v>4.8499999999999996</v>
      </c>
      <c r="F27" s="235">
        <f>SUM($O$25:$P$25)+$Q$25*(Imports_Fossil!L$31/Imports_Fossil!$D$31)</f>
        <v>4.1959971466765573</v>
      </c>
      <c r="G27" s="235">
        <f>SUM($O$25:$P$25)+$Q$25*(Imports_Fossil!M$31/Imports_Fossil!$D$31)</f>
        <v>5.1596541174136927</v>
      </c>
      <c r="H27" s="235">
        <f>SUM($O$25:$P$25)+$Q$25*(Imports_Fossil!N$31/Imports_Fossil!$D$31)</f>
        <v>5.5665315050582613</v>
      </c>
      <c r="I27" s="235">
        <f>SUM($O$25:$P$25)+$Q$25*(Imports_Fossil!O$31/Imports_Fossil!$D$31)</f>
        <v>6.0342803129016236</v>
      </c>
      <c r="J27" s="512"/>
      <c r="L27" s="230"/>
      <c r="M27" s="239"/>
      <c r="N27" s="239"/>
      <c r="O27" s="239"/>
      <c r="P27" s="239"/>
      <c r="Q27" s="239"/>
    </row>
    <row r="28" spans="2:17">
      <c r="B28" s="122" t="str">
        <f t="shared" ref="B28:C28" si="4">B16</f>
        <v>IMPBIOWPE_S4</v>
      </c>
      <c r="C28" s="122" t="str">
        <f t="shared" si="4"/>
        <v>Import of Wood Pellets  - Step 4</v>
      </c>
      <c r="D28" s="116" t="str">
        <f>Commodities!$C$40</f>
        <v>BIOWPE</v>
      </c>
      <c r="E28" s="236">
        <f t="shared" si="1"/>
        <v>4.8499999999999996</v>
      </c>
      <c r="F28" s="236">
        <f>SUM($O$25:$P$25)+$Q$25*(Imports_Fossil!L$31/Imports_Fossil!$D$31)</f>
        <v>4.1959971466765573</v>
      </c>
      <c r="G28" s="236">
        <f>SUM($O$25:$P$25)+$Q$25*(Imports_Fossil!M$31/Imports_Fossil!$D$31)</f>
        <v>5.1596541174136927</v>
      </c>
      <c r="H28" s="236">
        <f>SUM($O$25:$P$25)+$Q$25*(Imports_Fossil!N$31/Imports_Fossil!$D$31)</f>
        <v>5.5665315050582613</v>
      </c>
      <c r="I28" s="236">
        <f>SUM($O$25:$P$25)+$Q$25*(Imports_Fossil!O$31/Imports_Fossil!$D$31)</f>
        <v>6.0342803129016236</v>
      </c>
      <c r="J28" s="512"/>
      <c r="L28" s="178"/>
    </row>
    <row r="29" spans="2:17">
      <c r="B29" s="184" t="str">
        <f t="shared" ref="B29:C29" si="5">B17</f>
        <v>IMPBIOWCH_S1</v>
      </c>
      <c r="C29" s="184" t="str">
        <f t="shared" si="5"/>
        <v>Import of Wood Chip  - Step 1</v>
      </c>
      <c r="D29" s="39" t="str">
        <f>Commodities!$C$41</f>
        <v>BIOWCH</v>
      </c>
      <c r="E29" s="185">
        <f t="shared" si="1"/>
        <v>4.8499999999999996</v>
      </c>
      <c r="F29" s="185">
        <f>SUM($O$25:$P$25)+$Q$25*(Imports_Fossil!L$31/Imports_Fossil!$D$31)</f>
        <v>4.1959971466765573</v>
      </c>
      <c r="G29" s="185">
        <f>SUM($O$25:$P$25)+$Q$25*(Imports_Fossil!M$31/Imports_Fossil!$D$31)</f>
        <v>5.1596541174136927</v>
      </c>
      <c r="H29" s="185">
        <f>SUM($O$25:$P$25)+$Q$25*(Imports_Fossil!N$31/Imports_Fossil!$D$31)</f>
        <v>5.5665315050582613</v>
      </c>
      <c r="I29" s="185">
        <f>SUM($O$25:$P$25)+$Q$25*(Imports_Fossil!O$31/Imports_Fossil!$D$31)</f>
        <v>6.0342803129016236</v>
      </c>
      <c r="J29" s="512"/>
      <c r="L29" s="178"/>
    </row>
    <row r="30" spans="2:17">
      <c r="B30" s="38" t="str">
        <f t="shared" ref="B30:C30" si="6">B18</f>
        <v>IMPBIOWCH_S2</v>
      </c>
      <c r="C30" s="38" t="str">
        <f t="shared" si="6"/>
        <v>Import of Wood Chip  - Step 2</v>
      </c>
      <c r="D30" s="39" t="str">
        <f>Commodities!$C$41</f>
        <v>BIOWCH</v>
      </c>
      <c r="E30" s="235">
        <f t="shared" si="1"/>
        <v>4.8499999999999996</v>
      </c>
      <c r="F30" s="235">
        <f>SUM($O$25:$P$25)+$Q$25*(Imports_Fossil!L$31/Imports_Fossil!$D$31)</f>
        <v>4.1959971466765573</v>
      </c>
      <c r="G30" s="235">
        <f>SUM($O$25:$P$25)+$Q$25*(Imports_Fossil!M$31/Imports_Fossil!$D$31)</f>
        <v>5.1596541174136927</v>
      </c>
      <c r="H30" s="235">
        <f>SUM($O$25:$P$25)+$Q$25*(Imports_Fossil!N$31/Imports_Fossil!$D$31)</f>
        <v>5.5665315050582613</v>
      </c>
      <c r="I30" s="235">
        <f>SUM($O$25:$P$25)+$Q$25*(Imports_Fossil!O$31/Imports_Fossil!$D$31)</f>
        <v>6.0342803129016236</v>
      </c>
      <c r="J30" s="512"/>
      <c r="L30" s="178"/>
    </row>
    <row r="31" spans="2:17">
      <c r="B31" s="38" t="str">
        <f t="shared" ref="B31:C31" si="7">B19</f>
        <v>IMPBIOWCH_S3</v>
      </c>
      <c r="C31" s="38" t="str">
        <f t="shared" si="7"/>
        <v>Import of Wood Chip  - Step 3</v>
      </c>
      <c r="D31" s="39" t="str">
        <f>Commodities!$C$41</f>
        <v>BIOWCH</v>
      </c>
      <c r="E31" s="235">
        <f t="shared" si="1"/>
        <v>4.8499999999999996</v>
      </c>
      <c r="F31" s="235">
        <f>SUM($O$25:$P$25)+$Q$25*(Imports_Fossil!L$31/Imports_Fossil!$D$31)</f>
        <v>4.1959971466765573</v>
      </c>
      <c r="G31" s="235">
        <f>SUM($O$25:$P$25)+$Q$25*(Imports_Fossil!M$31/Imports_Fossil!$D$31)</f>
        <v>5.1596541174136927</v>
      </c>
      <c r="H31" s="235">
        <f>SUM($O$25:$P$25)+$Q$25*(Imports_Fossil!N$31/Imports_Fossil!$D$31)</f>
        <v>5.5665315050582613</v>
      </c>
      <c r="I31" s="235">
        <f>SUM($O$25:$P$25)+$Q$25*(Imports_Fossil!O$31/Imports_Fossil!$D$31)</f>
        <v>6.0342803129016236</v>
      </c>
      <c r="J31" s="512"/>
      <c r="L31" s="178"/>
    </row>
    <row r="32" spans="2:17">
      <c r="B32" s="122" t="str">
        <f t="shared" ref="B32:C32" si="8">B20</f>
        <v>IMPBIOWCH_S4</v>
      </c>
      <c r="C32" s="122" t="str">
        <f t="shared" si="8"/>
        <v>Import of Wood Chip  - Step 4</v>
      </c>
      <c r="D32" s="116" t="str">
        <f>Commodities!$C$41</f>
        <v>BIOWCH</v>
      </c>
      <c r="E32" s="236">
        <f t="shared" si="1"/>
        <v>4.8499999999999996</v>
      </c>
      <c r="F32" s="236">
        <f>SUM($O$25:$P$25)+$Q$25*(Imports_Fossil!L$31/Imports_Fossil!$D$31)</f>
        <v>4.1959971466765573</v>
      </c>
      <c r="G32" s="236">
        <f>SUM($O$25:$P$25)+$Q$25*(Imports_Fossil!M$31/Imports_Fossil!$D$31)</f>
        <v>5.1596541174136927</v>
      </c>
      <c r="H32" s="236">
        <f>SUM($O$25:$P$25)+$Q$25*(Imports_Fossil!N$31/Imports_Fossil!$D$31)</f>
        <v>5.5665315050582613</v>
      </c>
      <c r="I32" s="236">
        <f>SUM($O$25:$P$25)+$Q$25*(Imports_Fossil!O$31/Imports_Fossil!$D$31)</f>
        <v>6.0342803129016236</v>
      </c>
      <c r="J32" s="513"/>
      <c r="L32" s="178"/>
    </row>
    <row r="33" spans="2:22">
      <c r="B33" s="178"/>
      <c r="C33" s="39"/>
      <c r="D33" s="39"/>
      <c r="E33" s="119"/>
      <c r="F33" s="178"/>
      <c r="G33" s="178"/>
      <c r="H33" s="178"/>
      <c r="I33" s="178"/>
      <c r="J33" s="178"/>
      <c r="K33" s="178"/>
      <c r="L33" s="178"/>
    </row>
    <row r="34" spans="2:22">
      <c r="F34" s="44"/>
      <c r="G34" s="44"/>
      <c r="H34" s="45"/>
      <c r="I34" s="45"/>
      <c r="J34" s="240"/>
    </row>
    <row r="35" spans="2:22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0"/>
    </row>
    <row r="36" spans="2:22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493">
        <v>0</v>
      </c>
      <c r="N36" s="180" t="s">
        <v>71</v>
      </c>
      <c r="O36" s="43"/>
      <c r="S36" s="275" t="s">
        <v>273</v>
      </c>
    </row>
    <row r="37" spans="2:22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 t="s">
        <v>509</v>
      </c>
      <c r="N37" s="10"/>
      <c r="O37" s="10"/>
      <c r="Q37" s="268"/>
      <c r="S37" s="275" t="s">
        <v>274</v>
      </c>
    </row>
    <row r="38" spans="2:22">
      <c r="B38" s="120" t="str">
        <f>Imports_Bio!B5</f>
        <v>IMPBIOETH1G_S1</v>
      </c>
      <c r="C38" s="120" t="str">
        <f>Imports_Bio!C5</f>
        <v>Import of Ethanol 1st generation  - Step 1</v>
      </c>
      <c r="D38" s="121" t="str">
        <f>Commodities!$C$30</f>
        <v>BIOETH1G</v>
      </c>
      <c r="E38" s="264">
        <f>SEAI_Bal!AG3*Conversions!$B$2*Imports_Bio!$Q$38</f>
        <v>2.4623085394510844</v>
      </c>
      <c r="F38" s="130">
        <f>E38</f>
        <v>2.4623085394510844</v>
      </c>
      <c r="G38" s="130">
        <f t="shared" ref="G38:L38" si="9">F38</f>
        <v>2.4623085394510844</v>
      </c>
      <c r="H38" s="130">
        <f t="shared" si="9"/>
        <v>2.4623085394510844</v>
      </c>
      <c r="I38" s="130">
        <f t="shared" si="9"/>
        <v>2.4623085394510844</v>
      </c>
      <c r="J38" s="130">
        <f t="shared" si="9"/>
        <v>2.4623085394510844</v>
      </c>
      <c r="K38" s="130">
        <f t="shared" si="9"/>
        <v>2.4623085394510844</v>
      </c>
      <c r="L38" s="130">
        <f t="shared" si="9"/>
        <v>2.4623085394510844</v>
      </c>
      <c r="M38" s="494">
        <v>5</v>
      </c>
      <c r="N38" s="143" t="s">
        <v>272</v>
      </c>
      <c r="O38" s="130"/>
      <c r="Q38" s="265">
        <f>V40/SUM(V39:V40)</f>
        <v>0.46300873094940176</v>
      </c>
      <c r="S38" s="275" t="s">
        <v>275</v>
      </c>
      <c r="T38" s="275" t="s">
        <v>264</v>
      </c>
      <c r="U38" s="275" t="s">
        <v>276</v>
      </c>
      <c r="V38" s="275">
        <v>2012</v>
      </c>
    </row>
    <row r="39" spans="2:22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6">
        <v>0</v>
      </c>
      <c r="F39" s="127">
        <f>F38*2</f>
        <v>4.9246170789021688</v>
      </c>
      <c r="G39" s="127">
        <f t="shared" ref="G39:L40" si="10">G38*2</f>
        <v>4.9246170789021688</v>
      </c>
      <c r="H39" s="127">
        <f t="shared" si="10"/>
        <v>4.9246170789021688</v>
      </c>
      <c r="I39" s="127">
        <f t="shared" si="10"/>
        <v>4.9246170789021688</v>
      </c>
      <c r="J39" s="127">
        <f t="shared" si="10"/>
        <v>4.9246170789021688</v>
      </c>
      <c r="K39" s="127">
        <f t="shared" si="10"/>
        <v>4.9246170789021688</v>
      </c>
      <c r="L39" s="127">
        <f t="shared" si="10"/>
        <v>4.9246170789021688</v>
      </c>
      <c r="M39" s="495">
        <v>5</v>
      </c>
      <c r="N39" s="144" t="s">
        <v>281</v>
      </c>
      <c r="O39" s="127"/>
      <c r="Q39" s="47"/>
      <c r="S39" s="275" t="s">
        <v>277</v>
      </c>
      <c r="T39" s="275" t="s">
        <v>278</v>
      </c>
      <c r="U39" s="275" t="s">
        <v>279</v>
      </c>
      <c r="V39" s="275">
        <v>1.8600597771716001</v>
      </c>
    </row>
    <row r="40" spans="2:22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6">
        <v>0</v>
      </c>
      <c r="F40" s="127">
        <f>F39*2</f>
        <v>9.8492341578043376</v>
      </c>
      <c r="G40" s="127">
        <f t="shared" si="10"/>
        <v>9.8492341578043376</v>
      </c>
      <c r="H40" s="127">
        <f t="shared" si="10"/>
        <v>9.8492341578043376</v>
      </c>
      <c r="I40" s="127">
        <f t="shared" si="10"/>
        <v>9.8492341578043376</v>
      </c>
      <c r="J40" s="127">
        <f t="shared" si="10"/>
        <v>9.8492341578043376</v>
      </c>
      <c r="K40" s="127">
        <f t="shared" si="10"/>
        <v>9.8492341578043376</v>
      </c>
      <c r="L40" s="127">
        <f t="shared" si="10"/>
        <v>9.8492341578043376</v>
      </c>
      <c r="M40" s="495">
        <v>5</v>
      </c>
      <c r="N40" s="144" t="s">
        <v>282</v>
      </c>
      <c r="O40" s="127"/>
      <c r="Q40" s="47"/>
      <c r="S40" s="275" t="s">
        <v>277</v>
      </c>
      <c r="T40" s="275" t="s">
        <v>278</v>
      </c>
      <c r="U40" s="275" t="s">
        <v>280</v>
      </c>
      <c r="V40" s="275">
        <v>1.6037950085127</v>
      </c>
    </row>
    <row r="41" spans="2:22">
      <c r="B41" s="122" t="str">
        <f>"*"&amp;Imports_Bio!B8</f>
        <v>*IMPBIOETH1G_S4</v>
      </c>
      <c r="C41" s="122" t="str">
        <f>Imports_Bio!C8</f>
        <v>Import of Ethanol 1st generation  - Step 4</v>
      </c>
      <c r="D41" s="116" t="str">
        <f>Commodities!$C$30</f>
        <v>BIOETH1G</v>
      </c>
      <c r="E41" s="269">
        <v>0</v>
      </c>
      <c r="F41" s="128">
        <v>27.064417978971818</v>
      </c>
      <c r="G41" s="128">
        <v>27.064417978971818</v>
      </c>
      <c r="H41" s="128">
        <v>27.064417978971818</v>
      </c>
      <c r="I41" s="128">
        <v>27.064417978971818</v>
      </c>
      <c r="J41" s="128">
        <v>27.064417978971818</v>
      </c>
      <c r="K41" s="128">
        <v>27.064417978971818</v>
      </c>
      <c r="L41" s="128">
        <v>27.064417978971818</v>
      </c>
      <c r="M41" s="496">
        <v>5</v>
      </c>
      <c r="N41" s="145" t="s">
        <v>283</v>
      </c>
      <c r="O41" s="128"/>
      <c r="Q41" s="47"/>
    </row>
    <row r="42" spans="2:22" ht="15.75" thickBot="1">
      <c r="B42" s="123" t="s">
        <v>100</v>
      </c>
      <c r="C42" s="123"/>
      <c r="D42" s="124"/>
      <c r="E42" s="131"/>
      <c r="F42" s="131">
        <f>G42</f>
        <v>59.810866344000004</v>
      </c>
      <c r="G42" s="131">
        <f>H42</f>
        <v>59.810866344000004</v>
      </c>
      <c r="H42" s="131">
        <f>'SEAI-AEA_BioData'!G54*Conversions!$B$2/1000</f>
        <v>59.810866344000004</v>
      </c>
      <c r="I42" s="131">
        <f>H42</f>
        <v>59.810866344000004</v>
      </c>
      <c r="J42" s="131">
        <f t="shared" ref="J42:L42" si="11">I42</f>
        <v>59.810866344000004</v>
      </c>
      <c r="K42" s="131">
        <f t="shared" si="11"/>
        <v>59.810866344000004</v>
      </c>
      <c r="L42" s="131">
        <f t="shared" si="11"/>
        <v>59.810866344000004</v>
      </c>
      <c r="M42" s="497"/>
      <c r="N42" s="146" t="s">
        <v>103</v>
      </c>
      <c r="O42" s="131"/>
      <c r="Q42" s="47"/>
    </row>
    <row r="43" spans="2:22">
      <c r="B43" s="120" t="str">
        <f>Imports_Bio!B9</f>
        <v>IMPBIODST1G_S1</v>
      </c>
      <c r="C43" s="120" t="str">
        <f>Imports_Bio!C9</f>
        <v>Import of Biodiesel 1st generation  - Step 1</v>
      </c>
      <c r="D43" s="121" t="str">
        <f>Commodities!$C$32</f>
        <v>BIODST1G</v>
      </c>
      <c r="E43" s="264">
        <f>SEAI_Bal!AG3*Conversions!$B$2*Imports_Bio!$Q$43</f>
        <v>2.855752168393686</v>
      </c>
      <c r="F43" s="130">
        <f>E43</f>
        <v>2.855752168393686</v>
      </c>
      <c r="G43" s="130">
        <f t="shared" ref="G43:L43" si="12">F43</f>
        <v>2.855752168393686</v>
      </c>
      <c r="H43" s="130">
        <f t="shared" si="12"/>
        <v>2.855752168393686</v>
      </c>
      <c r="I43" s="130">
        <f t="shared" si="12"/>
        <v>2.855752168393686</v>
      </c>
      <c r="J43" s="130">
        <f t="shared" si="12"/>
        <v>2.855752168393686</v>
      </c>
      <c r="K43" s="130">
        <f t="shared" si="12"/>
        <v>2.855752168393686</v>
      </c>
      <c r="L43" s="130">
        <f t="shared" si="12"/>
        <v>2.855752168393686</v>
      </c>
      <c r="M43" s="494">
        <v>5</v>
      </c>
      <c r="N43" s="143" t="s">
        <v>272</v>
      </c>
      <c r="O43" s="130"/>
      <c r="Q43" s="263">
        <f>1-Q38</f>
        <v>0.53699126905059824</v>
      </c>
    </row>
    <row r="44" spans="2:22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6">
        <v>0</v>
      </c>
      <c r="F44" s="127">
        <f>F43*2</f>
        <v>5.7115043367873719</v>
      </c>
      <c r="G44" s="127">
        <f t="shared" ref="G44:L45" si="13">G43*2</f>
        <v>5.7115043367873719</v>
      </c>
      <c r="H44" s="127">
        <f t="shared" si="13"/>
        <v>5.7115043367873719</v>
      </c>
      <c r="I44" s="127">
        <f t="shared" si="13"/>
        <v>5.7115043367873719</v>
      </c>
      <c r="J44" s="127">
        <f t="shared" si="13"/>
        <v>5.7115043367873719</v>
      </c>
      <c r="K44" s="127">
        <f t="shared" si="13"/>
        <v>5.7115043367873719</v>
      </c>
      <c r="L44" s="127">
        <f t="shared" si="13"/>
        <v>5.7115043367873719</v>
      </c>
      <c r="M44" s="495">
        <v>5</v>
      </c>
      <c r="N44" s="144" t="s">
        <v>281</v>
      </c>
      <c r="O44" s="127"/>
      <c r="Q44" s="47"/>
    </row>
    <row r="45" spans="2:22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6">
        <v>0</v>
      </c>
      <c r="F45" s="127">
        <f>F44*2</f>
        <v>11.423008673574744</v>
      </c>
      <c r="G45" s="127">
        <f t="shared" si="13"/>
        <v>11.423008673574744</v>
      </c>
      <c r="H45" s="127">
        <f t="shared" si="13"/>
        <v>11.423008673574744</v>
      </c>
      <c r="I45" s="127">
        <f t="shared" si="13"/>
        <v>11.423008673574744</v>
      </c>
      <c r="J45" s="127">
        <f t="shared" si="13"/>
        <v>11.423008673574744</v>
      </c>
      <c r="K45" s="127">
        <f t="shared" si="13"/>
        <v>11.423008673574744</v>
      </c>
      <c r="L45" s="127">
        <f t="shared" si="13"/>
        <v>11.423008673574744</v>
      </c>
      <c r="M45" s="495">
        <v>5</v>
      </c>
      <c r="N45" s="144" t="s">
        <v>282</v>
      </c>
      <c r="O45" s="127"/>
      <c r="Q45" s="47"/>
    </row>
    <row r="46" spans="2:22">
      <c r="B46" s="122" t="str">
        <f>"*"&amp;Imports_Bio!B12</f>
        <v>*IMPBIODST1G_S4</v>
      </c>
      <c r="C46" s="122" t="str">
        <f>Imports_Bio!C12</f>
        <v>Import of Biodiesel 1st generation  - Step 4</v>
      </c>
      <c r="D46" s="116" t="str">
        <f>Commodities!$C$32</f>
        <v>BIODST1G</v>
      </c>
      <c r="E46" s="269">
        <v>0</v>
      </c>
      <c r="F46" s="128">
        <f>F47-SUM(F43:F45)</f>
        <v>82.768324715808077</v>
      </c>
      <c r="G46" s="128">
        <f t="shared" ref="G46:L46" si="14">G47-SUM(G43:G45)</f>
        <v>82.768324715808077</v>
      </c>
      <c r="H46" s="128">
        <f t="shared" si="14"/>
        <v>82.768324715808077</v>
      </c>
      <c r="I46" s="128">
        <f t="shared" si="14"/>
        <v>82.768324715808077</v>
      </c>
      <c r="J46" s="128">
        <f t="shared" si="14"/>
        <v>82.768324715808077</v>
      </c>
      <c r="K46" s="128">
        <f t="shared" si="14"/>
        <v>82.768324715808077</v>
      </c>
      <c r="L46" s="128">
        <f t="shared" si="14"/>
        <v>82.768324715808077</v>
      </c>
      <c r="M46" s="496">
        <v>5</v>
      </c>
      <c r="N46" s="145" t="s">
        <v>283</v>
      </c>
      <c r="O46" s="128"/>
      <c r="Q46" s="47"/>
    </row>
    <row r="47" spans="2:22" ht="15.75" thickBot="1">
      <c r="B47" s="123" t="s">
        <v>100</v>
      </c>
      <c r="C47" s="123"/>
      <c r="D47" s="125"/>
      <c r="E47" s="131"/>
      <c r="F47" s="131">
        <f>G47</f>
        <v>102.75858989456388</v>
      </c>
      <c r="G47" s="131">
        <f>H47</f>
        <v>102.75858989456388</v>
      </c>
      <c r="H47" s="131">
        <f>2727.05194883825*Conversions!$B$2*0.9</f>
        <v>102.75858989456388</v>
      </c>
      <c r="I47" s="131">
        <f>H47</f>
        <v>102.75858989456388</v>
      </c>
      <c r="J47" s="131">
        <f t="shared" ref="J47:L47" si="15">I47</f>
        <v>102.75858989456388</v>
      </c>
      <c r="K47" s="131">
        <f t="shared" si="15"/>
        <v>102.75858989456388</v>
      </c>
      <c r="L47" s="131">
        <f t="shared" si="15"/>
        <v>102.75858989456388</v>
      </c>
      <c r="M47" s="497"/>
      <c r="N47" s="146" t="s">
        <v>271</v>
      </c>
      <c r="O47" s="131"/>
      <c r="Q47" s="47"/>
    </row>
    <row r="48" spans="2:22">
      <c r="B48" s="120" t="str">
        <f>Imports_Bio!B13</f>
        <v>IMPBIOWPE_S1</v>
      </c>
      <c r="C48" s="120" t="str">
        <f>Imports_Bio!C13</f>
        <v>Import of Wood Pellets  - Step 1</v>
      </c>
      <c r="D48" s="39" t="str">
        <f>Commodities!$C$40</f>
        <v>BIOWPE</v>
      </c>
      <c r="E48" s="264">
        <f>SEAI_Bal!AD3*Conversions!$B$2*Imports_Bio!$Q$48</f>
        <v>0.89671505307741584</v>
      </c>
      <c r="F48" s="130">
        <f>MAX(E48:E48)</f>
        <v>0.89671505307741584</v>
      </c>
      <c r="G48" s="130">
        <f>F48</f>
        <v>0.89671505307741584</v>
      </c>
      <c r="H48" s="130">
        <f t="shared" ref="H48:L48" si="16">G48</f>
        <v>0.89671505307741584</v>
      </c>
      <c r="I48" s="130">
        <f t="shared" si="16"/>
        <v>0.89671505307741584</v>
      </c>
      <c r="J48" s="130">
        <f t="shared" si="16"/>
        <v>0.89671505307741584</v>
      </c>
      <c r="K48" s="130">
        <f t="shared" si="16"/>
        <v>0.89671505307741584</v>
      </c>
      <c r="L48" s="130">
        <f t="shared" si="16"/>
        <v>0.89671505307741584</v>
      </c>
      <c r="M48" s="494">
        <v>5</v>
      </c>
      <c r="N48" s="143" t="s">
        <v>284</v>
      </c>
      <c r="O48" s="130"/>
      <c r="Q48" s="265">
        <v>0.7</v>
      </c>
    </row>
    <row r="49" spans="2:17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6">
        <v>0</v>
      </c>
      <c r="F49" s="127">
        <f>F48*2</f>
        <v>1.7934301061548317</v>
      </c>
      <c r="G49" s="127">
        <f t="shared" ref="G49:L50" si="17">G48*2</f>
        <v>1.7934301061548317</v>
      </c>
      <c r="H49" s="127">
        <f t="shared" si="17"/>
        <v>1.7934301061548317</v>
      </c>
      <c r="I49" s="127">
        <f t="shared" si="17"/>
        <v>1.7934301061548317</v>
      </c>
      <c r="J49" s="127">
        <f t="shared" si="17"/>
        <v>1.7934301061548317</v>
      </c>
      <c r="K49" s="127">
        <f t="shared" si="17"/>
        <v>1.7934301061548317</v>
      </c>
      <c r="L49" s="127">
        <f t="shared" si="17"/>
        <v>1.7934301061548317</v>
      </c>
      <c r="M49" s="495">
        <v>5</v>
      </c>
      <c r="N49" s="144" t="s">
        <v>281</v>
      </c>
      <c r="O49" s="127"/>
      <c r="Q49" s="47"/>
    </row>
    <row r="50" spans="2:17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6">
        <v>0</v>
      </c>
      <c r="F50" s="127">
        <f>F49*2</f>
        <v>3.5868602123096633</v>
      </c>
      <c r="G50" s="127">
        <f t="shared" si="17"/>
        <v>3.5868602123096633</v>
      </c>
      <c r="H50" s="127">
        <f t="shared" si="17"/>
        <v>3.5868602123096633</v>
      </c>
      <c r="I50" s="127">
        <f t="shared" si="17"/>
        <v>3.5868602123096633</v>
      </c>
      <c r="J50" s="127">
        <f t="shared" si="17"/>
        <v>3.5868602123096633</v>
      </c>
      <c r="K50" s="127">
        <f t="shared" si="17"/>
        <v>3.5868602123096633</v>
      </c>
      <c r="L50" s="127">
        <f t="shared" si="17"/>
        <v>3.5868602123096633</v>
      </c>
      <c r="M50" s="495">
        <v>5</v>
      </c>
      <c r="N50" s="144" t="s">
        <v>282</v>
      </c>
      <c r="O50" s="127"/>
      <c r="Q50" s="47"/>
    </row>
    <row r="51" spans="2:17">
      <c r="B51" s="122" t="str">
        <f>"*"&amp;Imports_Bio!B16</f>
        <v>*IMPBIOWPE_S4</v>
      </c>
      <c r="C51" s="122" t="str">
        <f>Imports_Bio!C16</f>
        <v>Import of Wood Pellets  - Step 4</v>
      </c>
      <c r="D51" s="116" t="str">
        <f>Commodities!$C$40</f>
        <v>BIOWPE</v>
      </c>
      <c r="E51" s="269">
        <v>0</v>
      </c>
      <c r="F51" s="128">
        <f>F52-SUM(F48:F50)</f>
        <v>103.86945463245809</v>
      </c>
      <c r="G51" s="128">
        <f t="shared" ref="G51:L51" si="18">G52-SUM(G48:G50)</f>
        <v>103.86945463245809</v>
      </c>
      <c r="H51" s="128">
        <f t="shared" si="18"/>
        <v>103.86945463245809</v>
      </c>
      <c r="I51" s="128">
        <f t="shared" si="18"/>
        <v>103.86945463245809</v>
      </c>
      <c r="J51" s="128">
        <f t="shared" si="18"/>
        <v>103.86945463245809</v>
      </c>
      <c r="K51" s="128">
        <f t="shared" si="18"/>
        <v>103.86945463245809</v>
      </c>
      <c r="L51" s="128">
        <f t="shared" si="18"/>
        <v>103.86945463245809</v>
      </c>
      <c r="M51" s="496">
        <v>5</v>
      </c>
      <c r="N51" s="145" t="s">
        <v>283</v>
      </c>
      <c r="O51" s="128"/>
      <c r="Q51" s="47"/>
    </row>
    <row r="52" spans="2:17" ht="15.75" thickBot="1">
      <c r="B52" s="123" t="s">
        <v>100</v>
      </c>
      <c r="C52" s="123"/>
      <c r="D52" s="124"/>
      <c r="E52" s="131"/>
      <c r="F52" s="131">
        <f>G52</f>
        <v>110.14646000400001</v>
      </c>
      <c r="G52" s="131">
        <f>H52</f>
        <v>110.14646000400001</v>
      </c>
      <c r="H52" s="131">
        <f>'SEAI-AEA_BioData'!G52*Conversions!$B$2/1000</f>
        <v>110.14646000400001</v>
      </c>
      <c r="I52" s="131">
        <f>H52</f>
        <v>110.14646000400001</v>
      </c>
      <c r="J52" s="131">
        <f t="shared" ref="J52:L52" si="19">I52</f>
        <v>110.14646000400001</v>
      </c>
      <c r="K52" s="131">
        <f t="shared" si="19"/>
        <v>110.14646000400001</v>
      </c>
      <c r="L52" s="131">
        <f t="shared" si="19"/>
        <v>110.14646000400001</v>
      </c>
      <c r="M52" s="497"/>
      <c r="N52" s="146" t="s">
        <v>103</v>
      </c>
      <c r="O52" s="131"/>
      <c r="Q52" s="47"/>
    </row>
    <row r="53" spans="2:17">
      <c r="B53" s="120" t="str">
        <f>Imports_Bio!B17</f>
        <v>IMPBIOWCH_S1</v>
      </c>
      <c r="C53" s="120" t="str">
        <f>Imports_Bio!C17</f>
        <v>Import of Wood Chip  - Step 1</v>
      </c>
      <c r="D53" s="121" t="str">
        <f>Commodities!$C$41</f>
        <v>BIOWCH</v>
      </c>
      <c r="E53" s="264">
        <f>SEAI_Bal!AD3*Conversions!$B$2*Imports_Bio!$Q$53</f>
        <v>0.38430645131889257</v>
      </c>
      <c r="F53" s="130">
        <f>MAX(E53:E53)</f>
        <v>0.38430645131889257</v>
      </c>
      <c r="G53" s="130">
        <f>F53</f>
        <v>0.38430645131889257</v>
      </c>
      <c r="H53" s="130">
        <f t="shared" ref="H53:L53" si="20">G53</f>
        <v>0.38430645131889257</v>
      </c>
      <c r="I53" s="130">
        <f t="shared" si="20"/>
        <v>0.38430645131889257</v>
      </c>
      <c r="J53" s="130">
        <f t="shared" si="20"/>
        <v>0.38430645131889257</v>
      </c>
      <c r="K53" s="130">
        <f t="shared" si="20"/>
        <v>0.38430645131889257</v>
      </c>
      <c r="L53" s="130">
        <f t="shared" si="20"/>
        <v>0.38430645131889257</v>
      </c>
      <c r="M53" s="494">
        <v>5</v>
      </c>
      <c r="N53" s="143" t="s">
        <v>284</v>
      </c>
      <c r="O53" s="130"/>
      <c r="Q53" s="263">
        <f>1-Q48</f>
        <v>0.30000000000000004</v>
      </c>
    </row>
    <row r="54" spans="2:17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6">
        <v>0</v>
      </c>
      <c r="F54" s="127">
        <f>F53*2</f>
        <v>0.76861290263778514</v>
      </c>
      <c r="G54" s="127">
        <f t="shared" ref="G54:L55" si="21">G53*2</f>
        <v>0.76861290263778514</v>
      </c>
      <c r="H54" s="127">
        <f t="shared" si="21"/>
        <v>0.76861290263778514</v>
      </c>
      <c r="I54" s="127">
        <f t="shared" si="21"/>
        <v>0.76861290263778514</v>
      </c>
      <c r="J54" s="127">
        <f t="shared" si="21"/>
        <v>0.76861290263778514</v>
      </c>
      <c r="K54" s="127">
        <f t="shared" si="21"/>
        <v>0.76861290263778514</v>
      </c>
      <c r="L54" s="127">
        <f t="shared" si="21"/>
        <v>0.76861290263778514</v>
      </c>
      <c r="M54" s="495">
        <v>5</v>
      </c>
      <c r="N54" s="144" t="s">
        <v>281</v>
      </c>
      <c r="O54" s="127"/>
      <c r="Q54" s="47"/>
    </row>
    <row r="55" spans="2:17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6">
        <v>0</v>
      </c>
      <c r="F55" s="127">
        <f>F54*2</f>
        <v>1.5372258052755703</v>
      </c>
      <c r="G55" s="127">
        <f t="shared" si="21"/>
        <v>1.5372258052755703</v>
      </c>
      <c r="H55" s="127">
        <f t="shared" si="21"/>
        <v>1.5372258052755703</v>
      </c>
      <c r="I55" s="127">
        <f t="shared" si="21"/>
        <v>1.5372258052755703</v>
      </c>
      <c r="J55" s="127">
        <f t="shared" si="21"/>
        <v>1.5372258052755703</v>
      </c>
      <c r="K55" s="127">
        <f t="shared" si="21"/>
        <v>1.5372258052755703</v>
      </c>
      <c r="L55" s="127">
        <f t="shared" si="21"/>
        <v>1.5372258052755703</v>
      </c>
      <c r="M55" s="495">
        <v>5</v>
      </c>
      <c r="N55" s="144" t="s">
        <v>282</v>
      </c>
      <c r="O55" s="127"/>
      <c r="Q55" s="47"/>
    </row>
    <row r="56" spans="2:17">
      <c r="B56" s="122" t="str">
        <f>"*"&amp;Imports_Bio!B20</f>
        <v>*IMPBIOWCH_S4</v>
      </c>
      <c r="C56" s="122" t="str">
        <f>Imports_Bio!C20</f>
        <v>Import of Wood Chip  - Step 4</v>
      </c>
      <c r="D56" s="116" t="str">
        <f>Commodities!$C$41</f>
        <v>BIOWCH</v>
      </c>
      <c r="E56" s="269">
        <v>0</v>
      </c>
      <c r="F56" s="128">
        <f>F57-SUM(F53:F55)</f>
        <v>34.025327552767749</v>
      </c>
      <c r="G56" s="128">
        <f t="shared" ref="G56:L56" si="22">G57-SUM(G53:G55)</f>
        <v>34.025327552767749</v>
      </c>
      <c r="H56" s="128">
        <f t="shared" si="22"/>
        <v>34.025327552767749</v>
      </c>
      <c r="I56" s="128">
        <f t="shared" si="22"/>
        <v>34.025327552767749</v>
      </c>
      <c r="J56" s="128">
        <f t="shared" si="22"/>
        <v>34.025327552767749</v>
      </c>
      <c r="K56" s="128">
        <f t="shared" si="22"/>
        <v>34.025327552767749</v>
      </c>
      <c r="L56" s="128">
        <f t="shared" si="22"/>
        <v>34.025327552767749</v>
      </c>
      <c r="M56" s="496">
        <v>5</v>
      </c>
      <c r="N56" s="145" t="s">
        <v>283</v>
      </c>
      <c r="O56" s="128"/>
      <c r="Q56" s="47"/>
    </row>
    <row r="57" spans="2:17" ht="15.75" thickBot="1">
      <c r="B57" s="125" t="s">
        <v>100</v>
      </c>
      <c r="C57" s="125"/>
      <c r="D57" s="126"/>
      <c r="E57" s="132"/>
      <c r="F57" s="132">
        <f>G57</f>
        <v>36.715472712</v>
      </c>
      <c r="G57" s="132">
        <f>H57</f>
        <v>36.715472712</v>
      </c>
      <c r="H57" s="132">
        <f>'SEAI-AEA_BioData'!G50*Conversions!$B$2/1000</f>
        <v>36.715472712</v>
      </c>
      <c r="I57" s="132">
        <f>H57</f>
        <v>36.715472712</v>
      </c>
      <c r="J57" s="132">
        <f>I57</f>
        <v>36.715472712</v>
      </c>
      <c r="K57" s="132">
        <f>J57</f>
        <v>36.715472712</v>
      </c>
      <c r="L57" s="132">
        <f>K57</f>
        <v>36.715472712</v>
      </c>
      <c r="M57" s="498"/>
      <c r="N57" s="147" t="s">
        <v>103</v>
      </c>
      <c r="O57" s="132"/>
      <c r="Q57" s="47"/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I13" sqref="I13"/>
    </sheetView>
  </sheetViews>
  <sheetFormatPr defaultColWidth="9.140625" defaultRowHeight="15"/>
  <cols>
    <col min="1" max="1" width="9.140625" style="198"/>
    <col min="2" max="2" width="16.42578125" style="198" customWidth="1"/>
    <col min="3" max="3" width="32" style="198" bestFit="1" customWidth="1"/>
    <col min="4" max="4" width="10.85546875" style="198" bestFit="1" customWidth="1"/>
    <col min="5" max="7" width="11" style="198" customWidth="1"/>
    <col min="8" max="8" width="15.5703125" style="198" customWidth="1"/>
    <col min="9" max="9" width="20.7109375" style="198" customWidth="1"/>
    <col min="10" max="10" width="14.85546875" style="198" customWidth="1"/>
    <col min="11" max="11" width="11" style="274" customWidth="1"/>
    <col min="12" max="12" width="11" style="198" customWidth="1"/>
    <col min="13" max="15" width="9.140625" style="198"/>
    <col min="16" max="16" width="12.7109375" style="198" bestFit="1" customWidth="1"/>
    <col min="17" max="17" width="29.85546875" style="198" bestFit="1" customWidth="1"/>
    <col min="18" max="16384" width="9.140625" style="198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4">
        <v>742.12800479999999</v>
      </c>
      <c r="F5" s="135">
        <v>0.90792311671470816</v>
      </c>
      <c r="G5" s="135">
        <v>1.192910095016825</v>
      </c>
      <c r="H5" s="250">
        <f>SEAI_Bal!Z2*Conversions!B2</f>
        <v>115.21735253047301</v>
      </c>
      <c r="I5" s="135">
        <f>MAX(H5:H5)*3</f>
        <v>345.65205759141901</v>
      </c>
      <c r="J5" s="134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17" t="str">
        <f>Commodities!$C$21</f>
        <v>GASNAT</v>
      </c>
      <c r="E6" s="134">
        <v>88.744650140343495</v>
      </c>
      <c r="F6" s="135">
        <v>1.8</v>
      </c>
      <c r="G6" s="135">
        <v>1.9434992461159508</v>
      </c>
      <c r="H6" s="134">
        <v>0</v>
      </c>
      <c r="I6" s="134"/>
      <c r="J6" s="134">
        <v>5</v>
      </c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4">
        <v>1960</v>
      </c>
      <c r="F7" s="135">
        <v>0.99399999999999999</v>
      </c>
      <c r="G7" s="135">
        <v>1.2</v>
      </c>
      <c r="H7" s="250">
        <f>SEAI_Bal!H2*Conversions!B2</f>
        <v>34.161120643357741</v>
      </c>
      <c r="I7" s="135">
        <f>MAX(H7:H7)</f>
        <v>34.161120643357741</v>
      </c>
      <c r="J7" s="134">
        <v>5</v>
      </c>
      <c r="K7" s="19"/>
    </row>
    <row r="8" spans="2:14">
      <c r="B8" s="137" t="str">
        <f>Processes!C43</f>
        <v>MINPEAT_S2</v>
      </c>
      <c r="C8" s="137" t="str">
        <f>Processes!D43</f>
        <v>Domestic Potential of Peat  - Step 2</v>
      </c>
      <c r="D8" s="217" t="str">
        <f>Commodities!$C$10</f>
        <v>PEAT</v>
      </c>
      <c r="E8" s="139">
        <v>2400</v>
      </c>
      <c r="F8" s="139">
        <v>0.99399999999999999</v>
      </c>
      <c r="G8" s="139">
        <v>1.2</v>
      </c>
      <c r="H8" s="139">
        <v>0</v>
      </c>
      <c r="I8" s="139"/>
      <c r="J8" s="139">
        <v>5</v>
      </c>
      <c r="K8" s="32"/>
    </row>
    <row r="9" spans="2:14">
      <c r="B9" s="57" t="s">
        <v>71</v>
      </c>
      <c r="C9" s="57"/>
      <c r="D9" s="57"/>
      <c r="E9" s="514" t="s">
        <v>289</v>
      </c>
      <c r="F9" s="514"/>
      <c r="G9" s="514"/>
      <c r="H9" s="490" t="s">
        <v>288</v>
      </c>
      <c r="I9" s="229" t="s">
        <v>287</v>
      </c>
      <c r="J9" s="57"/>
      <c r="K9" s="19"/>
    </row>
    <row r="10" spans="2:14">
      <c r="B10" s="19"/>
      <c r="C10" s="19"/>
      <c r="D10" s="19"/>
      <c r="F10" s="251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0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1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2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4"/>
      <c r="N17" s="203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4"/>
      <c r="N18" s="204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4"/>
      <c r="N19" s="204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4"/>
      <c r="N20" s="204"/>
    </row>
    <row r="21" spans="2:14">
      <c r="B21" s="137" t="str">
        <f>Processes!C49</f>
        <v>MINRENGEO</v>
      </c>
      <c r="C21" s="137" t="str">
        <f>Processes!D49</f>
        <v xml:space="preserve">Domestic Potential of Geothermal </v>
      </c>
      <c r="D21" s="138" t="str">
        <f>Commodities!C29</f>
        <v>RENGEO</v>
      </c>
      <c r="E21" s="137"/>
      <c r="F21" s="137"/>
      <c r="G21" s="137"/>
      <c r="H21" s="19"/>
      <c r="I21" s="19"/>
      <c r="L21" s="19"/>
      <c r="M21" s="204"/>
      <c r="N21" s="204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4"/>
      <c r="N22" s="204"/>
    </row>
    <row r="23" spans="2:14">
      <c r="N23" s="204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12" workbookViewId="0">
      <selection activeCell="I16" sqref="I16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4"/>
      <c r="F2" s="194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0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2">
        <v>10</v>
      </c>
      <c r="F5" s="515" t="s">
        <v>177</v>
      </c>
      <c r="Q5" s="276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2">
        <v>10</v>
      </c>
      <c r="F6" s="516"/>
      <c r="Q6" s="276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2">
        <v>10</v>
      </c>
      <c r="F7" s="516"/>
      <c r="Q7" s="276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2">
        <v>10</v>
      </c>
      <c r="F8" s="516"/>
      <c r="Q8" s="276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2">
        <v>10</v>
      </c>
      <c r="F9" s="516"/>
      <c r="Q9" s="276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2">
        <v>10</v>
      </c>
      <c r="F10" s="516"/>
      <c r="Q10" s="276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2">
        <v>10</v>
      </c>
      <c r="F11" s="516"/>
      <c r="Q11" s="276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2">
        <v>10</v>
      </c>
      <c r="F12" s="516"/>
      <c r="Q12" s="276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2">
        <v>10</v>
      </c>
      <c r="F13" s="516"/>
      <c r="Q13" s="276"/>
    </row>
    <row r="14" spans="2:17" ht="15">
      <c r="B14" s="122" t="str">
        <f>Processes!C77</f>
        <v>MINBIOINDF_S1</v>
      </c>
      <c r="C14" s="116" t="str">
        <f>Processes!D77</f>
        <v>Domestic Potential of Industrial Food Waste  - Step 1</v>
      </c>
      <c r="D14" s="116" t="str">
        <f>Commodities!$C$48</f>
        <v>BIOINDF</v>
      </c>
      <c r="E14" s="128">
        <v>10</v>
      </c>
      <c r="F14" s="516"/>
      <c r="Q14" s="276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2">
        <v>10</v>
      </c>
      <c r="F15" s="516"/>
      <c r="Q15" s="276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2">
        <v>10</v>
      </c>
      <c r="F16" s="516"/>
      <c r="Q16" s="276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2">
        <v>10</v>
      </c>
      <c r="F17" s="516"/>
      <c r="Q17" s="276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2">
        <v>10</v>
      </c>
      <c r="F18" s="516"/>
      <c r="Q18" s="276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2">
        <v>10</v>
      </c>
      <c r="F19" s="516"/>
      <c r="Q19" s="276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2">
        <v>10</v>
      </c>
      <c r="F20" s="516"/>
      <c r="Q20" s="276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2">
        <v>10</v>
      </c>
      <c r="F21" s="516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2">
        <v>10</v>
      </c>
      <c r="F22" s="516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2">
        <v>10</v>
      </c>
      <c r="F23" s="516"/>
    </row>
    <row r="24" spans="2:17">
      <c r="B24" s="122" t="str">
        <f>Processes!C78</f>
        <v>MINBIOINDF_S2</v>
      </c>
      <c r="C24" s="116" t="str">
        <f>Processes!D78</f>
        <v>Domestic Potential of Industrial Food Waste  - Step 2</v>
      </c>
      <c r="D24" s="116" t="str">
        <f>Commodities!$C$48</f>
        <v>BIOINDF</v>
      </c>
      <c r="E24" s="128">
        <v>10</v>
      </c>
      <c r="F24" s="516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2">
        <v>10</v>
      </c>
      <c r="F25" s="516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2">
        <v>10</v>
      </c>
      <c r="F26" s="516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2">
        <v>10</v>
      </c>
      <c r="F27" s="516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2">
        <v>10</v>
      </c>
      <c r="F28" s="516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2">
        <v>10</v>
      </c>
      <c r="F29" s="516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2">
        <v>10</v>
      </c>
      <c r="F30" s="516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2">
        <v>10</v>
      </c>
      <c r="F31" s="516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2">
        <v>10</v>
      </c>
      <c r="F32" s="516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2">
        <v>10</v>
      </c>
      <c r="F33" s="516"/>
    </row>
    <row r="34" spans="2:6">
      <c r="B34" s="122" t="str">
        <f>Processes!C79</f>
        <v>MINBIOINDF_S3</v>
      </c>
      <c r="C34" s="116" t="str">
        <f>Processes!D79</f>
        <v>Domestic Potential of Industrial Food Waste  - Step 3</v>
      </c>
      <c r="D34" s="116" t="str">
        <f>Commodities!$C$48</f>
        <v>BIOINDF</v>
      </c>
      <c r="E34" s="128">
        <v>10</v>
      </c>
      <c r="F34" s="517"/>
    </row>
    <row r="35" spans="2:6">
      <c r="B35" s="38"/>
      <c r="C35" s="40"/>
      <c r="D35" s="40"/>
      <c r="E35" s="127"/>
      <c r="F35" s="329"/>
    </row>
    <row r="36" spans="2:6">
      <c r="B36" s="38"/>
      <c r="C36" s="40"/>
      <c r="D36" s="40"/>
      <c r="E36" s="127"/>
      <c r="F36" s="329"/>
    </row>
    <row r="37" spans="2:6" ht="15">
      <c r="B37"/>
      <c r="C37"/>
      <c r="D37" s="294"/>
      <c r="E37" s="18" t="s">
        <v>60</v>
      </c>
      <c r="F37" s="194"/>
    </row>
    <row r="38" spans="2:6">
      <c r="B38" s="22" t="s">
        <v>2</v>
      </c>
      <c r="C38" s="22" t="s">
        <v>3</v>
      </c>
      <c r="D38" s="330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E7" sqref="E7"/>
    </sheetView>
  </sheetViews>
  <sheetFormatPr defaultColWidth="9.140625" defaultRowHeight="15"/>
  <cols>
    <col min="1" max="1" width="9.140625" style="238"/>
    <col min="2" max="2" width="13.5703125" style="238" customWidth="1"/>
    <col min="3" max="3" width="17" style="238" bestFit="1" customWidth="1"/>
    <col min="4" max="4" width="17.42578125" style="238" bestFit="1" customWidth="1"/>
    <col min="5" max="5" width="9.140625" style="238"/>
    <col min="6" max="19" width="9.42578125" style="47" customWidth="1"/>
    <col min="20" max="22" width="9.42578125" style="238" customWidth="1"/>
    <col min="23" max="23" width="28.5703125" style="238" bestFit="1" customWidth="1"/>
    <col min="24" max="24" width="9.140625" style="238"/>
    <col min="25" max="25" width="13.5703125" style="238" bestFit="1" customWidth="1"/>
    <col min="26" max="26" width="17" style="238" bestFit="1" customWidth="1"/>
    <col min="27" max="16384" width="9.140625" style="238"/>
  </cols>
  <sheetData>
    <row r="1" spans="2:25">
      <c r="Q1" s="238"/>
      <c r="R1" s="238"/>
      <c r="S1" s="238"/>
    </row>
    <row r="2" spans="2:25" ht="18.75">
      <c r="B2" s="209" t="s">
        <v>180</v>
      </c>
      <c r="C2" s="210"/>
      <c r="D2" s="211"/>
      <c r="E2" s="6" t="s">
        <v>39</v>
      </c>
      <c r="F2" s="221"/>
      <c r="G2" s="222"/>
      <c r="H2" s="222"/>
      <c r="I2" s="222"/>
      <c r="J2" s="222"/>
      <c r="K2" s="222"/>
      <c r="L2" s="222"/>
      <c r="M2" s="222"/>
      <c r="N2" s="223"/>
      <c r="O2" s="223"/>
      <c r="P2" s="223"/>
      <c r="Q2" s="224"/>
      <c r="R2" s="225"/>
      <c r="S2" s="238"/>
    </row>
    <row r="3" spans="2:25" ht="25.5">
      <c r="B3" s="207" t="s">
        <v>2</v>
      </c>
      <c r="C3" s="207" t="s">
        <v>3</v>
      </c>
      <c r="D3" s="207" t="s">
        <v>69</v>
      </c>
      <c r="E3" s="207" t="s">
        <v>40</v>
      </c>
      <c r="F3" s="206" t="s">
        <v>505</v>
      </c>
      <c r="G3" s="206" t="s">
        <v>285</v>
      </c>
      <c r="H3" s="206" t="s">
        <v>508</v>
      </c>
      <c r="I3" s="206" t="s">
        <v>506</v>
      </c>
      <c r="J3" s="205" t="s">
        <v>507</v>
      </c>
      <c r="K3" s="205" t="s">
        <v>257</v>
      </c>
      <c r="L3" s="205" t="s">
        <v>258</v>
      </c>
      <c r="M3" s="205" t="s">
        <v>181</v>
      </c>
      <c r="N3" s="205" t="s">
        <v>182</v>
      </c>
      <c r="O3" s="205" t="s">
        <v>345</v>
      </c>
      <c r="P3" s="208" t="s">
        <v>71</v>
      </c>
      <c r="Q3" s="238"/>
      <c r="R3" s="238"/>
      <c r="S3" s="238"/>
    </row>
    <row r="4" spans="2:25" ht="14.25" customHeight="1" thickBot="1">
      <c r="B4" s="13" t="s">
        <v>183</v>
      </c>
      <c r="C4" s="13"/>
      <c r="D4" s="13"/>
      <c r="E4" s="13"/>
      <c r="F4" s="252" t="s">
        <v>262</v>
      </c>
      <c r="G4" s="10"/>
      <c r="H4" s="10"/>
      <c r="I4" s="10"/>
      <c r="J4" s="10"/>
      <c r="K4" s="10"/>
      <c r="L4" s="10"/>
      <c r="M4" s="10" t="s">
        <v>184</v>
      </c>
      <c r="N4" s="10" t="s">
        <v>185</v>
      </c>
      <c r="O4" s="10" t="s">
        <v>56</v>
      </c>
      <c r="P4" s="13"/>
      <c r="Q4" s="238"/>
      <c r="R4" s="238"/>
      <c r="S4" s="238"/>
    </row>
    <row r="5" spans="2:25">
      <c r="B5" s="213" t="str">
        <f>Processes!C83</f>
        <v>SREFOILCRD_Whitegate</v>
      </c>
      <c r="C5" s="213" t="str">
        <f>Processes!D83</f>
        <v>Refinery of Crude Oil  - Whitegate</v>
      </c>
      <c r="D5" s="214" t="str">
        <f>Commodities!C11</f>
        <v>OILCRD</v>
      </c>
      <c r="E5" s="39"/>
      <c r="F5" s="195"/>
      <c r="G5" s="195"/>
      <c r="H5" s="195"/>
      <c r="I5" s="259">
        <f>(SUM(SEAI_Bal!N21:Y21)-SUM(SEAI_Bal!N26:Y26))/SEAI_Bal!M14</f>
        <v>0.99403424420076247</v>
      </c>
      <c r="J5" s="260">
        <f>(SEAI_Bal!L14)*Conversions!$B$2</f>
        <v>129.46444987421336</v>
      </c>
      <c r="K5" s="254">
        <f>MAX(J5:J5)</f>
        <v>129.46444987421336</v>
      </c>
      <c r="L5" s="254">
        <v>5</v>
      </c>
      <c r="M5" s="195">
        <v>50</v>
      </c>
      <c r="N5" s="39"/>
      <c r="O5" s="39"/>
      <c r="P5" s="256" t="s">
        <v>265</v>
      </c>
      <c r="Q5" s="238"/>
      <c r="R5" s="238"/>
      <c r="S5" s="238"/>
    </row>
    <row r="6" spans="2:25">
      <c r="B6" s="214"/>
      <c r="C6" s="215"/>
      <c r="D6" s="214"/>
      <c r="E6" s="214" t="str">
        <f>Commodities!C12</f>
        <v>OILRFG</v>
      </c>
      <c r="F6" s="259">
        <f>(SEAI_Bal!N$21-SEAI_Bal!N$26)/(SUM(SEAI_Bal!$N$21:$Y$21)-SUM(SEAI_Bal!$N$26:$Y$26))</f>
        <v>0</v>
      </c>
      <c r="G6" s="253">
        <f>MAX(F6:F6)*1.1</f>
        <v>0</v>
      </c>
      <c r="H6" s="492">
        <v>5</v>
      </c>
      <c r="I6" s="195"/>
      <c r="J6" s="195"/>
      <c r="K6" s="195"/>
      <c r="L6" s="195"/>
      <c r="M6" s="195"/>
      <c r="N6" s="39"/>
      <c r="O6" s="254"/>
      <c r="P6" s="214" t="s">
        <v>207</v>
      </c>
      <c r="Q6" s="238"/>
      <c r="R6" s="238"/>
      <c r="S6" s="238"/>
    </row>
    <row r="7" spans="2:25">
      <c r="B7" s="216"/>
      <c r="C7" s="212"/>
      <c r="D7" s="217"/>
      <c r="E7" s="214" t="s">
        <v>30</v>
      </c>
      <c r="F7" s="259">
        <f>(SEAI_Bal!O$21-SEAI_Bal!O$26)/(SUM(SEAI_Bal!$N$21:$Y$21)-SUM(SEAI_Bal!$N$26:$Y$26))</f>
        <v>0.20838882349016513</v>
      </c>
      <c r="G7" s="253">
        <f>MAX(F7:F7)*1.1</f>
        <v>0.22922770583918167</v>
      </c>
      <c r="H7" s="492">
        <v>5</v>
      </c>
      <c r="I7" s="195"/>
      <c r="J7" s="195"/>
      <c r="K7" s="195"/>
      <c r="L7" s="195"/>
      <c r="M7" s="195"/>
      <c r="N7" s="39"/>
      <c r="O7" s="255">
        <v>1.7</v>
      </c>
      <c r="P7" s="214" t="s">
        <v>208</v>
      </c>
      <c r="Q7" s="238"/>
      <c r="R7" s="238"/>
      <c r="S7" s="238"/>
    </row>
    <row r="8" spans="2:25">
      <c r="B8" s="216"/>
      <c r="C8" s="218"/>
      <c r="D8" s="217"/>
      <c r="E8" s="214" t="str">
        <f>Commodities!C13</f>
        <v>OILKER</v>
      </c>
      <c r="F8" s="259">
        <f>(SEAI_Bal!P$21-SEAI_Bal!P$26)/(SUM(SEAI_Bal!$N$21:$Y$21)-SUM(SEAI_Bal!$N$26:$Y$26))</f>
        <v>7.3777635387548876E-2</v>
      </c>
      <c r="G8" s="253">
        <f>MAX(F8:F8)*1.1</f>
        <v>8.1155398926303773E-2</v>
      </c>
      <c r="H8" s="492">
        <v>5</v>
      </c>
      <c r="I8" s="195"/>
      <c r="J8" s="195"/>
      <c r="K8" s="195"/>
      <c r="L8" s="195"/>
      <c r="M8" s="195"/>
      <c r="N8" s="39"/>
      <c r="O8" s="255">
        <v>1.7</v>
      </c>
      <c r="P8" s="214" t="s">
        <v>209</v>
      </c>
      <c r="Q8" s="238"/>
      <c r="R8" s="238"/>
      <c r="S8" s="238"/>
    </row>
    <row r="9" spans="2:25">
      <c r="B9" s="219" t="s">
        <v>261</v>
      </c>
      <c r="C9" s="218"/>
      <c r="D9" s="217"/>
      <c r="E9" s="214" t="s">
        <v>261</v>
      </c>
      <c r="F9" s="259">
        <f>(SEAI_Bal!Q$21-SEAI_Bal!Q$26)/(SUM(SEAI_Bal!$N$21:$Y$21)-SUM(SEAI_Bal!$N$26:$Y$26))</f>
        <v>0</v>
      </c>
      <c r="G9" s="253"/>
      <c r="H9" s="492">
        <v>5</v>
      </c>
      <c r="I9" s="195"/>
      <c r="J9" s="195"/>
      <c r="K9" s="195"/>
      <c r="L9" s="195"/>
      <c r="M9" s="195"/>
      <c r="N9" s="39"/>
      <c r="O9" s="255"/>
      <c r="P9" s="214" t="s">
        <v>210</v>
      </c>
      <c r="Q9" s="238"/>
      <c r="R9" s="238"/>
      <c r="S9" s="238"/>
    </row>
    <row r="10" spans="2:25">
      <c r="B10" s="216"/>
      <c r="C10" s="218"/>
      <c r="D10" s="217"/>
      <c r="E10" s="214" t="str">
        <f>Commodities!C14</f>
        <v>OILHFO</v>
      </c>
      <c r="F10" s="259">
        <f>(SEAI_Bal!R$21-SEAI_Bal!R$26)/(SUM(SEAI_Bal!$N$21:$Y$21)-SUM(SEAI_Bal!$N$26:$Y$26))</f>
        <v>0.31263040369090112</v>
      </c>
      <c r="G10" s="253">
        <f>MAX(F10:F10)*1.1</f>
        <v>0.34389344405999123</v>
      </c>
      <c r="H10" s="492">
        <v>5</v>
      </c>
      <c r="I10" s="195"/>
      <c r="J10" s="195"/>
      <c r="K10" s="195"/>
      <c r="L10" s="195"/>
      <c r="M10" s="195"/>
      <c r="N10" s="39"/>
      <c r="O10" s="255">
        <v>0.83603571428571199</v>
      </c>
      <c r="P10" s="214" t="s">
        <v>211</v>
      </c>
      <c r="Q10" s="238"/>
      <c r="R10" s="238"/>
      <c r="S10" s="238"/>
    </row>
    <row r="11" spans="2:25">
      <c r="B11" s="219"/>
      <c r="C11" s="218"/>
      <c r="D11" s="217"/>
      <c r="E11" s="214" t="str">
        <f>Commodities!C16</f>
        <v>OILLPG</v>
      </c>
      <c r="F11" s="259">
        <f>(SEAI_Bal!S$21-SEAI_Bal!S$26)/(SUM(SEAI_Bal!$N$21:$Y$21)-SUM(SEAI_Bal!$N$26:$Y$26))</f>
        <v>2.1079504394703751E-2</v>
      </c>
      <c r="G11" s="253"/>
      <c r="H11" s="492">
        <v>5</v>
      </c>
      <c r="I11" s="226"/>
      <c r="J11" s="226"/>
      <c r="K11" s="226"/>
      <c r="L11" s="228"/>
      <c r="M11" s="228"/>
      <c r="N11" s="39"/>
      <c r="O11" s="255">
        <v>1.3357142857142801</v>
      </c>
      <c r="P11" s="214" t="s">
        <v>212</v>
      </c>
      <c r="Q11" s="238"/>
      <c r="R11" s="238"/>
      <c r="S11" s="238"/>
    </row>
    <row r="12" spans="2:25">
      <c r="B12" s="219"/>
      <c r="C12" s="218"/>
      <c r="D12" s="217"/>
      <c r="E12" s="214" t="str">
        <f>Commodities!C15</f>
        <v>OILDST</v>
      </c>
      <c r="F12" s="259">
        <f>(SEAI_Bal!T$21-SEAI_Bal!T$26)/(SUM(SEAI_Bal!$N$21:$Y$21)-SUM(SEAI_Bal!$N$26:$Y$26))</f>
        <v>0.37216477203734477</v>
      </c>
      <c r="G12" s="253">
        <f>MAX(F12:F12)*1.1</f>
        <v>0.40938124924107927</v>
      </c>
      <c r="H12" s="492">
        <v>5</v>
      </c>
      <c r="I12" s="226"/>
      <c r="J12" s="226"/>
      <c r="K12" s="226"/>
      <c r="L12" s="228"/>
      <c r="M12" s="228"/>
      <c r="N12" s="39"/>
      <c r="O12" s="255">
        <v>1.5785714285714201</v>
      </c>
      <c r="P12" s="214" t="s">
        <v>213</v>
      </c>
      <c r="Q12" s="238"/>
      <c r="R12" s="238"/>
      <c r="S12" s="238"/>
    </row>
    <row r="13" spans="2:25">
      <c r="B13" s="219"/>
      <c r="C13" s="218"/>
      <c r="D13" s="217"/>
      <c r="E13" s="214" t="str">
        <f>Commodities!C18</f>
        <v>OILCOK</v>
      </c>
      <c r="F13" s="259">
        <f>(SEAI_Bal!U$21-SEAI_Bal!U$26)/(SUM(SEAI_Bal!$N$21:$Y$21)-SUM(SEAI_Bal!$N$26:$Y$26))</f>
        <v>0</v>
      </c>
      <c r="G13" s="253"/>
      <c r="H13" s="492">
        <v>5</v>
      </c>
      <c r="I13" s="226"/>
      <c r="J13" s="226"/>
      <c r="K13" s="226"/>
      <c r="L13" s="228"/>
      <c r="M13" s="226"/>
      <c r="N13" s="39"/>
      <c r="O13" s="255"/>
      <c r="P13" s="214" t="s">
        <v>214</v>
      </c>
      <c r="Q13" s="238"/>
      <c r="R13" s="238"/>
      <c r="S13" s="238"/>
    </row>
    <row r="14" spans="2:25">
      <c r="B14" s="219"/>
      <c r="C14" s="218"/>
      <c r="D14" s="217"/>
      <c r="E14" s="214" t="str">
        <f>Commodities!C19</f>
        <v>OILNAP</v>
      </c>
      <c r="F14" s="259">
        <f>(SEAI_Bal!V$21-SEAI_Bal!V$26)/(SUM(SEAI_Bal!$N$21:$Y$21)-SUM(SEAI_Bal!$N$26:$Y$26))</f>
        <v>1.195886099933644E-2</v>
      </c>
      <c r="G14" s="253"/>
      <c r="H14" s="492">
        <v>5</v>
      </c>
      <c r="I14" s="226"/>
      <c r="J14" s="226"/>
      <c r="K14" s="226"/>
      <c r="L14" s="228"/>
      <c r="M14" s="226"/>
      <c r="N14" s="39"/>
      <c r="O14" s="255">
        <v>1.21428571428571</v>
      </c>
      <c r="P14" s="214" t="s">
        <v>215</v>
      </c>
      <c r="Q14" s="238"/>
      <c r="R14" s="238"/>
      <c r="S14" s="238"/>
    </row>
    <row r="15" spans="2:25">
      <c r="B15" s="219" t="s">
        <v>261</v>
      </c>
      <c r="C15" s="218"/>
      <c r="D15" s="217"/>
      <c r="E15" s="214" t="s">
        <v>261</v>
      </c>
      <c r="F15" s="259">
        <f>SEAI_Bal!W$21/(SUM(SEAI_Bal!$N$21:$Y$21)-SUM(SEAI_Bal!$N$26:$Y$26))</f>
        <v>0</v>
      </c>
      <c r="G15" s="253"/>
      <c r="H15" s="492">
        <v>5</v>
      </c>
      <c r="I15" s="226"/>
      <c r="J15" s="226"/>
      <c r="K15" s="226"/>
      <c r="L15" s="228"/>
      <c r="M15" s="226"/>
      <c r="N15" s="39"/>
      <c r="O15" s="255"/>
      <c r="P15" s="214" t="s">
        <v>216</v>
      </c>
      <c r="Q15" s="238"/>
      <c r="R15" s="238"/>
      <c r="S15" s="238"/>
    </row>
    <row r="16" spans="2:25">
      <c r="B16" s="219" t="s">
        <v>261</v>
      </c>
      <c r="C16" s="39"/>
      <c r="D16" s="39"/>
      <c r="E16" s="214" t="s">
        <v>261</v>
      </c>
      <c r="F16" s="259">
        <f>SEAI_Bal!X$21/(SUM(SEAI_Bal!$N$21:$Y$21)-SUM(SEAI_Bal!$N$26:$Y$26))</f>
        <v>0</v>
      </c>
      <c r="G16" s="253"/>
      <c r="H16" s="492">
        <v>5</v>
      </c>
      <c r="I16" s="39"/>
      <c r="J16" s="39"/>
      <c r="K16" s="39"/>
      <c r="L16" s="39"/>
      <c r="M16" s="39"/>
      <c r="N16" s="39"/>
      <c r="O16" s="255"/>
      <c r="P16" s="214" t="s">
        <v>217</v>
      </c>
      <c r="Q16" s="238"/>
      <c r="R16" s="238"/>
      <c r="S16" s="238"/>
      <c r="W16" s="220"/>
      <c r="X16" s="220"/>
      <c r="Y16" s="220"/>
    </row>
    <row r="17" spans="2:29">
      <c r="B17" s="219" t="s">
        <v>261</v>
      </c>
      <c r="C17" s="39"/>
      <c r="D17" s="39"/>
      <c r="E17" s="214" t="s">
        <v>261</v>
      </c>
      <c r="F17" s="259">
        <f>SEAI_Bal!Y$21/(SUM(SEAI_Bal!$N$21:$Y$21)-SUM(SEAI_Bal!$N$26:$Y$26))</f>
        <v>0</v>
      </c>
      <c r="G17" s="253"/>
      <c r="H17" s="492">
        <v>5</v>
      </c>
      <c r="I17" s="195"/>
      <c r="J17" s="227"/>
      <c r="K17" s="39"/>
      <c r="L17" s="39"/>
      <c r="M17" s="195"/>
      <c r="N17" s="195"/>
      <c r="O17" s="255"/>
      <c r="P17" s="214" t="s">
        <v>218</v>
      </c>
      <c r="Q17" s="238"/>
      <c r="R17" s="238"/>
      <c r="S17" s="238"/>
      <c r="W17" s="220"/>
      <c r="X17" s="220"/>
    </row>
    <row r="18" spans="2:29">
      <c r="M18" s="173"/>
      <c r="N18" s="173"/>
      <c r="O18" s="173"/>
      <c r="P18" s="173"/>
      <c r="Q18" s="238"/>
      <c r="R18" s="275"/>
      <c r="T18" s="47"/>
      <c r="AB18" s="220"/>
      <c r="AC18" s="2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2020-11-06T02:15:59Z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809963405132293</vt:r8>
  </property>
</Properties>
</file>