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F80CAE7-5D88-4B1E-9069-EEB21E60744A}" xr6:coauthVersionLast="46" xr6:coauthVersionMax="46" xr10:uidLastSave="{00000000-0000-0000-0000-000000000000}"/>
  <bookViews>
    <workbookView xWindow="-120" yWindow="-120" windowWidth="29040" windowHeight="15840" activeTab="4" xr2:uid="{9D5618E0-D2A2-4912-B654-2E39BDAED497}"/>
    <workbookView xWindow="-120" yWindow="-120" windowWidth="29040" windowHeight="15840" activeTab="8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58" l="1"/>
  <c r="D10" i="58"/>
  <c r="D8" i="58"/>
  <c r="C8" i="58"/>
  <c r="C9" i="58"/>
  <c r="C10" i="58"/>
  <c r="M7" i="58"/>
  <c r="L7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11" i="55"/>
  <c r="Y110" i="55"/>
  <c r="Y64" i="55"/>
  <c r="Y109" i="55"/>
  <c r="Y108" i="55"/>
  <c r="Y62" i="55"/>
  <c r="Y106" i="55"/>
  <c r="Y60" i="55"/>
  <c r="Y104" i="55"/>
  <c r="Y103" i="55"/>
  <c r="Y91" i="55"/>
  <c r="Y102" i="55"/>
  <c r="Y101" i="55"/>
  <c r="Y55" i="55"/>
  <c r="Y56" i="55"/>
  <c r="Y100" i="55"/>
  <c r="Y99" i="55"/>
  <c r="Y53" i="55"/>
  <c r="Y98" i="55"/>
  <c r="Y97" i="55"/>
  <c r="Y51" i="55"/>
  <c r="Y96" i="55"/>
  <c r="Y95" i="55"/>
  <c r="Y49" i="55"/>
  <c r="U49" i="55"/>
  <c r="Y94" i="55"/>
  <c r="Y48" i="55"/>
  <c r="Y47" i="55"/>
  <c r="Y93" i="55"/>
  <c r="Y92" i="55"/>
  <c r="Y45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Y65" i="55"/>
  <c r="Y20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4" i="55" l="1"/>
  <c r="V53" i="55"/>
  <c r="W53" i="55"/>
  <c r="X53" i="55"/>
  <c r="U53" i="55"/>
  <c r="Y52" i="55"/>
  <c r="Y50" i="55"/>
  <c r="Y46" i="55"/>
  <c r="V49" i="55"/>
  <c r="W49" i="55"/>
  <c r="X49" i="55"/>
  <c r="AJ57" i="55"/>
  <c r="AK57" i="55"/>
  <c r="AJ58" i="55"/>
  <c r="AK58" i="55"/>
  <c r="O58" i="55"/>
  <c r="P58" i="55"/>
  <c r="Q58" i="55"/>
  <c r="R58" i="55"/>
  <c r="Y7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21" i="55"/>
  <c r="Y19" i="55"/>
  <c r="Y14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Y13" i="55"/>
  <c r="Y12" i="55"/>
  <c r="Y11" i="55"/>
  <c r="Y10" i="55"/>
  <c r="Y9" i="55"/>
  <c r="Y8" i="55"/>
  <c r="U147" i="55"/>
  <c r="T147" i="55" s="1"/>
  <c r="T146" i="55"/>
  <c r="T148" i="55"/>
  <c r="T149" i="55"/>
  <c r="T150" i="55"/>
  <c r="T145" i="55"/>
  <c r="U9" i="55" l="1"/>
  <c r="U7" i="55"/>
  <c r="V113" i="55"/>
  <c r="X110" i="55"/>
  <c r="U106" i="55"/>
  <c r="W101" i="55"/>
  <c r="U99" i="55"/>
  <c r="W113" i="55"/>
  <c r="U108" i="55"/>
  <c r="X101" i="55"/>
  <c r="V99" i="55"/>
  <c r="U95" i="55"/>
  <c r="X113" i="55"/>
  <c r="V108" i="55"/>
  <c r="V103" i="55"/>
  <c r="U101" i="55"/>
  <c r="W99" i="55"/>
  <c r="V91" i="55"/>
  <c r="W108" i="55"/>
  <c r="W103" i="55"/>
  <c r="X99" i="55"/>
  <c r="V95" i="55"/>
  <c r="W91" i="55"/>
  <c r="X108" i="55"/>
  <c r="X103" i="55"/>
  <c r="W95" i="55"/>
  <c r="X91" i="55"/>
  <c r="U110" i="55"/>
  <c r="V106" i="55"/>
  <c r="U103" i="55"/>
  <c r="X95" i="55"/>
  <c r="V110" i="55"/>
  <c r="W106" i="55"/>
  <c r="U91" i="55"/>
  <c r="U113" i="55"/>
  <c r="W110" i="55"/>
  <c r="X106" i="55"/>
  <c r="V101" i="55"/>
  <c r="X119" i="55"/>
  <c r="X116" i="55"/>
  <c r="U109" i="55"/>
  <c r="U104" i="55"/>
  <c r="X100" i="55"/>
  <c r="W96" i="55"/>
  <c r="W94" i="55"/>
  <c r="V93" i="55"/>
  <c r="X92" i="55"/>
  <c r="U119" i="55"/>
  <c r="V117" i="55"/>
  <c r="V111" i="55"/>
  <c r="U92" i="55"/>
  <c r="U102" i="55"/>
  <c r="V97" i="55"/>
  <c r="X96" i="55"/>
  <c r="X94" i="55"/>
  <c r="W93" i="55"/>
  <c r="W117" i="55"/>
  <c r="W111" i="55"/>
  <c r="V102" i="55"/>
  <c r="W97" i="55"/>
  <c r="U94" i="55"/>
  <c r="X93" i="55"/>
  <c r="X98" i="55"/>
  <c r="X117" i="55"/>
  <c r="V114" i="55"/>
  <c r="X111" i="55"/>
  <c r="W102" i="55"/>
  <c r="X97" i="55"/>
  <c r="U93" i="55"/>
  <c r="U100" i="55"/>
  <c r="U117" i="55"/>
  <c r="W114" i="55"/>
  <c r="V112" i="55"/>
  <c r="U111" i="55"/>
  <c r="X102" i="55"/>
  <c r="U98" i="55"/>
  <c r="V98" i="55"/>
  <c r="X114" i="55"/>
  <c r="W112" i="55"/>
  <c r="V109" i="55"/>
  <c r="V104" i="55"/>
  <c r="U97" i="55"/>
  <c r="W98" i="55"/>
  <c r="V92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W100" i="55"/>
  <c r="U96" i="55"/>
  <c r="V96" i="55"/>
  <c r="V94" i="55"/>
  <c r="W92" i="55"/>
  <c r="V100" i="55"/>
  <c r="U66" i="55"/>
  <c r="V56" i="55"/>
  <c r="U60" i="55"/>
  <c r="W56" i="55"/>
  <c r="U73" i="55"/>
  <c r="X56" i="55"/>
  <c r="U48" i="55"/>
  <c r="U56" i="55"/>
  <c r="U51" i="55"/>
  <c r="U47" i="55"/>
  <c r="U71" i="55"/>
  <c r="U70" i="55"/>
  <c r="U52" i="55"/>
  <c r="U62" i="55"/>
  <c r="U67" i="55"/>
  <c r="U55" i="55"/>
  <c r="V55" i="55"/>
  <c r="U64" i="55"/>
  <c r="W55" i="55"/>
  <c r="X55" i="55"/>
  <c r="U45" i="55"/>
  <c r="U50" i="55"/>
  <c r="X50" i="55"/>
  <c r="X51" i="55"/>
  <c r="V52" i="55"/>
  <c r="X54" i="55"/>
  <c r="W52" i="55"/>
  <c r="W50" i="55"/>
  <c r="W51" i="55"/>
  <c r="W54" i="55"/>
  <c r="U26" i="55"/>
  <c r="U25" i="55"/>
  <c r="U19" i="55"/>
  <c r="V50" i="55"/>
  <c r="V51" i="55"/>
  <c r="V54" i="55"/>
  <c r="U10" i="55"/>
  <c r="U54" i="55"/>
  <c r="X7" i="55"/>
  <c r="U20" i="55"/>
  <c r="U28" i="55"/>
  <c r="U22" i="55"/>
  <c r="U16" i="55"/>
  <c r="U18" i="55"/>
  <c r="X47" i="55"/>
  <c r="X58" i="55"/>
  <c r="W68" i="55"/>
  <c r="W58" i="55"/>
  <c r="W66" i="55"/>
  <c r="U63" i="55"/>
  <c r="V70" i="55"/>
  <c r="W65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5" i="55"/>
  <c r="X65" i="55"/>
  <c r="V60" i="55"/>
  <c r="U65" i="55"/>
  <c r="W60" i="55"/>
  <c r="W73" i="55"/>
  <c r="W67" i="55"/>
  <c r="W64" i="55"/>
  <c r="V62" i="55"/>
  <c r="U57" i="55"/>
  <c r="X64" i="55"/>
  <c r="W62" i="55"/>
  <c r="X67" i="55"/>
  <c r="X62" i="55"/>
  <c r="V57" i="55"/>
  <c r="W57" i="55"/>
  <c r="V67" i="55"/>
  <c r="V64" i="55"/>
  <c r="X57" i="55"/>
  <c r="X52" i="55"/>
  <c r="V10" i="55"/>
  <c r="W46" i="55"/>
  <c r="U46" i="55"/>
  <c r="V46" i="55"/>
  <c r="W45" i="55"/>
  <c r="X45" i="55"/>
  <c r="V45" i="55"/>
  <c r="X48" i="55"/>
  <c r="W47" i="55"/>
  <c r="W48" i="55"/>
  <c r="U8" i="55"/>
  <c r="V47" i="55"/>
  <c r="V48" i="55"/>
  <c r="X46" i="55"/>
  <c r="U144" i="55"/>
  <c r="U21" i="55"/>
  <c r="V25" i="55"/>
  <c r="W19" i="55"/>
  <c r="W21" i="55"/>
  <c r="U23" i="55"/>
  <c r="V19" i="55"/>
  <c r="V21" i="55"/>
  <c r="X23" i="55"/>
  <c r="W23" i="55"/>
  <c r="X26" i="55"/>
  <c r="X28" i="55"/>
  <c r="X19" i="55"/>
  <c r="X18" i="55"/>
  <c r="X20" i="55"/>
  <c r="V23" i="55"/>
  <c r="W26" i="55"/>
  <c r="W28" i="55"/>
  <c r="X21" i="55"/>
  <c r="W18" i="55"/>
  <c r="W20" i="55"/>
  <c r="X22" i="55"/>
  <c r="X25" i="55"/>
  <c r="V26" i="55"/>
  <c r="V28" i="55"/>
  <c r="V18" i="55"/>
  <c r="V20" i="55"/>
  <c r="W22" i="55"/>
  <c r="W25" i="55"/>
  <c r="V22" i="55"/>
  <c r="U14" i="55"/>
  <c r="X16" i="55"/>
  <c r="W16" i="55"/>
  <c r="V16" i="55"/>
  <c r="V14" i="55"/>
  <c r="V9" i="55"/>
  <c r="X12" i="55"/>
  <c r="W10" i="55"/>
  <c r="W12" i="55"/>
  <c r="U12" i="55"/>
  <c r="X14" i="55"/>
  <c r="U11" i="55"/>
  <c r="W14" i="55"/>
  <c r="V13" i="55"/>
  <c r="V12" i="55"/>
  <c r="X11" i="55"/>
  <c r="U13" i="55"/>
  <c r="X9" i="55"/>
  <c r="W11" i="55"/>
  <c r="X13" i="55"/>
  <c r="X10" i="55"/>
  <c r="W9" i="55"/>
  <c r="V11" i="55"/>
  <c r="W13" i="55"/>
  <c r="W7" i="55"/>
  <c r="V7" i="55"/>
  <c r="X8" i="55"/>
  <c r="W8" i="55"/>
  <c r="V8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14" i="58"/>
  <c r="N14" i="58"/>
  <c r="O14" i="58"/>
  <c r="M15" i="58"/>
  <c r="N15" i="58"/>
  <c r="O15" i="58"/>
  <c r="L15" i="58"/>
  <c r="L14" i="58"/>
  <c r="L13" i="58"/>
  <c r="M13" i="58"/>
  <c r="N7" i="58"/>
  <c r="O7" i="58"/>
  <c r="M8" i="58"/>
  <c r="N8" i="58"/>
  <c r="O8" i="58"/>
  <c r="M9" i="58"/>
  <c r="N9" i="58"/>
  <c r="O9" i="58"/>
  <c r="M10" i="58"/>
  <c r="N10" i="58"/>
  <c r="O10" i="58"/>
  <c r="M11" i="58"/>
  <c r="N11" i="58"/>
  <c r="O11" i="58"/>
  <c r="M12" i="58"/>
  <c r="N12" i="58"/>
  <c r="O12" i="58"/>
  <c r="N13" i="58"/>
  <c r="O13" i="58"/>
  <c r="L8" i="58"/>
  <c r="L9" i="58"/>
  <c r="L10" i="58"/>
  <c r="L11" i="58"/>
  <c r="L12" i="58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W9" i="58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8" i="58"/>
  <c r="W12" i="58"/>
  <c r="W7" i="58"/>
  <c r="V8" i="58"/>
  <c r="V9" i="58"/>
  <c r="V10" i="58"/>
  <c r="W10" i="58" s="1"/>
  <c r="V11" i="58"/>
  <c r="W11" i="58" s="1"/>
  <c r="V12" i="58"/>
  <c r="V13" i="58"/>
  <c r="W13" i="58" s="1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3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<sst xmlns="http://schemas.openxmlformats.org/spreadsheetml/2006/main" count="3452" uniqueCount="1032">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</sst>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6" fillId="0" borderId="0" applyFont="0" applyFill="0" applyBorder="0" applyAlignment="0" applyProtection="0"/>
  </cellStyleXfs>
  <cellXfs count="517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2" fontId="61" fillId="0" borderId="0" xfId="0" applyNumberFormat="1" applyFont="1" applyAlignment="1">
      <alignment horizontal="center" vertical="center"/>
    </xf>
    <xf numFmtId="0" fontId="62" fillId="31" borderId="9" xfId="0" applyFont="1" applyFill="1" applyBorder="1" applyAlignment="1">
      <alignment vertical="center" wrapText="1"/>
    </xf>
    <xf numFmtId="0" fontId="62" fillId="31" borderId="3" xfId="0" applyFont="1" applyFill="1" applyBorder="1" applyAlignment="1">
      <alignment vertical="center" wrapText="1"/>
    </xf>
    <xf numFmtId="0" fontId="62" fillId="31" borderId="16" xfId="0" applyFont="1" applyFill="1" applyBorder="1" applyAlignment="1">
      <alignment vertical="center" wrapText="1"/>
    </xf>
    <xf numFmtId="0" fontId="62" fillId="31" borderId="7" xfId="0" applyFont="1" applyFill="1" applyBorder="1" applyAlignment="1">
      <alignment vertical="center" wrapText="1"/>
    </xf>
    <xf numFmtId="0" fontId="63" fillId="0" borderId="0" xfId="0" applyFont="1" applyAlignment="1">
      <alignment vertical="center" wrapText="1"/>
    </xf>
    <xf numFmtId="0" fontId="64" fillId="31" borderId="26" xfId="0" applyFont="1" applyFill="1" applyBorder="1" applyAlignment="1">
      <alignment vertical="center"/>
    </xf>
    <xf numFmtId="0" fontId="64" fillId="31" borderId="5" xfId="0" applyFont="1" applyFill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0" fontId="65" fillId="31" borderId="26" xfId="0" applyFont="1" applyFill="1" applyBorder="1" applyAlignment="1">
      <alignment horizontal="center" vertical="center"/>
    </xf>
    <xf numFmtId="0" fontId="65" fillId="31" borderId="5" xfId="0" applyFont="1" applyFill="1" applyBorder="1" applyAlignment="1">
      <alignment horizontal="center" vertical="center"/>
    </xf>
    <xf numFmtId="0" fontId="65" fillId="31" borderId="14" xfId="0" applyFont="1" applyFill="1" applyBorder="1" applyAlignment="1">
      <alignment horizontal="center" vertical="center"/>
    </xf>
    <xf numFmtId="0" fontId="64" fillId="31" borderId="15" xfId="0" applyFont="1" applyFill="1" applyBorder="1" applyAlignment="1">
      <alignment vertical="center"/>
    </xf>
    <xf numFmtId="0" fontId="65" fillId="32" borderId="26" xfId="0" applyFont="1" applyFill="1" applyBorder="1" applyAlignment="1">
      <alignment horizontal="center" vertical="center"/>
    </xf>
    <xf numFmtId="0" fontId="65" fillId="32" borderId="5" xfId="0" applyFont="1" applyFill="1" applyBorder="1" applyAlignment="1">
      <alignment horizontal="center" vertical="center"/>
    </xf>
    <xf numFmtId="0" fontId="65" fillId="32" borderId="14" xfId="0" applyFont="1" applyFill="1" applyBorder="1" applyAlignment="1">
      <alignment horizontal="center" vertical="center"/>
    </xf>
    <xf numFmtId="0" fontId="66" fillId="9" borderId="25" xfId="0" applyFont="1" applyFill="1" applyBorder="1" applyAlignment="1">
      <alignment vertical="center"/>
    </xf>
    <xf numFmtId="0" fontId="66" fillId="9" borderId="0" xfId="0" applyFont="1" applyFill="1" applyAlignment="1">
      <alignment vertical="center"/>
    </xf>
    <xf numFmtId="0" fontId="66" fillId="9" borderId="10" xfId="0" applyFont="1" applyFill="1" applyBorder="1" applyAlignment="1">
      <alignment vertical="center"/>
    </xf>
    <xf numFmtId="0" fontId="66" fillId="9" borderId="25" xfId="0" applyFont="1" applyFill="1" applyBorder="1" applyAlignment="1">
      <alignment horizontal="center" vertical="center"/>
    </xf>
    <xf numFmtId="0" fontId="66" fillId="9" borderId="0" xfId="0" applyFont="1" applyFill="1" applyAlignment="1">
      <alignment horizontal="center" vertical="center"/>
    </xf>
    <xf numFmtId="0" fontId="66" fillId="9" borderId="10" xfId="0" applyFont="1" applyFill="1" applyBorder="1" applyAlignment="1">
      <alignment horizontal="center" vertical="center"/>
    </xf>
    <xf numFmtId="0" fontId="66" fillId="9" borderId="6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0" fontId="67" fillId="0" borderId="25" xfId="0" applyFont="1" applyBorder="1" applyAlignment="1">
      <alignment vertical="center"/>
    </xf>
    <xf numFmtId="1" fontId="67" fillId="0" borderId="0" xfId="0" applyNumberFormat="1" applyFont="1" applyAlignment="1">
      <alignment vertical="center"/>
    </xf>
    <xf numFmtId="1" fontId="67" fillId="0" borderId="10" xfId="0" applyNumberFormat="1" applyFont="1" applyBorder="1" applyAlignment="1">
      <alignment vertical="center"/>
    </xf>
    <xf numFmtId="1" fontId="67" fillId="0" borderId="25" xfId="0" applyNumberFormat="1" applyFont="1" applyBorder="1" applyAlignment="1">
      <alignment horizontal="center" vertical="center"/>
    </xf>
    <xf numFmtId="1" fontId="67" fillId="0" borderId="0" xfId="0" applyNumberFormat="1" applyFont="1" applyAlignment="1">
      <alignment horizontal="center" vertical="center"/>
    </xf>
    <xf numFmtId="1" fontId="67" fillId="0" borderId="10" xfId="0" applyNumberFormat="1" applyFont="1" applyBorder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164" fontId="67" fillId="0" borderId="10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7" fillId="0" borderId="25" xfId="0" applyNumberFormat="1" applyFont="1" applyBorder="1" applyAlignment="1">
      <alignment horizontal="center" vertical="center"/>
    </xf>
    <xf numFmtId="0" fontId="67" fillId="0" borderId="6" xfId="0" applyFont="1" applyBorder="1" applyAlignment="1">
      <alignment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3" fontId="68" fillId="0" borderId="25" xfId="0" applyNumberFormat="1" applyFont="1" applyBorder="1" applyAlignment="1">
      <alignment horizontal="center" vertical="center"/>
    </xf>
    <xf numFmtId="3" fontId="69" fillId="0" borderId="0" xfId="0" applyNumberFormat="1" applyFont="1" applyAlignment="1">
      <alignment horizontal="center" vertical="center"/>
    </xf>
    <xf numFmtId="3" fontId="69" fillId="0" borderId="10" xfId="0" applyNumberFormat="1" applyFont="1" applyBorder="1" applyAlignment="1">
      <alignment horizontal="center" vertical="center"/>
    </xf>
    <xf numFmtId="3" fontId="70" fillId="0" borderId="0" xfId="0" applyNumberFormat="1" applyFont="1" applyAlignment="1">
      <alignment horizontal="center" vertical="center"/>
    </xf>
    <xf numFmtId="3" fontId="70" fillId="0" borderId="10" xfId="0" applyNumberFormat="1" applyFont="1" applyBorder="1" applyAlignment="1">
      <alignment horizontal="center" vertical="center"/>
    </xf>
    <xf numFmtId="1" fontId="68" fillId="0" borderId="0" xfId="0" applyNumberFormat="1" applyFont="1" applyAlignment="1">
      <alignment horizontal="center" vertical="center"/>
    </xf>
    <xf numFmtId="1" fontId="68" fillId="0" borderId="10" xfId="0" applyNumberFormat="1" applyFont="1" applyBorder="1" applyAlignment="1">
      <alignment horizontal="center" vertical="center"/>
    </xf>
    <xf numFmtId="164" fontId="66" fillId="9" borderId="0" xfId="0" applyNumberFormat="1" applyFont="1" applyFill="1" applyAlignment="1">
      <alignment horizontal="center" vertical="center"/>
    </xf>
    <xf numFmtId="164" fontId="66" fillId="9" borderId="10" xfId="0" applyNumberFormat="1" applyFont="1" applyFill="1" applyBorder="1" applyAlignment="1">
      <alignment horizontal="center" vertical="center"/>
    </xf>
    <xf numFmtId="1" fontId="68" fillId="0" borderId="25" xfId="0" applyNumberFormat="1" applyFont="1" applyBorder="1" applyAlignment="1">
      <alignment horizontal="center" vertical="center"/>
    </xf>
    <xf numFmtId="3" fontId="68" fillId="0" borderId="0" xfId="0" applyNumberFormat="1" applyFont="1"/>
    <xf numFmtId="3" fontId="68" fillId="0" borderId="10" xfId="0" applyNumberFormat="1" applyFont="1" applyBorder="1"/>
    <xf numFmtId="169" fontId="68" fillId="0" borderId="0" xfId="0" applyNumberFormat="1" applyFont="1" applyAlignment="1">
      <alignment horizontal="center" vertical="center"/>
    </xf>
    <xf numFmtId="1" fontId="67" fillId="0" borderId="6" xfId="0" applyNumberFormat="1" applyFont="1" applyBorder="1" applyAlignment="1">
      <alignment vertical="center"/>
    </xf>
    <xf numFmtId="1" fontId="68" fillId="0" borderId="10" xfId="0" applyNumberFormat="1" applyFont="1" applyBorder="1" applyAlignment="1">
      <alignment vertical="center"/>
    </xf>
    <xf numFmtId="9" fontId="68" fillId="0" borderId="0" xfId="15" applyFont="1" applyBorder="1"/>
    <xf numFmtId="9" fontId="68" fillId="0" borderId="10" xfId="15" applyFont="1" applyBorder="1"/>
    <xf numFmtId="9" fontId="68" fillId="0" borderId="25" xfId="15" applyFont="1" applyBorder="1"/>
    <xf numFmtId="2" fontId="67" fillId="0" borderId="0" xfId="0" applyNumberFormat="1" applyFont="1" applyAlignment="1">
      <alignment horizontal="center" vertical="center"/>
    </xf>
    <xf numFmtId="2" fontId="68" fillId="0" borderId="0" xfId="0" applyNumberFormat="1" applyFont="1" applyAlignment="1">
      <alignment horizontal="center" vertical="center"/>
    </xf>
    <xf numFmtId="164" fontId="68" fillId="0" borderId="25" xfId="0" applyNumberFormat="1" applyFont="1" applyBorder="1" applyAlignment="1">
      <alignment horizontal="center" vertical="center"/>
    </xf>
    <xf numFmtId="164" fontId="68" fillId="0" borderId="0" xfId="0" applyNumberFormat="1" applyFont="1" applyAlignment="1">
      <alignment horizontal="center" vertical="center"/>
    </xf>
    <xf numFmtId="3" fontId="61" fillId="0" borderId="0" xfId="0" applyNumberFormat="1" applyFont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169" fontId="67" fillId="0" borderId="10" xfId="0" applyNumberFormat="1" applyFont="1" applyBorder="1" applyAlignment="1">
      <alignment horizontal="center" vertical="center"/>
    </xf>
    <xf numFmtId="9" fontId="68" fillId="0" borderId="0" xfId="15" applyFont="1" applyAlignment="1">
      <alignment vertical="center"/>
    </xf>
    <xf numFmtId="9" fontId="68" fillId="0" borderId="0" xfId="15" applyFont="1"/>
    <xf numFmtId="164" fontId="67" fillId="0" borderId="25" xfId="0" applyNumberFormat="1" applyFont="1" applyBorder="1" applyAlignment="1">
      <alignment horizontal="center" vertical="center"/>
    </xf>
    <xf numFmtId="0" fontId="67" fillId="12" borderId="25" xfId="0" applyFont="1" applyFill="1" applyBorder="1" applyAlignment="1">
      <alignment vertical="center"/>
    </xf>
    <xf numFmtId="1" fontId="67" fillId="12" borderId="0" xfId="0" applyNumberFormat="1" applyFont="1" applyFill="1" applyAlignment="1">
      <alignment vertical="center"/>
    </xf>
    <xf numFmtId="1" fontId="67" fillId="12" borderId="10" xfId="0" applyNumberFormat="1" applyFont="1" applyFill="1" applyBorder="1" applyAlignment="1">
      <alignment vertical="center"/>
    </xf>
    <xf numFmtId="1" fontId="67" fillId="12" borderId="25" xfId="0" applyNumberFormat="1" applyFont="1" applyFill="1" applyBorder="1" applyAlignment="1">
      <alignment horizontal="center" vertical="center"/>
    </xf>
    <xf numFmtId="1" fontId="67" fillId="12" borderId="0" xfId="0" applyNumberFormat="1" applyFont="1" applyFill="1" applyAlignment="1">
      <alignment horizontal="center" vertical="center"/>
    </xf>
    <xf numFmtId="1" fontId="67" fillId="12" borderId="10" xfId="0" applyNumberFormat="1" applyFont="1" applyFill="1" applyBorder="1" applyAlignment="1">
      <alignment horizontal="center" vertical="center"/>
    </xf>
    <xf numFmtId="164" fontId="67" fillId="12" borderId="0" xfId="0" applyNumberFormat="1" applyFont="1" applyFill="1" applyAlignment="1">
      <alignment horizontal="center" vertical="center"/>
    </xf>
    <xf numFmtId="164" fontId="67" fillId="12" borderId="10" xfId="0" applyNumberFormat="1" applyFont="1" applyFill="1" applyBorder="1" applyAlignment="1">
      <alignment horizontal="center" vertical="center"/>
    </xf>
    <xf numFmtId="3" fontId="67" fillId="12" borderId="25" xfId="0" applyNumberFormat="1" applyFont="1" applyFill="1" applyBorder="1" applyAlignment="1">
      <alignment horizontal="center" vertical="center"/>
    </xf>
    <xf numFmtId="3" fontId="67" fillId="12" borderId="0" xfId="0" applyNumberFormat="1" applyFont="1" applyFill="1" applyAlignment="1">
      <alignment horizontal="center" vertical="center"/>
    </xf>
    <xf numFmtId="3" fontId="67" fillId="12" borderId="10" xfId="0" applyNumberFormat="1" applyFont="1" applyFill="1" applyBorder="1" applyAlignment="1">
      <alignment horizontal="center" vertical="center"/>
    </xf>
    <xf numFmtId="0" fontId="67" fillId="12" borderId="6" xfId="0" applyFont="1" applyFill="1" applyBorder="1" applyAlignment="1">
      <alignment vertical="center"/>
    </xf>
    <xf numFmtId="0" fontId="67" fillId="12" borderId="26" xfId="0" applyFont="1" applyFill="1" applyBorder="1" applyAlignment="1">
      <alignment vertical="center"/>
    </xf>
    <xf numFmtId="1" fontId="67" fillId="12" borderId="5" xfId="0" applyNumberFormat="1" applyFont="1" applyFill="1" applyBorder="1" applyAlignment="1">
      <alignment vertical="center"/>
    </xf>
    <xf numFmtId="1" fontId="67" fillId="12" borderId="14" xfId="0" applyNumberFormat="1" applyFont="1" applyFill="1" applyBorder="1" applyAlignment="1">
      <alignment vertical="center"/>
    </xf>
    <xf numFmtId="1" fontId="67" fillId="12" borderId="26" xfId="0" applyNumberFormat="1" applyFont="1" applyFill="1" applyBorder="1" applyAlignment="1">
      <alignment horizontal="center" vertical="center"/>
    </xf>
    <xf numFmtId="1" fontId="67" fillId="12" borderId="5" xfId="0" applyNumberFormat="1" applyFont="1" applyFill="1" applyBorder="1" applyAlignment="1">
      <alignment horizontal="center" vertical="center"/>
    </xf>
    <xf numFmtId="1" fontId="67" fillId="12" borderId="14" xfId="0" applyNumberFormat="1" applyFont="1" applyFill="1" applyBorder="1" applyAlignment="1">
      <alignment horizontal="center" vertical="center"/>
    </xf>
    <xf numFmtId="164" fontId="67" fillId="12" borderId="5" xfId="0" applyNumberFormat="1" applyFont="1" applyFill="1" applyBorder="1" applyAlignment="1">
      <alignment horizontal="center" vertical="center"/>
    </xf>
    <xf numFmtId="164" fontId="67" fillId="12" borderId="14" xfId="0" applyNumberFormat="1" applyFont="1" applyFill="1" applyBorder="1" applyAlignment="1">
      <alignment horizontal="center" vertical="center"/>
    </xf>
    <xf numFmtId="0" fontId="67" fillId="12" borderId="15" xfId="0" applyFont="1" applyFill="1" applyBorder="1" applyAlignment="1">
      <alignment vertical="center"/>
    </xf>
    <xf numFmtId="3" fontId="67" fillId="12" borderId="5" xfId="0" applyNumberFormat="1" applyFont="1" applyFill="1" applyBorder="1" applyAlignment="1">
      <alignment horizontal="center" vertical="center"/>
    </xf>
    <xf numFmtId="3" fontId="67" fillId="12" borderId="14" xfId="0" applyNumberFormat="1" applyFont="1" applyFill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7" fillId="0" borderId="0" xfId="15" applyNumberFormat="1" applyFont="1" applyBorder="1" applyAlignment="1">
      <alignment horizontal="center" vertical="center"/>
    </xf>
    <xf numFmtId="164" fontId="67" fillId="0" borderId="10" xfId="15" applyNumberFormat="1" applyFont="1" applyBorder="1" applyAlignment="1">
      <alignment horizontal="center" vertical="center"/>
    </xf>
    <xf numFmtId="164" fontId="68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62" fillId="31" borderId="9" xfId="0" applyFont="1" applyFill="1" applyBorder="1" applyAlignment="1">
      <alignment horizontal="center" vertical="center" wrapText="1"/>
    </xf>
    <xf numFmtId="0" fontId="62" fillId="31" borderId="3" xfId="0" applyFont="1" applyFill="1" applyBorder="1" applyAlignment="1">
      <alignment horizontal="center" vertical="center" wrapText="1"/>
    </xf>
    <xf numFmtId="0" fontId="62" fillId="31" borderId="16" xfId="0" applyFont="1" applyFill="1" applyBorder="1" applyAlignment="1">
      <alignment horizontal="center" vertical="center" wrapText="1"/>
    </xf>
    <xf numFmtId="0" fontId="62" fillId="32" borderId="9" xfId="0" applyFont="1" applyFill="1" applyBorder="1" applyAlignment="1">
      <alignment horizontal="center" vertical="center" wrapText="1"/>
    </xf>
    <xf numFmtId="0" fontId="62" fillId="32" borderId="3" xfId="0" applyFont="1" applyFill="1" applyBorder="1" applyAlignment="1">
      <alignment horizontal="center" vertical="center" wrapText="1"/>
    </xf>
    <xf numFmtId="0" fontId="62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  <sheetView workbookViewId="1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2" t="s">
        <v>468</v>
      </c>
      <c r="B17" s="482"/>
      <c r="C17" s="482"/>
      <c r="D17" s="482"/>
      <c r="E17" s="482"/>
      <c r="F17" s="482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3" t="s">
        <v>470</v>
      </c>
      <c r="C20" s="483"/>
      <c r="D20" s="483"/>
      <c r="E20" s="483"/>
      <c r="F20" s="483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4" t="s">
        <v>1</v>
      </c>
      <c r="C21" s="484"/>
      <c r="D21" s="484"/>
      <c r="E21" s="484"/>
      <c r="F21" s="484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4" t="s">
        <v>58</v>
      </c>
      <c r="C22" s="484"/>
      <c r="D22" s="484"/>
      <c r="E22" s="484"/>
      <c r="F22" s="484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5"/>
      <c r="B25" s="485"/>
      <c r="C25" s="485"/>
      <c r="D25" s="485"/>
      <c r="E25" s="485"/>
      <c r="F25" s="485"/>
      <c r="G25" s="3"/>
      <c r="H25" s="3"/>
    </row>
    <row r="26" spans="1:14" ht="17.25" customHeight="1" x14ac:dyDescent="0.2">
      <c r="A26" s="481"/>
      <c r="B26" s="481"/>
      <c r="C26" s="481"/>
      <c r="D26" s="481"/>
      <c r="E26" s="481"/>
      <c r="F26" s="481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2" workbookViewId="0">
      <selection activeCell="C32" sqref="C32"/>
    </sheetView>
    <sheetView workbookViewId="1"/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6" t="s">
        <v>4</v>
      </c>
      <c r="C2" s="487"/>
      <c r="D2" s="487"/>
      <c r="E2" s="488"/>
      <c r="G2" s="486" t="s">
        <v>5</v>
      </c>
      <c r="H2" s="488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89" t="s">
        <v>80</v>
      </c>
      <c r="C20" s="490"/>
      <c r="D20" s="490"/>
      <c r="E20" s="491"/>
      <c r="G20" s="486" t="s">
        <v>14</v>
      </c>
      <c r="H20" s="488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6" t="s">
        <v>88</v>
      </c>
      <c r="C38" s="487"/>
      <c r="D38" s="487"/>
      <c r="E38" s="488"/>
      <c r="G38" s="492" t="s">
        <v>82</v>
      </c>
      <c r="H38" s="493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/>
      <c r="H40" s="266"/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F41" sqref="F41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4" t="s">
        <v>717</v>
      </c>
      <c r="X3" s="494"/>
      <c r="Y3" s="494"/>
      <c r="Z3" s="494"/>
      <c r="AA3" s="494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498" t="s">
        <v>339</v>
      </c>
      <c r="I4" s="499"/>
      <c r="J4" s="499"/>
      <c r="K4" s="500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1" t="s">
        <v>695</v>
      </c>
      <c r="I5" s="502"/>
      <c r="J5" s="502"/>
      <c r="K5" s="503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5" t="s">
        <v>695</v>
      </c>
      <c r="I11" s="496"/>
      <c r="J11" s="496"/>
      <c r="K11" s="497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5" t="s">
        <v>695</v>
      </c>
      <c r="I17" s="496"/>
      <c r="J17" s="496"/>
      <c r="K17" s="497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  <sheetView workbookViewId="1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zoomScale="70" zoomScaleNormal="70" workbookViewId="0">
      <selection activeCell="D96" sqref="D96"/>
    </sheetView>
    <sheetView topLeftCell="D23" workbookViewId="1">
      <selection activeCell="D29" sqref="D2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4" t="s">
        <v>758</v>
      </c>
      <c r="H4" s="505"/>
      <c r="I4" s="505"/>
      <c r="J4" s="506"/>
      <c r="K4" s="504" t="s">
        <v>336</v>
      </c>
      <c r="L4" s="505"/>
      <c r="M4" s="505"/>
      <c r="N4" s="506"/>
      <c r="O4" s="504" t="s">
        <v>337</v>
      </c>
      <c r="P4" s="505"/>
      <c r="Q4" s="505"/>
      <c r="R4" s="506"/>
      <c r="S4" s="504" t="s">
        <v>338</v>
      </c>
      <c r="T4" s="506"/>
      <c r="U4" s="498" t="s">
        <v>339</v>
      </c>
      <c r="V4" s="499"/>
      <c r="W4" s="499"/>
      <c r="X4" s="500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1" t="s">
        <v>55</v>
      </c>
      <c r="H6" s="502"/>
      <c r="I6" s="502"/>
      <c r="J6" s="503"/>
      <c r="K6" s="502" t="s">
        <v>55</v>
      </c>
      <c r="L6" s="502"/>
      <c r="M6" s="502"/>
      <c r="N6" s="503"/>
      <c r="O6" s="501" t="s">
        <v>55</v>
      </c>
      <c r="P6" s="502"/>
      <c r="Q6" s="502"/>
      <c r="R6" s="503"/>
      <c r="S6" s="501" t="s">
        <v>312</v>
      </c>
      <c r="T6" s="503"/>
      <c r="U6" s="501" t="s">
        <v>1007</v>
      </c>
      <c r="V6" s="502"/>
      <c r="W6" s="502"/>
      <c r="X6" s="503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87">
        <f>(JRC_Data!BB7/1000)*$T$145</f>
        <v>6.0393822393822383</v>
      </c>
      <c r="V7" s="87">
        <f>(JRC_Data!BC7/1000)*$T$145</f>
        <v>6.0393822393822383</v>
      </c>
      <c r="W7" s="87">
        <f>(JRC_Data!BD7/1000)*$T$145</f>
        <v>6.0393822393822383</v>
      </c>
      <c r="X7" s="87">
        <f>(JRC_Data!BE7/1000)*$T$145</f>
        <v>6.0393822393822383</v>
      </c>
      <c r="Y7" s="87">
        <f>JRC_Data!BL7/1000</f>
        <v>0.27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0">H8*0.7</f>
        <v>0.7</v>
      </c>
      <c r="Q8" s="338">
        <f t="shared" ref="Q8" si="1">I8*0.7</f>
        <v>0.7</v>
      </c>
      <c r="R8" s="339">
        <f t="shared" ref="R8" si="2">J8*0.7</f>
        <v>0.7</v>
      </c>
      <c r="S8" s="100">
        <v>20</v>
      </c>
      <c r="T8" s="71"/>
      <c r="U8" s="69">
        <f>(JRC_Data!BB7/1000)*$T$146</f>
        <v>6.0903474903474901</v>
      </c>
      <c r="V8" s="69">
        <f>(JRC_Data!BC7/1000)*$T$146</f>
        <v>6.0903474903474901</v>
      </c>
      <c r="W8" s="69">
        <f>(JRC_Data!BD7/1000)*$T$146</f>
        <v>6.0903474903474901</v>
      </c>
      <c r="X8" s="69">
        <f>(JRC_Data!BE7/1000)*$T$146</f>
        <v>6.0903474903474901</v>
      </c>
      <c r="Y8" s="69">
        <f>JRC_Data!BL7/1000</f>
        <v>0.27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3">C8</f>
        <v>R-SW_Apt_KER_N1</v>
      </c>
      <c r="AK8" s="152" t="str">
        <f t="shared" ref="AK8:AK13" si="4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87">
        <f>(JRC_Data!BB9/1000)*($T$145/$T$147)</f>
        <v>3.9173553719008263</v>
      </c>
      <c r="V9" s="87">
        <f>(JRC_Data!BC9/1000)*($T$145/$T$147)</f>
        <v>3.9173553719008263</v>
      </c>
      <c r="W9" s="87">
        <f>(JRC_Data!BD9/1000)*($T$145/$T$147)</f>
        <v>3.9173553719008263</v>
      </c>
      <c r="X9" s="87">
        <f>(JRC_Data!BE9/1000)*($T$145/$T$147)</f>
        <v>3.9173553719008263</v>
      </c>
      <c r="Y9" s="87">
        <f>JRC_Data!BL9/1000</f>
        <v>0.23499999999999999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3"/>
        <v>R-SH_Apt_GAS_N1</v>
      </c>
      <c r="AK9" s="152" t="str">
        <f t="shared" si="4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5">H10*0.7</f>
        <v>0.7</v>
      </c>
      <c r="Q10" s="338">
        <f t="shared" ref="Q10" si="6">I10*0.7</f>
        <v>0.7</v>
      </c>
      <c r="R10" s="339">
        <f t="shared" ref="R10" si="7">J10*0.7</f>
        <v>0.7</v>
      </c>
      <c r="S10" s="100">
        <v>22</v>
      </c>
      <c r="T10" s="71"/>
      <c r="U10" s="69">
        <f>(JRC_Data!BB9/1000)*($T$146/$T$147)</f>
        <v>3.950413223140496</v>
      </c>
      <c r="V10" s="69">
        <f>(JRC_Data!BC9/1000)*($T$146/$T$147)</f>
        <v>3.950413223140496</v>
      </c>
      <c r="W10" s="69">
        <f>(JRC_Data!BD9/1000)*($T$146/$T$147)</f>
        <v>3.950413223140496</v>
      </c>
      <c r="X10" s="69">
        <f>(JRC_Data!BE9/1000)*($T$146/$T$147)</f>
        <v>3.950413223140496</v>
      </c>
      <c r="Y10" s="69">
        <f>JRC_Data!BL9/1000</f>
        <v>0.23499999999999999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3"/>
        <v>R-SW_Apt_GAS_N1</v>
      </c>
      <c r="AK10" s="152" t="str">
        <f t="shared" si="4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87">
        <f>(JRC_Data!BB9/1000)*($T$145/$T$147)</f>
        <v>3.9173553719008263</v>
      </c>
      <c r="V11" s="87">
        <f>(JRC_Data!BC9/1000)*($T$145/$T$147)</f>
        <v>3.9173553719008263</v>
      </c>
      <c r="W11" s="87">
        <f>(JRC_Data!BD9/1000)*($T$145/$T$147)</f>
        <v>3.9173553719008263</v>
      </c>
      <c r="X11" s="87">
        <f>(JRC_Data!BE9/1000)*($T$145/$T$147)</f>
        <v>3.9173553719008263</v>
      </c>
      <c r="Y11" s="87">
        <f>JRC_Data!BL9/1000</f>
        <v>0.23499999999999999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3"/>
        <v>R-SH_Apt_LPG_N1</v>
      </c>
      <c r="AK11" s="152" t="str">
        <f t="shared" si="4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8">H12*0.7</f>
        <v>0.7</v>
      </c>
      <c r="Q12" s="338">
        <f t="shared" si="8"/>
        <v>0.7</v>
      </c>
      <c r="R12" s="339">
        <f t="shared" si="8"/>
        <v>0.7</v>
      </c>
      <c r="S12" s="100">
        <v>22</v>
      </c>
      <c r="T12" s="71"/>
      <c r="U12" s="69">
        <f>(JRC_Data!BB9/1000)*($T$146/$T$147)</f>
        <v>3.950413223140496</v>
      </c>
      <c r="V12" s="69">
        <f>(JRC_Data!BC9/1000)*($T$146/$T$147)</f>
        <v>3.950413223140496</v>
      </c>
      <c r="W12" s="69">
        <f>(JRC_Data!BD9/1000)*($T$146/$T$147)</f>
        <v>3.950413223140496</v>
      </c>
      <c r="X12" s="69">
        <f>(JRC_Data!BE9/1000)*($T$146/$T$147)</f>
        <v>3.950413223140496</v>
      </c>
      <c r="Y12" s="69">
        <f>JRC_Data!BL9/1000</f>
        <v>0.23499999999999999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3"/>
        <v>R-SW_Apt_LPG_N1</v>
      </c>
      <c r="AK12" s="152" t="str">
        <f t="shared" si="4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87">
        <f>(JRC_Data!BB11/1000)*($T$145/$T$147)</f>
        <v>6.6105371900826446</v>
      </c>
      <c r="V13" s="87">
        <f>(JRC_Data!BC11/1000)*($T$145/$T$147)</f>
        <v>6.6105371900826446</v>
      </c>
      <c r="W13" s="87">
        <f>(JRC_Data!BD11/1000)*($T$145/$T$147)</f>
        <v>7.3450413223140494</v>
      </c>
      <c r="X13" s="87">
        <f>(JRC_Data!BE11/1000)*($T$145/$T$147)</f>
        <v>7.3450413223140494</v>
      </c>
      <c r="Y13" s="87">
        <f>JRC_Data!BL11/1000</f>
        <v>2.5999999999999999E-2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3"/>
        <v>R-SH_Apt_WOO_N1</v>
      </c>
      <c r="AK13" s="152" t="str">
        <f t="shared" si="4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9">G14*0.7</f>
        <v>0.7</v>
      </c>
      <c r="P14" s="338">
        <f t="shared" si="9"/>
        <v>0.7</v>
      </c>
      <c r="Q14" s="338">
        <f t="shared" si="9"/>
        <v>0.7</v>
      </c>
      <c r="R14" s="339">
        <f t="shared" si="9"/>
        <v>0.7</v>
      </c>
      <c r="S14" s="100">
        <v>20</v>
      </c>
      <c r="T14" s="71"/>
      <c r="U14" s="69">
        <f>(JRC_Data!BB11/1000)*($T$146/$T$147)</f>
        <v>6.6663223140495873</v>
      </c>
      <c r="V14" s="69">
        <f>(JRC_Data!BC11/1000)*($T$146/$T$147)</f>
        <v>6.6663223140495873</v>
      </c>
      <c r="W14" s="69">
        <f>(JRC_Data!BD11/1000)*($T$146/$T$147)</f>
        <v>7.4070247933884303</v>
      </c>
      <c r="X14" s="69">
        <f>(JRC_Data!BE11/1000)*($T$146/$T$147)</f>
        <v>7.4070247933884303</v>
      </c>
      <c r="Y14" s="69">
        <f>JRC_Data!BL12/1000</f>
        <v>3.15E-2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0">C18</f>
        <v>R-SH_Apt_ELC_HPN1</v>
      </c>
      <c r="AK16" s="150" t="str">
        <f t="shared" si="10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0"/>
        <v>R-HC_Apt_ELC_HPN1</v>
      </c>
      <c r="AK17" s="152" t="str">
        <f t="shared" si="10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0"/>
        <v>R-SH_Apt_ELC_HPN2</v>
      </c>
      <c r="AK18" s="152" t="str">
        <f t="shared" si="10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0"/>
        <v>R-SW_Apt_ELC_HPN1</v>
      </c>
      <c r="AK19" s="152" t="str">
        <f t="shared" si="10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87">
        <f>(JRC_Data!BB18/1000)*($T$145/$T$148)</f>
        <v>10.640816326530611</v>
      </c>
      <c r="V20" s="87">
        <f>(JRC_Data!BC18/1000)*($T$145/$T$148)</f>
        <v>9.6734693877551017</v>
      </c>
      <c r="W20" s="87">
        <f>(JRC_Data!BD18/1000)*($T$145/$T$148)</f>
        <v>9.6734693877551017</v>
      </c>
      <c r="X20" s="87">
        <f>(JRC_Data!BE18/1000)*($T$145/$T$148)</f>
        <v>8.7061224489795919</v>
      </c>
      <c r="Y20" s="87">
        <f>JRC_Data!BL18/1000</f>
        <v>0.15</v>
      </c>
      <c r="Z20" s="112"/>
      <c r="AA20" s="119"/>
      <c r="AB20" s="119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1">H21*0.7</f>
        <v>0.76999999999999991</v>
      </c>
      <c r="Q21" s="70">
        <f t="shared" si="11"/>
        <v>0.86333333333333329</v>
      </c>
      <c r="R21" s="104">
        <f t="shared" si="11"/>
        <v>0.93333333333333324</v>
      </c>
      <c r="S21" s="100">
        <v>20</v>
      </c>
      <c r="T21" s="71"/>
      <c r="U21" s="69">
        <f>(JRC_Data!BB18/1000)*($T$146/$T$148)</f>
        <v>10.73061224489796</v>
      </c>
      <c r="V21" s="69">
        <f>(JRC_Data!BC18/1000)*($T$146/$T$148)</f>
        <v>9.7551020408163271</v>
      </c>
      <c r="W21" s="69">
        <f>(JRC_Data!BD18/1000)*($T$146/$T$148)</f>
        <v>9.7551020408163271</v>
      </c>
      <c r="X21" s="69">
        <f>(JRC_Data!BE18/1000)*($T$146/$T$148)</f>
        <v>8.7795918367346939</v>
      </c>
      <c r="Y21" s="69">
        <f>JRC_Data!BL18/1000</f>
        <v>0.15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2">H25*0.7</f>
        <v>0.75185185185185177</v>
      </c>
      <c r="Q25" s="67">
        <f t="shared" si="12"/>
        <v>0.88148148148148131</v>
      </c>
      <c r="R25" s="103">
        <f t="shared" si="12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3">H26*0.7</f>
        <v>0.8037037037037037</v>
      </c>
      <c r="Q26" s="73">
        <f t="shared" ref="Q26" si="14">I26*0.7</f>
        <v>0.8037037037037037</v>
      </c>
      <c r="R26" s="106">
        <f t="shared" ref="R26" si="15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16">C33</f>
        <v>R-WH_Apt_ELC_N1</v>
      </c>
      <c r="AK27" s="150" t="str">
        <f t="shared" si="16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17">H28*0.7</f>
        <v>0.73360000000000003</v>
      </c>
      <c r="Q28" s="348">
        <f t="shared" si="17"/>
        <v>0.76789999999999992</v>
      </c>
      <c r="R28" s="349">
        <f t="shared" si="17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16"/>
        <v>R-WH_Apt_SOL_N1</v>
      </c>
      <c r="AK28" s="152" t="str">
        <f t="shared" si="16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4" t="s">
        <v>335</v>
      </c>
      <c r="H42" s="505"/>
      <c r="I42" s="505"/>
      <c r="J42" s="506"/>
      <c r="K42" s="504" t="s">
        <v>336</v>
      </c>
      <c r="L42" s="505"/>
      <c r="M42" s="505"/>
      <c r="N42" s="506"/>
      <c r="O42" s="504" t="s">
        <v>337</v>
      </c>
      <c r="P42" s="505"/>
      <c r="Q42" s="505"/>
      <c r="R42" s="506"/>
      <c r="S42" s="504" t="s">
        <v>338</v>
      </c>
      <c r="T42" s="506"/>
      <c r="U42" s="498" t="s">
        <v>339</v>
      </c>
      <c r="V42" s="499"/>
      <c r="W42" s="499"/>
      <c r="X42" s="500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26.2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1" t="s">
        <v>55</v>
      </c>
      <c r="H44" s="502"/>
      <c r="I44" s="502"/>
      <c r="J44" s="503"/>
      <c r="K44" s="502" t="s">
        <v>55</v>
      </c>
      <c r="L44" s="502"/>
      <c r="M44" s="502"/>
      <c r="N44" s="503"/>
      <c r="O44" s="501" t="s">
        <v>55</v>
      </c>
      <c r="P44" s="502"/>
      <c r="Q44" s="502"/>
      <c r="R44" s="503"/>
      <c r="S44" s="507" t="s">
        <v>312</v>
      </c>
      <c r="T44" s="508"/>
      <c r="U44" s="507" t="s">
        <v>1007</v>
      </c>
      <c r="V44" s="509"/>
      <c r="W44" s="509"/>
      <c r="X44" s="508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109">
        <f>(JRC_Data!BB7/1000)*$T$147</f>
        <v>6.166795366795367</v>
      </c>
      <c r="V45" s="109">
        <f>(JRC_Data!BC7/1000)*$T$147</f>
        <v>6.166795366795367</v>
      </c>
      <c r="W45" s="109">
        <f>(JRC_Data!BD7/1000)*$T$147</f>
        <v>6.166795366795367</v>
      </c>
      <c r="X45" s="109">
        <f>(JRC_Data!BE7/1000)*$T$147</f>
        <v>6.166795366795367</v>
      </c>
      <c r="Y45" s="105">
        <f>JRC_Data!BL7/1000</f>
        <v>0.27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18">H46*0.7</f>
        <v>0.7</v>
      </c>
      <c r="Q46" s="70">
        <f t="shared" ref="Q46:Q48" si="19">I46*0.7</f>
        <v>0.7</v>
      </c>
      <c r="R46" s="104">
        <f t="shared" ref="R46:R48" si="20">J46*0.7</f>
        <v>0.7</v>
      </c>
      <c r="S46" s="100">
        <v>20</v>
      </c>
      <c r="T46" s="72"/>
      <c r="U46" s="110">
        <f>(JRC_Data!BB7/1000)*$T$148</f>
        <v>6.243243243243243</v>
      </c>
      <c r="V46" s="110">
        <f>(JRC_Data!BC7/1000)*$T$148</f>
        <v>6.243243243243243</v>
      </c>
      <c r="W46" s="110">
        <f>(JRC_Data!BD7/1000)*$T$148</f>
        <v>6.243243243243243</v>
      </c>
      <c r="X46" s="110">
        <f>(JRC_Data!BE7/1000)*$T$148</f>
        <v>6.243243243243243</v>
      </c>
      <c r="Y46" s="104">
        <f>JRC_Data!BL7/1000</f>
        <v>0.27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1">C46</f>
        <v>R-SW_Att_KER_N1</v>
      </c>
      <c r="AK46" s="152" t="str">
        <f t="shared" ref="AK46:AK56" si="22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18"/>
        <v>0.7</v>
      </c>
      <c r="Q47" s="76">
        <f t="shared" si="19"/>
        <v>0.7</v>
      </c>
      <c r="R47" s="105">
        <f t="shared" si="20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1"/>
        <v>R-SW_Att_KER_N2</v>
      </c>
      <c r="AK47" s="152" t="str">
        <f t="shared" si="22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18"/>
        <v>0.71749999999999992</v>
      </c>
      <c r="Q48" s="70">
        <f t="shared" si="19"/>
        <v>0.71749999999999992</v>
      </c>
      <c r="R48" s="104">
        <f t="shared" si="20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1"/>
        <v>R-SW_Att_KER_N3</v>
      </c>
      <c r="AK48" s="152" t="str">
        <f t="shared" si="22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109">
        <f>(JRC_Data!BB9/1000)</f>
        <v>4</v>
      </c>
      <c r="V49" s="109">
        <f>(JRC_Data!BC9/1000)</f>
        <v>4</v>
      </c>
      <c r="W49" s="109">
        <f>(JRC_Data!BD9/1000)</f>
        <v>4</v>
      </c>
      <c r="X49" s="109">
        <f>(JRC_Data!BE9/1000)</f>
        <v>4</v>
      </c>
      <c r="Y49" s="105">
        <f>JRC_Data!BL9/1000</f>
        <v>0.23499999999999999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1"/>
        <v>R-SH_Att_GAS_N1</v>
      </c>
      <c r="AK49" s="152" t="str">
        <f t="shared" si="22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23">H50*0.7</f>
        <v>0.7</v>
      </c>
      <c r="Q50" s="70">
        <f t="shared" ref="Q50:Q52" si="24">I50*0.7</f>
        <v>0.7</v>
      </c>
      <c r="R50" s="104">
        <f t="shared" ref="R50:R52" si="25">J50*0.7</f>
        <v>0.7</v>
      </c>
      <c r="S50" s="100">
        <v>20</v>
      </c>
      <c r="T50" s="72"/>
      <c r="U50" s="110">
        <f>(JRC_Data!BB9/1000)*($T$148/$T$147)</f>
        <v>4.0495867768595044</v>
      </c>
      <c r="V50" s="110">
        <f>(JRC_Data!BC9/1000)*($T$148/$T$147)</f>
        <v>4.0495867768595044</v>
      </c>
      <c r="W50" s="110">
        <f>(JRC_Data!BD9/1000)*($T$148/$T$147)</f>
        <v>4.0495867768595044</v>
      </c>
      <c r="X50" s="110">
        <f>(JRC_Data!BE9/1000)*($T$148/$T$147)</f>
        <v>4.0495867768595044</v>
      </c>
      <c r="Y50" s="104">
        <f>JRC_Data!BL9/1000</f>
        <v>0.23499999999999999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1"/>
        <v>R-SW_Att_GAS_N1</v>
      </c>
      <c r="AK50" s="152" t="str">
        <f t="shared" si="22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23"/>
        <v>0.7</v>
      </c>
      <c r="Q51" s="76">
        <f t="shared" si="24"/>
        <v>0.7</v>
      </c>
      <c r="R51" s="105">
        <f t="shared" si="25"/>
        <v>0.7</v>
      </c>
      <c r="S51" s="101">
        <v>20</v>
      </c>
      <c r="T51" s="88"/>
      <c r="U51" s="109">
        <f>((JRC_Data!BB9+JRC_Data!BB45)*0.8/1000)*($T$148/$T$147)</f>
        <v>7.6132231404958679</v>
      </c>
      <c r="V51" s="109">
        <f>((JRC_Data!BC9+JRC_Data!BC45)*0.8/1000)*($T$148/$T$147)</f>
        <v>7.3702479338842979</v>
      </c>
      <c r="W51" s="109">
        <f>((JRC_Data!BD9+JRC_Data!BD45)*0.8/1000)*($T$148/$T$147)</f>
        <v>6.9652892561983473</v>
      </c>
      <c r="X51" s="109">
        <f>((JRC_Data!BE9+JRC_Data!BE45)*0.8/1000)*($T$148/$T$147)</f>
        <v>6.2363636363636372</v>
      </c>
      <c r="Y51" s="105">
        <f>((JRC_Data!BL9+JRC_Data!BL45)*0.8)/1000</f>
        <v>0.23760000000000003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1"/>
        <v>R-SW_Att_GAS_N2</v>
      </c>
      <c r="AK51" s="152" t="str">
        <f t="shared" si="22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23"/>
        <v>0.71749999999999992</v>
      </c>
      <c r="Q52" s="70">
        <f t="shared" si="24"/>
        <v>0.71749999999999992</v>
      </c>
      <c r="R52" s="104">
        <f t="shared" si="25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1"/>
        <v>R-SW_Att_GAS_N3</v>
      </c>
      <c r="AK52" s="152" t="str">
        <f t="shared" si="22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109">
        <f>(JRC_Data!BB9/1000)</f>
        <v>4</v>
      </c>
      <c r="V53" s="109">
        <f>(JRC_Data!BC9/1000)</f>
        <v>4</v>
      </c>
      <c r="W53" s="109">
        <f>(JRC_Data!BD9/1000)</f>
        <v>4</v>
      </c>
      <c r="X53" s="109">
        <f>(JRC_Data!BE9/1000)</f>
        <v>4</v>
      </c>
      <c r="Y53" s="105">
        <f>JRC_Data!BL9/1000</f>
        <v>0.23499999999999999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1"/>
        <v>R-SH_Att_LPG_N1</v>
      </c>
      <c r="AK53" s="152" t="str">
        <f t="shared" si="22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26">H54*0.7</f>
        <v>0.7</v>
      </c>
      <c r="Q54" s="70">
        <f t="shared" ref="Q54" si="27">I54*0.7</f>
        <v>0.7</v>
      </c>
      <c r="R54" s="104">
        <f t="shared" ref="R54" si="28">J54*0.7</f>
        <v>0.7</v>
      </c>
      <c r="S54" s="100">
        <v>20</v>
      </c>
      <c r="T54" s="72"/>
      <c r="U54" s="110">
        <f>(JRC_Data!BB9/1000)*($T$148/$T$147)</f>
        <v>4.0495867768595044</v>
      </c>
      <c r="V54" s="110">
        <f>(JRC_Data!BC9/1000)*($T$148/$T$147)</f>
        <v>4.0495867768595044</v>
      </c>
      <c r="W54" s="110">
        <f>(JRC_Data!BD9/1000)*($T$148/$T$147)</f>
        <v>4.0495867768595044</v>
      </c>
      <c r="X54" s="110">
        <f>(JRC_Data!BE9/1000)*($T$148/$T$147)</f>
        <v>4.0495867768595044</v>
      </c>
      <c r="Y54" s="104">
        <f>JRC_Data!BL9/1000</f>
        <v>0.23499999999999999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1"/>
        <v>R-SW_Att_LPG_N1</v>
      </c>
      <c r="AK54" s="152" t="str">
        <f t="shared" si="22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109">
        <f>((JRC_Data!BB9+JRC_Data!BB45)*0.8/1000)*($T$147/$T$147)</f>
        <v>7.52</v>
      </c>
      <c r="V55" s="109">
        <f>((JRC_Data!BC9+JRC_Data!BC45)*0.8/1000)*($T$147/$T$147)</f>
        <v>7.28</v>
      </c>
      <c r="W55" s="109">
        <f>((JRC_Data!BD9+JRC_Data!BD45)*0.8/1000)*($T$147/$T$147)</f>
        <v>6.88</v>
      </c>
      <c r="X55" s="109">
        <f>((JRC_Data!BE9+JRC_Data!BE45)*0.8/1000)*($T$147/$T$147)</f>
        <v>6.16</v>
      </c>
      <c r="Y55" s="105">
        <f>(JRC_Data!BL11)/1000</f>
        <v>2.5999999999999999E-2</v>
      </c>
      <c r="Z55" s="112"/>
      <c r="AA55" s="89"/>
      <c r="AB55" s="119"/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1"/>
        <v>R-SH_Att_WOO_N1</v>
      </c>
      <c r="AK55" s="152" t="str">
        <f t="shared" si="22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29">G56*0.7</f>
        <v>0.7</v>
      </c>
      <c r="P56" s="70">
        <f t="shared" si="29"/>
        <v>0.7</v>
      </c>
      <c r="Q56" s="70">
        <f t="shared" si="29"/>
        <v>0.7</v>
      </c>
      <c r="R56" s="104">
        <f t="shared" si="29"/>
        <v>0.7</v>
      </c>
      <c r="S56" s="100">
        <v>20</v>
      </c>
      <c r="T56" s="72"/>
      <c r="U56" s="110">
        <f>((JRC_Data!BB9+JRC_Data!BB45)*0.8/1000)*($T$148/$T$147)</f>
        <v>7.6132231404958679</v>
      </c>
      <c r="V56" s="110">
        <f>((JRC_Data!BC9+JRC_Data!BC45)*0.8/1000)*($T$148/$T$147)</f>
        <v>7.3702479338842979</v>
      </c>
      <c r="W56" s="110">
        <f>((JRC_Data!BD9+JRC_Data!BD45)*0.8/1000)*($T$148/$T$147)</f>
        <v>6.9652892561983473</v>
      </c>
      <c r="X56" s="110">
        <f>((JRC_Data!BE9+JRC_Data!BE45)*0.8/1000)*($T$148/$T$147)</f>
        <v>6.2363636363636372</v>
      </c>
      <c r="Y56" s="105">
        <f>(JRC_Data!BL11)/1000</f>
        <v>2.5999999999999999E-2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1"/>
        <v>R-SW_Att_WOO_N1</v>
      </c>
      <c r="AK56" s="155" t="str">
        <f t="shared" si="22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29"/>
        <v>0.7</v>
      </c>
      <c r="P57" s="76">
        <f t="shared" si="29"/>
        <v>0.7</v>
      </c>
      <c r="Q57" s="76">
        <f t="shared" si="29"/>
        <v>0.7</v>
      </c>
      <c r="R57" s="105">
        <f t="shared" si="29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30">C57</f>
        <v>*R-H_Apt_HVO_N1</v>
      </c>
      <c r="AK57" s="155" t="str">
        <f t="shared" ref="AK57:AK58" si="31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29"/>
        <v>0.7</v>
      </c>
      <c r="P58" s="73">
        <f t="shared" si="29"/>
        <v>0.7</v>
      </c>
      <c r="Q58" s="73">
        <f t="shared" si="29"/>
        <v>0.7</v>
      </c>
      <c r="R58" s="106">
        <f t="shared" si="29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30"/>
        <v>*R-H_Apt_HVO_N2</v>
      </c>
      <c r="AK58" s="155" t="str">
        <f t="shared" si="31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32">C62</f>
        <v>R-SH_Att_ELC_HPN1</v>
      </c>
      <c r="AK60" s="150" t="str">
        <f t="shared" si="32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32"/>
        <v>R-HC_Att_ELC_HPN1</v>
      </c>
      <c r="AK61" s="152" t="str">
        <f t="shared" si="32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32"/>
        <v>R-SH_Att_ELC_HPN2</v>
      </c>
      <c r="AK62" s="152" t="str">
        <f t="shared" si="32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32"/>
        <v>R-SW_Att_ELC_HPN1</v>
      </c>
      <c r="AK63" s="152" t="str">
        <f t="shared" si="32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87">
        <f>(JRC_Data!BB18/1000)*($T$147/$T$148)</f>
        <v>10.865306122448981</v>
      </c>
      <c r="V64" s="87">
        <f>(JRC_Data!BC18/1000)*($T$147/$T$148)</f>
        <v>9.8775510204081645</v>
      </c>
      <c r="W64" s="87">
        <f>(JRC_Data!BD18/1000)*($T$147/$T$148)</f>
        <v>9.8775510204081645</v>
      </c>
      <c r="X64" s="109">
        <f>(JRC_Data!BE18/1000)*($T$147/$T$148)</f>
        <v>8.8897959183673478</v>
      </c>
      <c r="Y64" s="109">
        <f>JRC_Data!BL18/1000</f>
        <v>0.15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32"/>
        <v>R-SW_Att_SOL_HPN2</v>
      </c>
      <c r="AK64" s="152" t="str">
        <f t="shared" si="32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33">H65*0.7</f>
        <v>0.76999999999999991</v>
      </c>
      <c r="Q65" s="70">
        <f t="shared" ref="Q65:Q66" si="34">I65*0.7</f>
        <v>0.86333333333333329</v>
      </c>
      <c r="R65" s="104">
        <f t="shared" ref="R65:R66" si="35">J65*0.7</f>
        <v>0.93333333333333324</v>
      </c>
      <c r="S65" s="100">
        <v>20</v>
      </c>
      <c r="T65" s="92"/>
      <c r="U65" s="69">
        <f>(JRC_Data!BB18/1000)*($T$148/$T$148)</f>
        <v>11</v>
      </c>
      <c r="V65" s="69">
        <f>(JRC_Data!BC18/1000)*($T$148/$T$148)</f>
        <v>10</v>
      </c>
      <c r="W65" s="69">
        <f>(JRC_Data!BD18/1000)*($T$148/$T$148)</f>
        <v>10</v>
      </c>
      <c r="X65" s="110">
        <f>(JRC_Data!BE18/1000)*($T$148/$T$148)</f>
        <v>9</v>
      </c>
      <c r="Y65" s="110">
        <f>JRC_Data!BL18/1000</f>
        <v>0.15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32"/>
        <v>R-SH_Att_ELC_HPN3</v>
      </c>
      <c r="AK65" s="152" t="str">
        <f t="shared" si="32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33"/>
        <v>0.77700000000000002</v>
      </c>
      <c r="Q66" s="76">
        <f t="shared" si="34"/>
        <v>0.83299999999999996</v>
      </c>
      <c r="R66" s="105">
        <f t="shared" si="35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32"/>
        <v>R-HC_Att_ELC_HPN2</v>
      </c>
      <c r="AK66" s="155" t="str">
        <f t="shared" si="32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36">H70*0.7</f>
        <v>0.75185185185185177</v>
      </c>
      <c r="Q70" s="341">
        <f t="shared" ref="Q70:Q71" si="37">I70*0.7</f>
        <v>0.88148148148148131</v>
      </c>
      <c r="R70" s="342">
        <f t="shared" ref="R70:R71" si="38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36"/>
        <v>0.8037037037037037</v>
      </c>
      <c r="Q71" s="348">
        <f t="shared" si="37"/>
        <v>0.8037037037037037</v>
      </c>
      <c r="R71" s="349">
        <f t="shared" si="38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39">C78</f>
        <v>R-WH_Att_ELC_N1</v>
      </c>
      <c r="AK72" s="150" t="str">
        <f t="shared" si="39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40">H73*0.7</f>
        <v>0.73360000000000003</v>
      </c>
      <c r="Q73" s="348">
        <f t="shared" ref="Q73" si="41">I73*0.7</f>
        <v>0.76789999999999992</v>
      </c>
      <c r="R73" s="349">
        <f t="shared" ref="R73" si="42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39"/>
        <v>R-WH_Att_SOL_N1</v>
      </c>
      <c r="AK73" s="152" t="str">
        <f t="shared" si="39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J85" s="57"/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682</v>
      </c>
      <c r="H87" s="64" t="s">
        <v>683</v>
      </c>
      <c r="I87" s="64" t="s">
        <v>684</v>
      </c>
      <c r="J87" s="64" t="s">
        <v>685</v>
      </c>
      <c r="K87" s="64" t="s">
        <v>686</v>
      </c>
      <c r="L87" s="64" t="s">
        <v>687</v>
      </c>
      <c r="M87" s="64" t="s">
        <v>688</v>
      </c>
      <c r="N87" s="64" t="s">
        <v>689</v>
      </c>
      <c r="O87" s="64" t="s">
        <v>690</v>
      </c>
      <c r="P87" s="64" t="s">
        <v>691</v>
      </c>
      <c r="Q87" s="64" t="s">
        <v>692</v>
      </c>
      <c r="R87" s="64" t="s">
        <v>693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4" t="s">
        <v>335</v>
      </c>
      <c r="H88" s="505"/>
      <c r="I88" s="505"/>
      <c r="J88" s="506"/>
      <c r="K88" s="504" t="s">
        <v>336</v>
      </c>
      <c r="L88" s="505"/>
      <c r="M88" s="505"/>
      <c r="N88" s="506"/>
      <c r="O88" s="504" t="s">
        <v>337</v>
      </c>
      <c r="P88" s="505"/>
      <c r="Q88" s="505"/>
      <c r="R88" s="506"/>
      <c r="S88" s="504" t="s">
        <v>338</v>
      </c>
      <c r="T88" s="506"/>
      <c r="U88" s="498" t="s">
        <v>339</v>
      </c>
      <c r="V88" s="499"/>
      <c r="W88" s="499"/>
      <c r="X88" s="500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26.2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1" t="s">
        <v>55</v>
      </c>
      <c r="H90" s="502"/>
      <c r="I90" s="502"/>
      <c r="J90" s="503"/>
      <c r="K90" s="502" t="s">
        <v>55</v>
      </c>
      <c r="L90" s="502"/>
      <c r="M90" s="502"/>
      <c r="N90" s="503"/>
      <c r="O90" s="501" t="s">
        <v>55</v>
      </c>
      <c r="P90" s="502"/>
      <c r="Q90" s="502"/>
      <c r="R90" s="503"/>
      <c r="S90" s="507" t="s">
        <v>312</v>
      </c>
      <c r="T90" s="508"/>
      <c r="U90" s="507" t="s">
        <v>1007</v>
      </c>
      <c r="V90" s="509"/>
      <c r="W90" s="509"/>
      <c r="X90" s="508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109">
        <f>(JRC_Data!BB7/1000)*$T$149</f>
        <v>6.6</v>
      </c>
      <c r="V91" s="109">
        <f>(JRC_Data!BC7/1000)*$T$149</f>
        <v>6.6</v>
      </c>
      <c r="W91" s="109">
        <f>(JRC_Data!BD7/1000)*$T$149</f>
        <v>6.6</v>
      </c>
      <c r="X91" s="109">
        <f>(JRC_Data!BE7/1000)*$T$149</f>
        <v>6.6</v>
      </c>
      <c r="Y91" s="105">
        <f>JRC_Data!BL7/1000</f>
        <v>0.27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43">H92*0.7</f>
        <v>0.7</v>
      </c>
      <c r="Q92" s="70">
        <f t="shared" ref="Q92:Q94" si="44">I92*0.7</f>
        <v>0.7</v>
      </c>
      <c r="R92" s="104">
        <f t="shared" ref="R92:R94" si="45">J92*0.7</f>
        <v>0.7</v>
      </c>
      <c r="S92" s="100">
        <v>20</v>
      </c>
      <c r="T92" s="72"/>
      <c r="U92" s="110">
        <f>(JRC_Data!BB7/1000)*$T$150</f>
        <v>7.1223938223938221</v>
      </c>
      <c r="V92" s="110">
        <f>(JRC_Data!BC7/1000)*$T$150</f>
        <v>7.1223938223938221</v>
      </c>
      <c r="W92" s="110">
        <f>(JRC_Data!BD7/1000)*$T$150</f>
        <v>7.1223938223938221</v>
      </c>
      <c r="X92" s="110">
        <f>(JRC_Data!BE7/1000)*$T$150</f>
        <v>7.1223938223938221</v>
      </c>
      <c r="Y92" s="104">
        <f>JRC_Data!BL7/1000</f>
        <v>0.27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46">C92</f>
        <v>R-SW_Det_KER_N1</v>
      </c>
      <c r="AK92" s="152" t="str">
        <f t="shared" ref="AK92:AK104" si="47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43"/>
        <v>0.7</v>
      </c>
      <c r="Q93" s="76">
        <f t="shared" si="44"/>
        <v>0.7</v>
      </c>
      <c r="R93" s="105">
        <f t="shared" si="45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46"/>
        <v>R-SW_Det_KER_N2</v>
      </c>
      <c r="AK93" s="152" t="str">
        <f t="shared" si="47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43"/>
        <v>0.71749999999999992</v>
      </c>
      <c r="Q94" s="70">
        <f t="shared" si="44"/>
        <v>0.71749999999999992</v>
      </c>
      <c r="R94" s="104">
        <f t="shared" si="45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46"/>
        <v>R-SW_Det_KER_N3</v>
      </c>
      <c r="AK94" s="152" t="str">
        <f t="shared" si="47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109">
        <f>(JRC_Data!BB9/1000)*($T$149/$T$147)</f>
        <v>4.2809917355371896</v>
      </c>
      <c r="V95" s="109">
        <f>(JRC_Data!BC9/1000)*($T$149/$T$147)</f>
        <v>4.2809917355371896</v>
      </c>
      <c r="W95" s="109">
        <f>(JRC_Data!BD9/1000)*($T$149/$T$147)</f>
        <v>4.2809917355371896</v>
      </c>
      <c r="X95" s="109">
        <f>(JRC_Data!BE9/1000)*($T$149/$T$147)</f>
        <v>4.2809917355371896</v>
      </c>
      <c r="Y95" s="105">
        <f>JRC_Data!BL9/1000</f>
        <v>0.23499999999999999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46"/>
        <v>R-SH_Det_GAS_N1</v>
      </c>
      <c r="AK95" s="152" t="str">
        <f t="shared" si="47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48">H96*0.7</f>
        <v>0.7</v>
      </c>
      <c r="Q96" s="70">
        <f t="shared" ref="Q96:Q98" si="49">I96*0.7</f>
        <v>0.7</v>
      </c>
      <c r="R96" s="104">
        <f t="shared" ref="R96:R98" si="50">J96*0.7</f>
        <v>0.7</v>
      </c>
      <c r="S96" s="100">
        <v>20</v>
      </c>
      <c r="T96" s="72"/>
      <c r="U96" s="110">
        <f>(JRC_Data!BB9/1000)*($T$150/$T$147)</f>
        <v>4.6198347107438016</v>
      </c>
      <c r="V96" s="110">
        <f>(JRC_Data!BC9/1000)*($T$150/$T$147)</f>
        <v>4.6198347107438016</v>
      </c>
      <c r="W96" s="110">
        <f>(JRC_Data!BD9/1000)*($T$150/$T$147)</f>
        <v>4.6198347107438016</v>
      </c>
      <c r="X96" s="110">
        <f>(JRC_Data!BE9/1000)*($T$150/$T$147)</f>
        <v>4.6198347107438016</v>
      </c>
      <c r="Y96" s="104">
        <f>JRC_Data!BL9/1000</f>
        <v>0.23499999999999999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46"/>
        <v>R-SW_Det_GAS_N1</v>
      </c>
      <c r="AK96" s="152" t="str">
        <f t="shared" si="47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48"/>
        <v>0.7</v>
      </c>
      <c r="Q97" s="76">
        <f t="shared" si="49"/>
        <v>0.7</v>
      </c>
      <c r="R97" s="105">
        <f t="shared" si="50"/>
        <v>0.7</v>
      </c>
      <c r="S97" s="101">
        <v>20</v>
      </c>
      <c r="T97" s="88"/>
      <c r="U97" s="109">
        <f>((JRC_Data!BB9+JRC_Data!BB45)*0.8/1000)*($T$150/$T$147)</f>
        <v>8.685289256198347</v>
      </c>
      <c r="V97" s="109">
        <f>((JRC_Data!BC9+JRC_Data!BC45)*0.8/1000)*($T$150/$T$147)</f>
        <v>8.4080991735537189</v>
      </c>
      <c r="W97" s="109">
        <f>((JRC_Data!BD9+JRC_Data!BD45)*0.8/1000)*($T$150/$T$147)</f>
        <v>7.9461157024793385</v>
      </c>
      <c r="X97" s="109">
        <f>((JRC_Data!BE9+JRC_Data!BE45)*0.8/1000)*($T$150/$T$147)</f>
        <v>7.1145454545454543</v>
      </c>
      <c r="Y97" s="105">
        <f>((JRC_Data!BL9+JRC_Data!BL45)*0.8)/1000</f>
        <v>0.23760000000000003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46"/>
        <v>R-SW_Det_GAS_N2</v>
      </c>
      <c r="AK97" s="152" t="str">
        <f t="shared" si="47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48"/>
        <v>0.71749999999999992</v>
      </c>
      <c r="Q98" s="70">
        <f t="shared" si="49"/>
        <v>0.71749999999999992</v>
      </c>
      <c r="R98" s="104">
        <f t="shared" si="50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46"/>
        <v>R-SW_Det_GAS_N3</v>
      </c>
      <c r="AK98" s="152" t="str">
        <f t="shared" si="47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109">
        <f>(JRC_Data!BB9/1000)*($T$149/$T$147)</f>
        <v>4.2809917355371896</v>
      </c>
      <c r="V99" s="109">
        <f>(JRC_Data!BC9/1000)*($T$149/$T$147)</f>
        <v>4.2809917355371896</v>
      </c>
      <c r="W99" s="109">
        <f>(JRC_Data!BD9/1000)*($T$149/$T$147)</f>
        <v>4.2809917355371896</v>
      </c>
      <c r="X99" s="109">
        <f>(JRC_Data!BE9/1000)*($T$149/$T$147)</f>
        <v>4.2809917355371896</v>
      </c>
      <c r="Y99" s="105">
        <f>JRC_Data!BL9/1000</f>
        <v>0.23499999999999999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46"/>
        <v>R-SH_Det_LPG_N1</v>
      </c>
      <c r="AK99" s="152" t="str">
        <f t="shared" si="47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51">H100*0.7</f>
        <v>0.7</v>
      </c>
      <c r="Q100" s="70">
        <f t="shared" ref="Q100" si="52">I100*0.7</f>
        <v>0.7</v>
      </c>
      <c r="R100" s="104">
        <f t="shared" ref="R100" si="53">J100*0.7</f>
        <v>0.7</v>
      </c>
      <c r="S100" s="100">
        <v>20</v>
      </c>
      <c r="T100" s="72"/>
      <c r="U100" s="110">
        <f>(JRC_Data!BB9/1000)*($T$150/$T$147)</f>
        <v>4.6198347107438016</v>
      </c>
      <c r="V100" s="110">
        <f>(JRC_Data!BC9/1000)*($T$150/$T$147)</f>
        <v>4.6198347107438016</v>
      </c>
      <c r="W100" s="110">
        <f>(JRC_Data!BD9/1000)*($T$150/$T$147)</f>
        <v>4.6198347107438016</v>
      </c>
      <c r="X100" s="110">
        <f>(JRC_Data!BE9/1000)*($T$150/$T$147)</f>
        <v>4.6198347107438016</v>
      </c>
      <c r="Y100" s="104">
        <f>JRC_Data!BL9/1000</f>
        <v>0.23499999999999999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46"/>
        <v>R-SW_Det_LPG_N1</v>
      </c>
      <c r="AK100" s="152" t="str">
        <f t="shared" si="47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109">
        <f>((JRC_Data!BB9+JRC_Data!BB45)*0.8/1000)*($T$149/$T$147)</f>
        <v>8.0482644628099163</v>
      </c>
      <c r="V101" s="109">
        <f>((JRC_Data!BC9+JRC_Data!BC45)*0.8/1000)*($T$149/$T$147)</f>
        <v>7.7914049586776857</v>
      </c>
      <c r="W101" s="109">
        <f>((JRC_Data!BD9+JRC_Data!BD45)*0.8/1000)*($T$149/$T$147)</f>
        <v>7.3633057851239663</v>
      </c>
      <c r="X101" s="109">
        <f>((JRC_Data!BE9+JRC_Data!BE45)*0.8/1000)*($T$149/$T$147)</f>
        <v>6.5927272727272719</v>
      </c>
      <c r="Y101" s="105">
        <f>(JRC_Data!BL11)/1000</f>
        <v>2.5999999999999999E-2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46"/>
        <v>R-SH_Det_WOO_N1</v>
      </c>
      <c r="AK101" s="152" t="str">
        <f t="shared" si="47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54">G102*0.7</f>
        <v>0.7</v>
      </c>
      <c r="P102" s="70">
        <f t="shared" si="54"/>
        <v>0.7</v>
      </c>
      <c r="Q102" s="70">
        <f t="shared" si="54"/>
        <v>0.7</v>
      </c>
      <c r="R102" s="104">
        <f t="shared" si="54"/>
        <v>0.7</v>
      </c>
      <c r="S102" s="100">
        <v>20</v>
      </c>
      <c r="T102" s="72"/>
      <c r="U102" s="110">
        <f>((JRC_Data!BB9+JRC_Data!BB45)*0.8/1000)*($T$150/$T$147)</f>
        <v>8.685289256198347</v>
      </c>
      <c r="V102" s="110">
        <f>((JRC_Data!BC9+JRC_Data!BC45)*0.8/1000)*($T$150/$T$147)</f>
        <v>8.4080991735537189</v>
      </c>
      <c r="W102" s="110">
        <f>((JRC_Data!BD9+JRC_Data!BD45)*0.8/1000)*($T$150/$T$147)</f>
        <v>7.9461157024793385</v>
      </c>
      <c r="X102" s="110">
        <f>((JRC_Data!BE9+JRC_Data!BE45)*0.8/1000)*($T$150/$T$147)</f>
        <v>7.1145454545454543</v>
      </c>
      <c r="Y102" s="105">
        <f>(JRC_Data!BL11)/1000</f>
        <v>2.5999999999999999E-2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46"/>
        <v>R-SW_Det_WOO_N1</v>
      </c>
      <c r="AK102" s="155" t="str">
        <f t="shared" si="47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54"/>
        <v>0.7</v>
      </c>
      <c r="P103" s="76">
        <f t="shared" si="54"/>
        <v>0.7</v>
      </c>
      <c r="Q103" s="76">
        <f t="shared" si="54"/>
        <v>0.7</v>
      </c>
      <c r="R103" s="105">
        <f t="shared" si="54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46"/>
        <v>*R-H_Apt_HVO_N1</v>
      </c>
      <c r="AK103" s="155" t="str">
        <f t="shared" si="47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54"/>
        <v>0.7</v>
      </c>
      <c r="P104" s="73">
        <f t="shared" si="54"/>
        <v>0.7</v>
      </c>
      <c r="Q104" s="73">
        <f t="shared" si="54"/>
        <v>0.7</v>
      </c>
      <c r="R104" s="106">
        <f t="shared" si="54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46"/>
        <v>*R-H_Apt_HVO_N2</v>
      </c>
      <c r="AK104" s="155" t="str">
        <f t="shared" si="47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55">C108</f>
        <v>R-SH_Det_ELC_HPN1</v>
      </c>
      <c r="AK106" s="150" t="str">
        <f t="shared" ref="AK106:AK112" si="56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55"/>
        <v>R-HC_Det_ELC_HPN1</v>
      </c>
      <c r="AK107" s="152" t="str">
        <f t="shared" si="56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55"/>
        <v>R-SH_Det_ELC_HPN2</v>
      </c>
      <c r="AK108" s="152" t="str">
        <f t="shared" si="56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55"/>
        <v>R-SW_Det_ELC_HPN1</v>
      </c>
      <c r="AK109" s="152" t="str">
        <f t="shared" si="56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87">
        <f>(JRC_Data!BB18/1000)*($T$149/$T$148)</f>
        <v>11.628571428571428</v>
      </c>
      <c r="V110" s="87">
        <f>(JRC_Data!BC18/1000)*($T$149/$T$148)</f>
        <v>10.571428571428571</v>
      </c>
      <c r="W110" s="87">
        <f>(JRC_Data!BD18/1000)*($T$149/$T$148)</f>
        <v>10.571428571428571</v>
      </c>
      <c r="X110" s="87">
        <f>(JRC_Data!BE18/1000)*($T$149/$T$148)</f>
        <v>9.5142857142857142</v>
      </c>
      <c r="Y110" s="109">
        <f>JRC_Data!BL18/1000</f>
        <v>0.15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55"/>
        <v>R-SW_Det_SOL_HPN2</v>
      </c>
      <c r="AK110" s="152" t="str">
        <f t="shared" si="56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57">H111*0.7</f>
        <v>0.76999999999999991</v>
      </c>
      <c r="Q111" s="70">
        <f t="shared" ref="Q111:Q112" si="58">I111*0.7</f>
        <v>0.86333333333333329</v>
      </c>
      <c r="R111" s="104">
        <f t="shared" ref="R111:R112" si="59">J111*0.7</f>
        <v>0.93333333333333324</v>
      </c>
      <c r="S111" s="100">
        <v>20</v>
      </c>
      <c r="T111" s="92"/>
      <c r="U111" s="69">
        <f>(JRC_Data!BB18/1000)*($T$150/$T$148)</f>
        <v>12.548979591836734</v>
      </c>
      <c r="V111" s="69">
        <f>(JRC_Data!BC18/1000)*($T$150/$T$148)</f>
        <v>11.408163265306122</v>
      </c>
      <c r="W111" s="69">
        <f>(JRC_Data!BD18/1000)*($T$150/$T$148)</f>
        <v>11.408163265306122</v>
      </c>
      <c r="X111" s="69">
        <f>(JRC_Data!BE18/1000)*($T$150/$T$148)</f>
        <v>10.267346938775509</v>
      </c>
      <c r="Y111" s="110">
        <f>JRC_Data!BL18/1000</f>
        <v>0.15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55"/>
        <v>R-SH_Det_ELC_HPN3</v>
      </c>
      <c r="AK111" s="152" t="str">
        <f t="shared" si="56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57"/>
        <v>0.77700000000000002</v>
      </c>
      <c r="Q112" s="76">
        <f t="shared" si="58"/>
        <v>0.83299999999999996</v>
      </c>
      <c r="R112" s="105">
        <f t="shared" si="59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55"/>
        <v>R-HC_Det_ELC_HPN2</v>
      </c>
      <c r="AK112" s="155" t="str">
        <f t="shared" si="56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60">H116*0.7</f>
        <v>0.75185185185185177</v>
      </c>
      <c r="Q116" s="341">
        <f t="shared" ref="Q116:Q117" si="61">I116*0.7</f>
        <v>0.88148148148148131</v>
      </c>
      <c r="R116" s="342">
        <f t="shared" ref="R116:R117" si="62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60"/>
        <v>0.8037037037037037</v>
      </c>
      <c r="Q117" s="348">
        <f t="shared" si="61"/>
        <v>0.8037037037037037</v>
      </c>
      <c r="R117" s="349">
        <f t="shared" si="62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63">C124</f>
        <v>R-WH_Det_ELC_N1</v>
      </c>
      <c r="AK118" s="150" t="str">
        <f t="shared" ref="AK118:AK119" si="64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65">H119*0.7</f>
        <v>0.73360000000000003</v>
      </c>
      <c r="Q119" s="348">
        <f t="shared" ref="Q119" si="66">I119*0.7</f>
        <v>0.76789999999999992</v>
      </c>
      <c r="R119" s="349">
        <f t="shared" ref="R119" si="67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63"/>
        <v>R-WH_Det_SOL_N1</v>
      </c>
      <c r="AK119" s="152" t="str">
        <f t="shared" si="64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68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68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68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68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68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68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68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68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68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68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5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G90:J90"/>
    <mergeCell ref="K90:N90"/>
    <mergeCell ref="O90:R90"/>
    <mergeCell ref="S90:T90"/>
    <mergeCell ref="U90:X90"/>
    <mergeCell ref="G88:J88"/>
    <mergeCell ref="K88:N88"/>
    <mergeCell ref="O88:R88"/>
    <mergeCell ref="S88:T88"/>
    <mergeCell ref="U88:X88"/>
    <mergeCell ref="G44:J44"/>
    <mergeCell ref="K44:N44"/>
    <mergeCell ref="O44:R44"/>
    <mergeCell ref="S44:T44"/>
    <mergeCell ref="U44:X44"/>
    <mergeCell ref="G42:J42"/>
    <mergeCell ref="K42:N42"/>
    <mergeCell ref="O42:R42"/>
    <mergeCell ref="S42:T42"/>
    <mergeCell ref="U42:X42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1"/>
  <sheetViews>
    <sheetView zoomScale="90" zoomScaleNormal="90" workbookViewId="0">
      <selection activeCell="E39" sqref="E39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498" t="s">
        <v>339</v>
      </c>
      <c r="M5" s="499"/>
      <c r="N5" s="499"/>
      <c r="O5" s="500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7" t="s">
        <v>1007</v>
      </c>
      <c r="M6" s="509"/>
      <c r="N6" s="509"/>
      <c r="O6" s="508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>L33/$V7/1000</f>
        <v>0.432</v>
      </c>
      <c r="M7" s="358">
        <f>M33/$V7/1000</f>
        <v>0.432</v>
      </c>
      <c r="N7" s="358">
        <f t="shared" ref="L7:O13" si="0">N33/$V7/1000</f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L33/V7</f>
        <v>432</v>
      </c>
    </row>
    <row r="8" spans="3:23" x14ac:dyDescent="0.2">
      <c r="C8" s="205" t="str">
        <f>LEFT($D$21,7)&amp;"_"&amp;RIGHT(E8,3)&amp;"_N1"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7" t="str">
        <f t="shared" ref="C9:C10" si="3">LEFT($D$21,7)&amp;"_"&amp;RIGHT(E9,3)&amp;"_N1"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>D22</f>
        <v>R-RSDCW_N1</v>
      </c>
      <c r="D11" s="196" t="str">
        <f>E22</f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ref="C12:D15" si="5">D23</f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ref="L13" si="6">L39/$V13/1000</f>
        <v>0.42019999999999996</v>
      </c>
      <c r="M13" s="360">
        <f t="shared" ref="M13" si="7">M39/$V13/1000</f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L40/$V7/1000</f>
        <v>0.9</v>
      </c>
      <c r="M14" s="368">
        <f t="shared" ref="M14:O14" si="8">M40/$V7/1000</f>
        <v>0.9</v>
      </c>
      <c r="N14" s="368">
        <f t="shared" si="8"/>
        <v>0.9</v>
      </c>
      <c r="O14" s="368">
        <f t="shared" si="8"/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L41/$V7/1000</f>
        <v>0.9</v>
      </c>
      <c r="M15" s="369">
        <f t="shared" ref="M15:O15" si="9">M41/$V7/1000</f>
        <v>0.9</v>
      </c>
      <c r="N15" s="369">
        <f t="shared" si="9"/>
        <v>0.9</v>
      </c>
      <c r="O15" s="369">
        <f t="shared" si="9"/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0" t="s">
        <v>699</v>
      </c>
      <c r="S18" s="510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0"/>
      <c r="S19" s="510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0"/>
      <c r="S20" s="510"/>
    </row>
    <row r="21" spans="3:19" x14ac:dyDescent="0.2">
      <c r="C21" s="172" t="s">
        <v>48</v>
      </c>
      <c r="D21" s="173" t="s">
        <v>789</v>
      </c>
      <c r="E21" s="173" t="s">
        <v>446</v>
      </c>
      <c r="F21" s="173" t="s">
        <v>16</v>
      </c>
      <c r="G21" s="173" t="s">
        <v>391</v>
      </c>
      <c r="H21" s="173"/>
      <c r="I21" s="173"/>
      <c r="J21" s="174" t="s">
        <v>445</v>
      </c>
      <c r="R21" s="510"/>
      <c r="S21" s="510"/>
    </row>
    <row r="22" spans="3:19" x14ac:dyDescent="0.2">
      <c r="C22" s="172" t="s">
        <v>48</v>
      </c>
      <c r="D22" s="173" t="s">
        <v>790</v>
      </c>
      <c r="E22" s="173" t="s">
        <v>447</v>
      </c>
      <c r="F22" s="173" t="s">
        <v>16</v>
      </c>
      <c r="G22" s="173" t="s">
        <v>391</v>
      </c>
      <c r="H22" s="173"/>
      <c r="I22" s="173"/>
      <c r="J22" s="174" t="s">
        <v>445</v>
      </c>
      <c r="R22" s="510"/>
      <c r="S22" s="510"/>
    </row>
    <row r="23" spans="3:19" x14ac:dyDescent="0.2">
      <c r="C23" s="172" t="s">
        <v>48</v>
      </c>
      <c r="D23" s="173" t="s">
        <v>791</v>
      </c>
      <c r="E23" s="173" t="s">
        <v>448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792</v>
      </c>
      <c r="E24" s="173" t="s">
        <v>449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793</v>
      </c>
      <c r="E25" s="173" t="s">
        <v>450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5" t="s">
        <v>794</v>
      </c>
      <c r="E26" s="175" t="s">
        <v>451</v>
      </c>
      <c r="F26" s="175" t="s">
        <v>16</v>
      </c>
      <c r="G26" s="173" t="s">
        <v>391</v>
      </c>
      <c r="H26" s="175"/>
      <c r="I26" s="175"/>
      <c r="J26" s="176" t="s">
        <v>445</v>
      </c>
    </row>
    <row r="30" spans="3:19" ht="30" x14ac:dyDescent="0.2">
      <c r="H30" s="5" t="s">
        <v>38</v>
      </c>
      <c r="I30" s="5" t="s">
        <v>49</v>
      </c>
      <c r="J30" s="5" t="s">
        <v>40</v>
      </c>
      <c r="K30" s="5" t="s">
        <v>41</v>
      </c>
      <c r="L30" s="64" t="s">
        <v>698</v>
      </c>
      <c r="M30" s="64" t="s">
        <v>341</v>
      </c>
      <c r="N30" s="64" t="s">
        <v>342</v>
      </c>
      <c r="O30" s="64" t="s">
        <v>343</v>
      </c>
    </row>
    <row r="31" spans="3:19" x14ac:dyDescent="0.2">
      <c r="H31" s="5" t="s">
        <v>332</v>
      </c>
      <c r="I31" s="5" t="s">
        <v>52</v>
      </c>
      <c r="J31" s="5" t="s">
        <v>333</v>
      </c>
      <c r="K31" s="5" t="s">
        <v>334</v>
      </c>
      <c r="L31" s="498" t="s">
        <v>339</v>
      </c>
      <c r="M31" s="499"/>
      <c r="N31" s="499"/>
      <c r="O31" s="500"/>
    </row>
    <row r="32" spans="3:19" x14ac:dyDescent="0.2">
      <c r="H32" s="5" t="s">
        <v>404</v>
      </c>
      <c r="L32" s="501" t="s">
        <v>345</v>
      </c>
      <c r="M32" s="502"/>
      <c r="N32" s="502"/>
      <c r="O32" s="503"/>
    </row>
    <row r="33" spans="8:15" x14ac:dyDescent="0.2">
      <c r="H33" s="5" t="s">
        <v>788</v>
      </c>
      <c r="I33" s="5" t="s">
        <v>444</v>
      </c>
      <c r="J33" s="5" t="s">
        <v>436</v>
      </c>
      <c r="K33" s="5" t="s">
        <v>437</v>
      </c>
      <c r="L33" s="202">
        <v>2400</v>
      </c>
      <c r="M33" s="202">
        <v>2400</v>
      </c>
      <c r="N33" s="202">
        <v>2400</v>
      </c>
      <c r="O33" s="202">
        <v>2400</v>
      </c>
    </row>
    <row r="34" spans="8:15" x14ac:dyDescent="0.2">
      <c r="H34" s="5" t="s">
        <v>789</v>
      </c>
      <c r="I34" s="5" t="s">
        <v>446</v>
      </c>
      <c r="J34" s="5" t="s">
        <v>436</v>
      </c>
      <c r="K34" s="5" t="s">
        <v>438</v>
      </c>
      <c r="L34" s="205">
        <v>175</v>
      </c>
      <c r="M34" s="205">
        <v>175</v>
      </c>
      <c r="N34" s="205">
        <v>175</v>
      </c>
      <c r="O34" s="205">
        <v>175</v>
      </c>
    </row>
    <row r="35" spans="8:15" ht="14.25" customHeight="1" x14ac:dyDescent="0.2">
      <c r="J35" s="5" t="s">
        <v>764</v>
      </c>
      <c r="L35" s="207">
        <v>175</v>
      </c>
      <c r="M35" s="207">
        <v>175</v>
      </c>
      <c r="N35" s="207">
        <v>175</v>
      </c>
      <c r="O35" s="207">
        <v>175</v>
      </c>
    </row>
    <row r="36" spans="8:15" x14ac:dyDescent="0.2">
      <c r="J36" s="5" t="s">
        <v>760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H37" s="5" t="s">
        <v>790</v>
      </c>
      <c r="I37" s="5" t="s">
        <v>447</v>
      </c>
      <c r="J37" s="5" t="s">
        <v>436</v>
      </c>
      <c r="K37" s="5" t="s">
        <v>439</v>
      </c>
      <c r="L37" s="207">
        <v>251</v>
      </c>
      <c r="M37" s="207">
        <v>251</v>
      </c>
      <c r="N37" s="207">
        <v>251</v>
      </c>
      <c r="O37" s="207">
        <v>251</v>
      </c>
    </row>
    <row r="38" spans="8:15" x14ac:dyDescent="0.2">
      <c r="H38" s="5" t="s">
        <v>791</v>
      </c>
      <c r="I38" s="5" t="s">
        <v>448</v>
      </c>
      <c r="J38" s="5" t="s">
        <v>436</v>
      </c>
      <c r="K38" s="5" t="s">
        <v>440</v>
      </c>
      <c r="L38" s="205">
        <v>214</v>
      </c>
      <c r="M38" s="205">
        <v>214</v>
      </c>
      <c r="N38" s="205">
        <v>214</v>
      </c>
      <c r="O38" s="205">
        <v>214</v>
      </c>
    </row>
    <row r="39" spans="8:15" x14ac:dyDescent="0.2">
      <c r="H39" s="5" t="s">
        <v>792</v>
      </c>
      <c r="I39" s="5" t="s">
        <v>449</v>
      </c>
      <c r="J39" s="5" t="s">
        <v>436</v>
      </c>
      <c r="K39" s="5" t="s">
        <v>441</v>
      </c>
      <c r="L39" s="207">
        <v>191</v>
      </c>
      <c r="M39" s="207">
        <v>191</v>
      </c>
      <c r="N39" s="207">
        <v>191</v>
      </c>
      <c r="O39" s="207">
        <v>191</v>
      </c>
    </row>
    <row r="40" spans="8:15" x14ac:dyDescent="0.2">
      <c r="H40" s="5" t="s">
        <v>793</v>
      </c>
      <c r="I40" s="5" t="s">
        <v>450</v>
      </c>
      <c r="J40" s="5" t="s">
        <v>436</v>
      </c>
      <c r="K40" s="5" t="s">
        <v>442</v>
      </c>
      <c r="L40" s="205">
        <v>5000</v>
      </c>
      <c r="M40" s="205">
        <v>5000</v>
      </c>
      <c r="N40" s="205">
        <v>5000</v>
      </c>
      <c r="O40" s="205">
        <v>5000</v>
      </c>
    </row>
    <row r="41" spans="8:15" x14ac:dyDescent="0.2">
      <c r="H41" s="5" t="s">
        <v>794</v>
      </c>
      <c r="I41" s="5" t="s">
        <v>451</v>
      </c>
      <c r="J41" s="5" t="s">
        <v>436</v>
      </c>
      <c r="K41" s="5" t="s">
        <v>443</v>
      </c>
      <c r="L41" s="209">
        <v>5000</v>
      </c>
      <c r="M41" s="209">
        <v>5000</v>
      </c>
      <c r="N41" s="209">
        <v>5000</v>
      </c>
      <c r="O41" s="209">
        <v>5000</v>
      </c>
    </row>
  </sheetData>
  <mergeCells count="5">
    <mergeCell ref="L32:O32"/>
    <mergeCell ref="L31:O31"/>
    <mergeCell ref="R18:S22"/>
    <mergeCell ref="L5:O5"/>
    <mergeCell ref="L6:O6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zoomScale="80" zoomScaleNormal="80" workbookViewId="0">
      <selection activeCell="Q19" sqref="Q19"/>
    </sheetView>
    <sheetView workbookViewId="1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498" t="s">
        <v>339</v>
      </c>
      <c r="M4" s="499"/>
      <c r="N4" s="499"/>
      <c r="O4" s="500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1" t="s">
        <v>796</v>
      </c>
      <c r="M5" s="502"/>
      <c r="N5" s="502"/>
      <c r="O5" s="503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498" t="s">
        <v>339</v>
      </c>
      <c r="M27" s="499"/>
      <c r="N27" s="499"/>
      <c r="O27" s="500"/>
      <c r="T27" s="288"/>
      <c r="U27" s="288"/>
    </row>
    <row r="28" spans="3:21" x14ac:dyDescent="0.2">
      <c r="J28" s="5" t="s">
        <v>404</v>
      </c>
      <c r="L28" s="501" t="s">
        <v>345</v>
      </c>
      <c r="M28" s="502"/>
      <c r="N28" s="502"/>
      <c r="O28" s="503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zoomScaleNormal="100" workbookViewId="0">
      <selection activeCell="E20" sqref="E20"/>
    </sheetView>
    <sheetView workbookViewId="1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  <sheetView tabSelected="1" zoomScale="70" zoomScaleNormal="70" workbookViewId="1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1" t="s">
        <v>806</v>
      </c>
      <c r="E4" s="512"/>
      <c r="F4" s="512"/>
      <c r="G4" s="512"/>
      <c r="H4" s="513"/>
      <c r="I4" s="512" t="s">
        <v>807</v>
      </c>
      <c r="J4" s="512"/>
      <c r="K4" s="512"/>
      <c r="L4" s="512"/>
      <c r="M4" s="513"/>
      <c r="N4" s="512" t="s">
        <v>808</v>
      </c>
      <c r="O4" s="512"/>
      <c r="P4" s="512"/>
      <c r="Q4" s="512"/>
      <c r="R4" s="513"/>
      <c r="S4" s="512" t="s">
        <v>809</v>
      </c>
      <c r="T4" s="512"/>
      <c r="U4" s="512"/>
      <c r="V4" s="512"/>
      <c r="W4" s="513"/>
      <c r="X4" s="512" t="s">
        <v>810</v>
      </c>
      <c r="Y4" s="512"/>
      <c r="Z4" s="512"/>
      <c r="AA4" s="512"/>
      <c r="AB4" s="513"/>
      <c r="AC4" s="512" t="s">
        <v>811</v>
      </c>
      <c r="AD4" s="512"/>
      <c r="AE4" s="512"/>
      <c r="AF4" s="512"/>
      <c r="AG4" s="513"/>
      <c r="AH4" s="512" t="s">
        <v>812</v>
      </c>
      <c r="AI4" s="512"/>
      <c r="AJ4" s="512"/>
      <c r="AK4" s="512"/>
      <c r="AL4" s="513"/>
      <c r="AM4" s="512" t="s">
        <v>813</v>
      </c>
      <c r="AN4" s="512"/>
      <c r="AO4" s="512"/>
      <c r="AP4" s="512"/>
      <c r="AQ4" s="513"/>
      <c r="AR4" s="512" t="s">
        <v>814</v>
      </c>
      <c r="AS4" s="512"/>
      <c r="AT4" s="512"/>
      <c r="AU4" s="512"/>
      <c r="AV4" s="513"/>
      <c r="AW4" s="512" t="s">
        <v>815</v>
      </c>
      <c r="AX4" s="512"/>
      <c r="AY4" s="512"/>
      <c r="AZ4" s="512"/>
      <c r="BA4" s="512"/>
      <c r="BB4" s="511" t="s">
        <v>816</v>
      </c>
      <c r="BC4" s="512"/>
      <c r="BD4" s="512"/>
      <c r="BE4" s="512"/>
      <c r="BF4" s="513"/>
      <c r="BG4" s="512" t="s">
        <v>817</v>
      </c>
      <c r="BH4" s="512"/>
      <c r="BI4" s="512"/>
      <c r="BJ4" s="512"/>
      <c r="BK4" s="512"/>
      <c r="BL4" s="511" t="s">
        <v>818</v>
      </c>
      <c r="BM4" s="512"/>
      <c r="BN4" s="512"/>
      <c r="BO4" s="512"/>
      <c r="BP4" s="512"/>
      <c r="BQ4" s="511" t="s">
        <v>819</v>
      </c>
      <c r="BR4" s="512"/>
      <c r="BS4" s="512"/>
      <c r="BT4" s="512"/>
      <c r="BU4" s="513"/>
      <c r="BV4" s="382" t="s">
        <v>820</v>
      </c>
      <c r="BW4" s="514" t="s">
        <v>821</v>
      </c>
      <c r="BX4" s="515"/>
      <c r="BY4" s="515"/>
      <c r="BZ4" s="515"/>
      <c r="CA4" s="516"/>
      <c r="CB4" s="514" t="s">
        <v>822</v>
      </c>
      <c r="CC4" s="515"/>
      <c r="CD4" s="515"/>
      <c r="CE4" s="515"/>
      <c r="CF4" s="516"/>
      <c r="CG4" s="514" t="s">
        <v>823</v>
      </c>
      <c r="CH4" s="515"/>
      <c r="CI4" s="515"/>
      <c r="CJ4" s="515"/>
      <c r="CK4" s="516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2021-02-18T20:56:13Z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158031642436981</vt:r8>
  </property>
</Properties>
</file>