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676DF814-60D2-4B99-860B-5CA78F6D8472}" xr6:coauthVersionLast="47" xr6:coauthVersionMax="47" xr10:uidLastSave="{00000000-0000-0000-0000-000000000000}"/>
  <bookViews>
    <workbookView xWindow="28680" yWindow="-120" windowWidth="29040" windowHeight="15840" activeTab="3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58" l="1"/>
  <c r="V54" i="58"/>
  <c r="W54" i="58"/>
  <c r="X54" i="58"/>
  <c r="V55" i="58"/>
  <c r="W55" i="58"/>
  <c r="X55" i="58"/>
  <c r="V56" i="58"/>
  <c r="W56" i="58"/>
  <c r="X56" i="58"/>
  <c r="W53" i="58"/>
  <c r="X53" i="58"/>
  <c r="U56" i="58"/>
  <c r="T56" i="58"/>
  <c r="S56" i="58"/>
  <c r="U55" i="58"/>
  <c r="T55" i="58"/>
  <c r="S55" i="58"/>
  <c r="U54" i="58"/>
  <c r="T54" i="58"/>
  <c r="S54" i="58"/>
  <c r="V53" i="58"/>
  <c r="T53" i="58"/>
  <c r="U53" i="58"/>
  <c r="S53" i="58"/>
  <c r="X50" i="58"/>
  <c r="W50" i="58"/>
  <c r="V50" i="58"/>
  <c r="U50" i="58"/>
  <c r="T50" i="58"/>
  <c r="S50" i="58"/>
  <c r="X49" i="58"/>
  <c r="W49" i="58"/>
  <c r="V49" i="58"/>
  <c r="U49" i="58"/>
  <c r="T49" i="58"/>
  <c r="S49" i="58"/>
  <c r="X47" i="58"/>
  <c r="W47" i="58"/>
  <c r="V47" i="58"/>
  <c r="U47" i="58"/>
  <c r="T47" i="58"/>
  <c r="S47" i="58"/>
  <c r="W48" i="58"/>
  <c r="X48" i="58"/>
  <c r="V48" i="58"/>
  <c r="T48" i="58"/>
  <c r="U48" i="58"/>
  <c r="S48" i="58"/>
  <c r="X45" i="58"/>
  <c r="W45" i="58"/>
  <c r="V45" i="58"/>
  <c r="U45" i="58"/>
  <c r="T45" i="58"/>
  <c r="S45" i="58"/>
  <c r="X43" i="58"/>
  <c r="W43" i="58"/>
  <c r="V43" i="58"/>
  <c r="U43" i="58"/>
  <c r="T43" i="58"/>
  <c r="S43" i="58"/>
  <c r="W44" i="58"/>
  <c r="X44" i="58"/>
  <c r="V44" i="58"/>
  <c r="T44" i="58"/>
  <c r="U44" i="58"/>
  <c r="S44" i="58"/>
  <c r="U40" i="58"/>
  <c r="T40" i="58"/>
  <c r="S40" i="58"/>
  <c r="X40" i="58"/>
  <c r="W40" i="58"/>
  <c r="V40" i="58"/>
  <c r="P40" i="58"/>
  <c r="Q40" i="58"/>
  <c r="R40" i="58"/>
  <c r="X38" i="58"/>
  <c r="W38" i="58"/>
  <c r="V38" i="58"/>
  <c r="P25" i="58"/>
  <c r="Q24" i="58"/>
  <c r="P24" i="58"/>
  <c r="R23" i="58"/>
  <c r="Q23" i="58"/>
  <c r="P23" i="58"/>
  <c r="S22" i="58"/>
  <c r="R22" i="58"/>
  <c r="Q22" i="58"/>
  <c r="P22" i="58"/>
  <c r="T21" i="58"/>
  <c r="S21" i="58"/>
  <c r="R21" i="58"/>
  <c r="Q21" i="58"/>
  <c r="P21" i="58"/>
  <c r="U20" i="58"/>
  <c r="T20" i="58"/>
  <c r="S20" i="58"/>
  <c r="R20" i="58"/>
  <c r="Q20" i="58"/>
  <c r="P20" i="58"/>
  <c r="V19" i="58"/>
  <c r="U19" i="58"/>
  <c r="T19" i="58"/>
  <c r="S19" i="58"/>
  <c r="R19" i="58"/>
  <c r="Q19" i="58"/>
  <c r="P19" i="58"/>
  <c r="W18" i="58"/>
  <c r="V18" i="58"/>
  <c r="U18" i="58"/>
  <c r="T18" i="58"/>
  <c r="S18" i="58"/>
  <c r="R18" i="58"/>
  <c r="Q18" i="58"/>
  <c r="P18" i="58"/>
  <c r="V12" i="58"/>
  <c r="W12" i="58" s="1"/>
  <c r="V11" i="58"/>
  <c r="W11" i="58" s="1"/>
  <c r="V10" i="58"/>
  <c r="W10" i="58" s="1"/>
  <c r="V9" i="58"/>
  <c r="W9" i="58" s="1"/>
  <c r="V8" i="58"/>
  <c r="W8" i="58" s="1"/>
  <c r="V7" i="58"/>
  <c r="W7" i="58" s="1"/>
  <c r="V6" i="58"/>
  <c r="W6" i="58" s="1"/>
  <c r="V5" i="58"/>
  <c r="W5" i="58" s="1"/>
  <c r="V4" i="58"/>
  <c r="W4" i="58" s="1"/>
  <c r="AD19" i="58"/>
  <c r="AC19" i="58"/>
  <c r="AB19" i="58"/>
  <c r="AD18" i="58"/>
  <c r="AC18" i="58"/>
  <c r="AB18" i="58"/>
  <c r="AD17" i="58"/>
  <c r="AC17" i="58"/>
  <c r="AB17" i="58"/>
  <c r="AD16" i="58"/>
  <c r="AC16" i="58"/>
  <c r="AB16" i="58"/>
  <c r="AD15" i="58"/>
  <c r="AC15" i="58"/>
  <c r="AB15" i="58"/>
  <c r="AD14" i="58"/>
  <c r="AC14" i="58"/>
  <c r="AB14" i="58"/>
  <c r="AD13" i="58"/>
  <c r="AC13" i="58"/>
  <c r="AB13" i="58"/>
  <c r="AD12" i="58"/>
  <c r="AC12" i="58"/>
  <c r="AB12" i="58"/>
  <c r="AD11" i="58"/>
  <c r="AC11" i="58"/>
  <c r="AB11" i="58"/>
  <c r="AD10" i="58"/>
  <c r="AC10" i="58"/>
  <c r="AB10" i="58"/>
  <c r="AD9" i="58"/>
  <c r="AC9" i="58"/>
  <c r="AB9" i="58"/>
  <c r="AD8" i="58"/>
  <c r="AC8" i="58"/>
  <c r="AB8" i="58"/>
  <c r="AD7" i="58"/>
  <c r="AC7" i="58"/>
  <c r="AB7" i="58"/>
  <c r="AD6" i="58"/>
  <c r="AC6" i="58"/>
  <c r="AB6" i="58"/>
  <c r="AD5" i="58"/>
  <c r="AC5" i="58"/>
  <c r="AB5" i="58"/>
  <c r="H18" i="58" l="1"/>
  <c r="G18" i="58"/>
  <c r="F18" i="58"/>
  <c r="F20" i="58"/>
  <c r="F19" i="58"/>
  <c r="F21" i="58" l="1"/>
  <c r="E14" i="58"/>
  <c r="G23" i="58" s="1"/>
  <c r="F14" i="58"/>
  <c r="H23" i="58" s="1"/>
  <c r="D14" i="58"/>
  <c r="F24" i="58" s="1"/>
  <c r="G20" i="58"/>
  <c r="H20" i="58"/>
  <c r="H25" i="58" s="1"/>
  <c r="G19" i="58"/>
  <c r="H19" i="58"/>
  <c r="G25" i="58" l="1"/>
  <c r="F23" i="58"/>
  <c r="H24" i="58"/>
  <c r="F25" i="58"/>
  <c r="G24" i="58"/>
  <c r="R39" i="58"/>
  <c r="X39" i="58" s="1"/>
  <c r="R38" i="58"/>
  <c r="R37" i="58"/>
  <c r="Q39" i="58"/>
  <c r="W39" i="58" s="1"/>
  <c r="Q38" i="58"/>
  <c r="Q37" i="58"/>
  <c r="R42" i="58"/>
  <c r="X42" i="58" s="1"/>
  <c r="R41" i="58"/>
  <c r="X41" i="58" s="1"/>
  <c r="Q42" i="58"/>
  <c r="W42" i="58" s="1"/>
  <c r="Q41" i="58"/>
  <c r="W41" i="58" s="1"/>
  <c r="Q46" i="58"/>
  <c r="W46" i="58" s="1"/>
  <c r="Q45" i="58"/>
  <c r="Q44" i="58"/>
  <c r="Q43" i="58"/>
  <c r="R46" i="58"/>
  <c r="X46" i="58" s="1"/>
  <c r="R45" i="58"/>
  <c r="R44" i="58"/>
  <c r="R43" i="58"/>
  <c r="Q47" i="58"/>
  <c r="R51" i="58"/>
  <c r="X51" i="58" s="1"/>
  <c r="R50" i="58"/>
  <c r="R49" i="58"/>
  <c r="R48" i="58"/>
  <c r="R47" i="58"/>
  <c r="Q51" i="58"/>
  <c r="W51" i="58" s="1"/>
  <c r="Q50" i="58"/>
  <c r="Q49" i="58"/>
  <c r="Q48" i="58"/>
  <c r="R57" i="58"/>
  <c r="X57" i="58" s="1"/>
  <c r="R56" i="58"/>
  <c r="R55" i="58"/>
  <c r="R54" i="58"/>
  <c r="R53" i="58"/>
  <c r="R52" i="58"/>
  <c r="Q55" i="58"/>
  <c r="Q54" i="58"/>
  <c r="Q53" i="58"/>
  <c r="Q52" i="58"/>
  <c r="Q56" i="58"/>
  <c r="Q57" i="58"/>
  <c r="W57" i="58" s="1"/>
  <c r="P50" i="58"/>
  <c r="O57" i="58"/>
  <c r="U57" i="58" s="1"/>
  <c r="N57" i="58"/>
  <c r="T57" i="58" s="1"/>
  <c r="P56" i="58" l="1"/>
  <c r="W37" i="58"/>
  <c r="W59" i="58" s="1"/>
  <c r="T11" i="57" s="1"/>
  <c r="W60" i="58"/>
  <c r="T12" i="57" s="1"/>
  <c r="P38" i="58"/>
  <c r="P45" i="58"/>
  <c r="X37" i="58"/>
  <c r="X59" i="58" s="1"/>
  <c r="T7" i="57" s="1"/>
  <c r="U7" i="57" s="1"/>
  <c r="T8" i="57"/>
  <c r="P57" i="58"/>
  <c r="V57" i="58" s="1"/>
  <c r="P42" i="58"/>
  <c r="V42" i="58" s="1"/>
  <c r="P39" i="58"/>
  <c r="V39" i="58" s="1"/>
  <c r="P51" i="58"/>
  <c r="V51" i="58" s="1"/>
  <c r="P46" i="58"/>
  <c r="V46" i="58" s="1"/>
  <c r="P37" i="58"/>
  <c r="P55" i="58"/>
  <c r="P44" i="58"/>
  <c r="P54" i="58"/>
  <c r="P43" i="58"/>
  <c r="P53" i="58"/>
  <c r="P49" i="58"/>
  <c r="P52" i="58"/>
  <c r="P48" i="58"/>
  <c r="P47" i="58"/>
  <c r="P41" i="58"/>
  <c r="V41" i="58" s="1"/>
  <c r="V60" i="58" l="1"/>
  <c r="T10" i="57" s="1"/>
  <c r="V37" i="58"/>
  <c r="V59" i="58" s="1"/>
  <c r="T9" i="57" s="1"/>
  <c r="M57" i="58"/>
  <c r="S57" i="58" s="1"/>
  <c r="U5" i="58"/>
  <c r="U6" i="58"/>
  <c r="U7" i="58"/>
  <c r="U8" i="58"/>
  <c r="U9" i="58"/>
  <c r="U10" i="58"/>
  <c r="U11" i="58"/>
  <c r="U12" i="58"/>
  <c r="U4" i="58"/>
  <c r="J49" i="58"/>
  <c r="H45" i="58" l="1"/>
  <c r="J55" i="58"/>
  <c r="G31" i="58" l="1"/>
  <c r="G32" i="58"/>
  <c r="G33" i="58"/>
  <c r="G34" i="58"/>
  <c r="G35" i="58"/>
  <c r="G36" i="58"/>
  <c r="G37" i="58"/>
  <c r="O37" i="58" s="1"/>
  <c r="G38" i="58"/>
  <c r="G39" i="58"/>
  <c r="G40" i="58"/>
  <c r="O39" i="58" l="1"/>
  <c r="U39" i="58" s="1"/>
  <c r="M39" i="58"/>
  <c r="N37" i="58"/>
  <c r="T37" i="58" s="1"/>
  <c r="U37" i="58"/>
  <c r="M37" i="58"/>
  <c r="S37" i="58" s="1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T38" i="58" s="1"/>
  <c r="O38" i="58"/>
  <c r="U38" i="58" s="1"/>
  <c r="M38" i="58"/>
  <c r="S38" i="58" s="1"/>
  <c r="N40" i="58"/>
  <c r="O40" i="58"/>
  <c r="M40" i="58"/>
  <c r="N32" i="58"/>
  <c r="O32" i="58"/>
  <c r="M32" i="58"/>
  <c r="N39" i="58"/>
  <c r="T39" i="58" s="1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U41" i="58" s="1"/>
  <c r="N41" i="58"/>
  <c r="T41" i="58" s="1"/>
  <c r="M41" i="58"/>
  <c r="S41" i="58" s="1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O42" i="58"/>
  <c r="U42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N44" i="58"/>
  <c r="M44" i="58"/>
  <c r="O51" i="58"/>
  <c r="U51" i="58" s="1"/>
  <c r="N51" i="58"/>
  <c r="T51" i="58" s="1"/>
  <c r="M51" i="58"/>
  <c r="S51" i="58" s="1"/>
  <c r="O43" i="58"/>
  <c r="N43" i="58"/>
  <c r="M43" i="58"/>
  <c r="U12" i="57"/>
  <c r="N12" i="57" s="1"/>
  <c r="U11" i="57"/>
  <c r="N11" i="57" s="1"/>
  <c r="U10" i="57"/>
  <c r="N10" i="57" s="1"/>
  <c r="U9" i="57"/>
  <c r="N9" i="57" s="1"/>
  <c r="U8" i="57"/>
  <c r="N8" i="57" s="1"/>
  <c r="N7" i="57"/>
  <c r="S59" i="58" l="1"/>
  <c r="O9" i="57" s="1"/>
  <c r="U59" i="58"/>
  <c r="O7" i="57" s="1"/>
  <c r="T59" i="58"/>
  <c r="O11" i="57" s="1"/>
  <c r="U60" i="58"/>
  <c r="O8" i="57" s="1"/>
  <c r="S60" i="58"/>
  <c r="O10" i="57" s="1"/>
  <c r="K12" i="57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  <c r="T60" i="58" l="1"/>
  <c r="O12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<sst xmlns="http://schemas.openxmlformats.org/spreadsheetml/2006/main" count="373" uniqueCount="216">
  <si>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</si>
  <si>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</si>
  <si>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</si>
  <si>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</si>
  <si>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</si>
  <si>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</si>
  <si>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</si>
  <si>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</si>
  <si>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</si>
  <si>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</si>
  <si>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</si>
  <si>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</si>
  <si>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</si>
  <si>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</si>
  <si>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</si>
  <si>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</si>
  <si>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</si>
  <si>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</si>
  <si>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</si>
  <si>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</si>
  <si>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</si>
  <si>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</si>
  <si>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</si>
  <si>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</si>
  <si>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</si>
  <si>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</si>
  <si>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</si>
  <si>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</si>
  <si>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</si>
  <si>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</si>
  <si>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</si>
  <si>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</si>
  <si>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</si>
  <si>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</si>
  <si>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</si>
  <si>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</si>
  <si>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</si>
  <si>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</si>
  <si>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</si>
  <si>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</si>
  <si>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</si>
  <si>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</si>
  <si>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</si>
  <si>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</si>
  <si>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</si>
  <si>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</si>
  <si>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</si>
  <si>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</si>
  <si>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</si>
  <si>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</si>
  <si>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</si>
  <si>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</si>
  <si>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</si>
  <si>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</si>
  <si>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</si>
  <si>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</si>
  <si>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</si>
  <si>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</si>
  <si>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</si>
  <si>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</si>
  <si>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</si>
  <si>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</si>
  <si>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</si>
  <si>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</si>
  <si>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</si>
  <si>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</si>
  <si>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</si>
  <si>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</si>
  <si>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</si>
  <si>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</si>
  <si>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</si>
  <si>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</si>
  <si>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</si>
  <si>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</si>
  <si>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</si>
  <si>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</si>
  <si>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</si>
  <si>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</si>
  <si>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</si>
  <si>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</si>
  <si>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</si>
  <si>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</si>
  <si>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</si>
  <si>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</si>
  <si>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</si>
  <si>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</si>
  <si>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</si>
  <si>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</si>
  <si>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</si>
  <si>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</si>
  <si>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</si>
  <si>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</si>
  <si>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</si>
  <si>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</si>
  <si>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</si>
  <si>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</si>
  <si>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</si>
  <si>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CSO 2016</t>
  </si>
  <si>
    <t>https://www.cso.ie/en/csolatestnews/presspages/2017/census2016profile1-housinginireland/</t>
  </si>
  <si>
    <t>Comment</t>
  </si>
  <si>
    <t>JMcG continue from Alessandro Chiodi BY template in 2018  - Initial Internal Release</t>
  </si>
  <si>
    <t>PJ/000dwelling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</si>
  <si>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</si>
  <si>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</si>
  <si>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</si>
  <si>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</si>
  <si>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</si>
  <si>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</si>
  <si>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</si>
  <si>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</si>
  <si>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</si>
  <si>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</si>
  <si>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</si>
  <si>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</si>
  <si>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</si>
  <si>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</si>
  <si>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</si>
  <si>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</si>
  <si>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</si>
  <si>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</si>
  <si>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</si>
  <si>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</si>
  <si>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</si>
  <si>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</si>
  <si>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</si>
  <si>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</si>
  <si>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</si>
  <si>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</si>
  <si>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</si>
  <si>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</si>
  <si>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</si>
  <si>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</si>
  <si>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</si>
  <si>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</si>
  <si>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</si>
  <si>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</si>
  <si>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</si>
  <si>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</si>
  <si>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</si>
  <si>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</si>
  <si>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</si>
  <si>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</si>
  <si>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</si>
  <si>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</si>
  <si>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</si>
  <si>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</si>
  <si>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</si>
  <si>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</si>
  <si>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</si>
  <si>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</si>
  <si>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</si>
  <si>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</si>
  <si>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</si>
  <si>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</si>
  <si>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</si>
  <si>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</si>
  <si>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</si>
  <si>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</si>
  <si>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</si>
  <si>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</si>
  <si>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</si>
  <si>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</si>
  <si>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</si>
  <si>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</si>
  <si>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</si>
  <si>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</si>
  <si>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</si>
  <si>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</si>
  <si>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</si>
  <si>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</si>
  <si>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</si>
  <si>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</si>
  <si>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</si>
  <si>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</si>
  <si>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</si>
  <si>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</si>
  <si>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</si>
  <si>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</si>
  <si>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</si>
  <si>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</si>
  <si>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</si>
  <si>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</si>
  <si>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</si>
  <si>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</si>
  <si>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</si>
  <si>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</si>
  <si>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</si>
  <si>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</si>
  <si>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</si>
  <si>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</si>
  <si>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</si>
  <si>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</si>
  <si>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</si>
  <si>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No Retrofit Required for Heat Pump</t>
  </si>
  <si>
    <t>Shallow Retrofit Required for Heat Pump</t>
  </si>
  <si>
    <t>Deep Retrofit Required for Heat Pump</t>
  </si>
  <si>
    <t>DayNite</t>
  </si>
  <si>
    <t>Residential 1.0</t>
  </si>
  <si>
    <t>19th July 2021</t>
  </si>
  <si>
    <t>SEAI</t>
  </si>
  <si>
    <t>http://www.seai.ie/Your_Building/BER/Your_Guide_to_Building_Energy_ Rating.pdf.</t>
  </si>
  <si>
    <t>Open Source</t>
  </si>
  <si>
    <t>ü</t>
  </si>
  <si>
    <t>N/A</t>
  </si>
  <si>
    <t>TABULA</t>
  </si>
  <si>
    <t>AECOM</t>
  </si>
  <si>
    <t>Usman Ali, 2020</t>
  </si>
  <si>
    <t xml:space="preserve"> A data-driven approach to optimize urban scale energy retrofit decisions for residential buildings</t>
  </si>
  <si>
    <t>Attribution 4.0 International (CC BY 4.0</t>
  </si>
  <si>
    <t>http://doi.org/10.1080/00036846.2017.1302068</t>
  </si>
  <si>
    <t>ESRI Paper</t>
  </si>
  <si>
    <t>Reproduction of the contents is permissible provided the source is acknowledged.</t>
  </si>
  <si>
    <t>RECAST Section 1 - April 2020</t>
  </si>
  <si>
    <t>http://www.esru.strath.ac.uk/EandE/Web_sites/16-17/Retrofit/uploads/1/0/5/7/105723345/phpp_sap_and_sbem_comparison_study.pdf</t>
  </si>
  <si>
    <t>Post-Retrofit Rating</t>
  </si>
  <si>
    <t>Pre-Retrofit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</si>
</sst>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&quot;€&quot;* #,##0.00_-;\-&quot;€&quot;* #,##0.00_-;_-&quot;€&quot;* &quot;-&quot;??_-;_-@_-"/>
    <numFmt numFmtId="165" formatCode="0.0"/>
    <numFmt numFmtId="166" formatCode="\Te\x\t"/>
    <numFmt numFmtId="167" formatCode="_(* #,##0.00_);_(* \(#,##0.00\);_(* &quot;-&quot;??_);_(@_)"/>
    <numFmt numFmtId="168" formatCode="#,##0.000"/>
    <numFmt numFmtId="169" formatCode="0.000%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10"/>
      <name val="Arial"/>
      <family val="2"/>
    </font>
    <font>
      <sz val="10"/>
      <name val="Cambria"/>
      <family val="1"/>
    </font>
    <font>
      <sz val="11"/>
      <color theme="1"/>
      <name val="Wingdings"/>
      <charset val="2"/>
    </font>
    <font>
      <sz val="10"/>
      <name val="Georgia"/>
      <family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1" fillId="0" borderId="0"/>
    <xf numFmtId="0" fontId="5" fillId="0" borderId="0"/>
    <xf numFmtId="0" fontId="22" fillId="0" borderId="0"/>
    <xf numFmtId="0" fontId="6" fillId="0" borderId="0"/>
    <xf numFmtId="0" fontId="6" fillId="0" borderId="0"/>
    <xf numFmtId="0" fontId="23" fillId="11" borderId="0" applyNumberFormat="0" applyBorder="0" applyAlignment="0" applyProtection="0"/>
    <xf numFmtId="167" fontId="6" fillId="0" borderId="0" applyFont="0" applyFill="0" applyBorder="0" applyAlignment="0" applyProtection="0"/>
    <xf numFmtId="0" fontId="21" fillId="0" borderId="0"/>
    <xf numFmtId="0" fontId="23" fillId="0" borderId="0"/>
    <xf numFmtId="9" fontId="46" fillId="0" borderId="0" applyFont="0" applyFill="0" applyBorder="0" applyAlignment="0" applyProtection="0"/>
  </cellStyleXfs>
  <cellXfs count="214">
    <xf numFmtId="0" fontId="0" fillId="0" borderId="0" xfId="0"/>
    <xf numFmtId="0" fontId="19" fillId="3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24" fillId="12" borderId="17" xfId="0" applyFont="1" applyFill="1" applyBorder="1" applyAlignment="1">
      <alignment horizontal="left" vertical="center"/>
    </xf>
    <xf numFmtId="0" fontId="6" fillId="0" borderId="0" xfId="0" applyFont="1"/>
    <xf numFmtId="0" fontId="4" fillId="3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29" fillId="0" borderId="0" xfId="0" applyFont="1"/>
    <xf numFmtId="0" fontId="3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1" fillId="5" borderId="12" xfId="0" applyFont="1" applyFill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17" fontId="29" fillId="0" borderId="25" xfId="0" applyNumberFormat="1" applyFont="1" applyBorder="1"/>
    <xf numFmtId="0" fontId="29" fillId="0" borderId="26" xfId="0" applyFont="1" applyBorder="1"/>
    <xf numFmtId="0" fontId="31" fillId="6" borderId="13" xfId="0" applyFont="1" applyFill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28" xfId="0" applyFont="1" applyBorder="1"/>
    <xf numFmtId="165" fontId="6" fillId="7" borderId="13" xfId="0" applyNumberFormat="1" applyFont="1" applyFill="1" applyBorder="1" applyAlignment="1">
      <alignment vertical="center"/>
    </xf>
    <xf numFmtId="0" fontId="33" fillId="8" borderId="13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9" borderId="13" xfId="0" applyFont="1" applyFill="1" applyBorder="1" applyAlignment="1">
      <alignment vertical="center"/>
    </xf>
    <xf numFmtId="0" fontId="6" fillId="2" borderId="13" xfId="0" applyFont="1" applyFill="1" applyBorder="1"/>
    <xf numFmtId="0" fontId="29" fillId="10" borderId="7" xfId="0" applyFont="1" applyFill="1" applyBorder="1"/>
    <xf numFmtId="0" fontId="25" fillId="0" borderId="16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17" fontId="29" fillId="0" borderId="30" xfId="0" applyNumberFormat="1" applyFont="1" applyBorder="1"/>
    <xf numFmtId="0" fontId="29" fillId="0" borderId="31" xfId="0" applyFont="1" applyBorder="1"/>
    <xf numFmtId="0" fontId="32" fillId="0" borderId="34" xfId="0" applyFont="1" applyBorder="1" applyAlignment="1">
      <alignment vertical="center"/>
    </xf>
    <xf numFmtId="0" fontId="32" fillId="0" borderId="35" xfId="0" applyFont="1" applyBorder="1" applyAlignment="1">
      <alignment vertical="center"/>
    </xf>
    <xf numFmtId="0" fontId="32" fillId="0" borderId="36" xfId="0" applyFont="1" applyBorder="1" applyAlignment="1">
      <alignment vertical="center"/>
    </xf>
    <xf numFmtId="0" fontId="32" fillId="0" borderId="37" xfId="0" applyFont="1" applyBorder="1" applyAlignment="1">
      <alignment vertical="center"/>
    </xf>
    <xf numFmtId="0" fontId="36" fillId="0" borderId="5" xfId="0" applyFont="1" applyBorder="1"/>
    <xf numFmtId="0" fontId="29" fillId="0" borderId="11" xfId="0" quotePrefix="1" applyFont="1" applyBorder="1"/>
    <xf numFmtId="0" fontId="36" fillId="0" borderId="27" xfId="0" applyFont="1" applyBorder="1"/>
    <xf numFmtId="0" fontId="29" fillId="0" borderId="1" xfId="0" quotePrefix="1" applyFont="1" applyBorder="1"/>
    <xf numFmtId="0" fontId="36" fillId="0" borderId="4" xfId="0" applyFont="1" applyBorder="1"/>
    <xf numFmtId="0" fontId="29" fillId="0" borderId="6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0" xfId="0" applyFont="1" applyBorder="1"/>
    <xf numFmtId="0" fontId="29" fillId="0" borderId="9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5" xfId="0" applyFont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37" fillId="0" borderId="0" xfId="9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15" fillId="13" borderId="3" xfId="0" applyFont="1" applyFill="1" applyBorder="1" applyAlignment="1">
      <alignment horizontal="left" vertical="center" wrapText="1"/>
    </xf>
    <xf numFmtId="166" fontId="15" fillId="13" borderId="3" xfId="9" applyNumberFormat="1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3" fontId="10" fillId="0" borderId="0" xfId="0" applyNumberFormat="1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4"/>
    </xf>
    <xf numFmtId="0" fontId="7" fillId="6" borderId="40" xfId="0" applyFont="1" applyFill="1" applyBorder="1" applyAlignment="1">
      <alignment vertical="center"/>
    </xf>
    <xf numFmtId="0" fontId="7" fillId="6" borderId="32" xfId="0" applyFont="1" applyFill="1" applyBorder="1" applyAlignment="1">
      <alignment vertical="center"/>
    </xf>
    <xf numFmtId="0" fontId="7" fillId="6" borderId="37" xfId="0" applyFont="1" applyFill="1" applyBorder="1" applyAlignment="1">
      <alignment vertical="center"/>
    </xf>
    <xf numFmtId="1" fontId="7" fillId="17" borderId="24" xfId="0" applyNumberFormat="1" applyFont="1" applyFill="1" applyBorder="1" applyAlignment="1">
      <alignment horizontal="right" vertical="center"/>
    </xf>
    <xf numFmtId="168" fontId="3" fillId="17" borderId="25" xfId="0" applyNumberFormat="1" applyFont="1" applyFill="1" applyBorder="1" applyAlignment="1">
      <alignment vertical="center"/>
    </xf>
    <xf numFmtId="3" fontId="3" fillId="17" borderId="25" xfId="0" applyNumberFormat="1" applyFont="1" applyFill="1" applyBorder="1" applyAlignment="1">
      <alignment vertical="center"/>
    </xf>
    <xf numFmtId="3" fontId="3" fillId="17" borderId="26" xfId="0" applyNumberFormat="1" applyFont="1" applyFill="1" applyBorder="1" applyAlignment="1">
      <alignment vertical="center"/>
    </xf>
    <xf numFmtId="3" fontId="7" fillId="17" borderId="26" xfId="0" applyNumberFormat="1" applyFont="1" applyFill="1" applyBorder="1" applyAlignment="1">
      <alignment vertical="center"/>
    </xf>
    <xf numFmtId="1" fontId="7" fillId="18" borderId="27" xfId="0" quotePrefix="1" applyNumberFormat="1" applyFont="1" applyFill="1" applyBorder="1" applyAlignment="1">
      <alignment horizontal="right" vertical="top"/>
    </xf>
    <xf numFmtId="168" fontId="3" fillId="18" borderId="1" xfId="0" quotePrefix="1" applyNumberFormat="1" applyFont="1" applyFill="1" applyBorder="1" applyAlignment="1">
      <alignment horizontal="right" vertical="top"/>
    </xf>
    <xf numFmtId="3" fontId="3" fillId="18" borderId="1" xfId="0" quotePrefix="1" applyNumberFormat="1" applyFont="1" applyFill="1" applyBorder="1" applyAlignment="1">
      <alignment horizontal="right" vertical="top"/>
    </xf>
    <xf numFmtId="3" fontId="3" fillId="18" borderId="28" xfId="0" quotePrefix="1" applyNumberFormat="1" applyFont="1" applyFill="1" applyBorder="1" applyAlignment="1">
      <alignment horizontal="right" vertical="top"/>
    </xf>
    <xf numFmtId="3" fontId="7" fillId="18" borderId="28" xfId="0" quotePrefix="1" applyNumberFormat="1" applyFont="1" applyFill="1" applyBorder="1" applyAlignment="1">
      <alignment horizontal="right" vertical="top"/>
    </xf>
    <xf numFmtId="1" fontId="7" fillId="17" borderId="27" xfId="0" applyNumberFormat="1" applyFont="1" applyFill="1" applyBorder="1" applyAlignment="1">
      <alignment horizontal="right" vertical="center"/>
    </xf>
    <xf numFmtId="168" fontId="3" fillId="17" borderId="1" xfId="0" applyNumberFormat="1" applyFont="1" applyFill="1" applyBorder="1" applyAlignment="1">
      <alignment vertical="center"/>
    </xf>
    <xf numFmtId="3" fontId="3" fillId="17" borderId="1" xfId="0" applyNumberFormat="1" applyFont="1" applyFill="1" applyBorder="1" applyAlignment="1">
      <alignment vertical="center"/>
    </xf>
    <xf numFmtId="3" fontId="3" fillId="17" borderId="28" xfId="0" applyNumberFormat="1" applyFont="1" applyFill="1" applyBorder="1" applyAlignment="1">
      <alignment vertical="center"/>
    </xf>
    <xf numFmtId="3" fontId="7" fillId="17" borderId="28" xfId="0" applyNumberFormat="1" applyFont="1" applyFill="1" applyBorder="1" applyAlignment="1">
      <alignment vertical="center"/>
    </xf>
    <xf numFmtId="0" fontId="3" fillId="0" borderId="0" xfId="0" applyFont="1"/>
    <xf numFmtId="1" fontId="7" fillId="17" borderId="29" xfId="0" applyNumberFormat="1" applyFont="1" applyFill="1" applyBorder="1" applyAlignment="1">
      <alignment horizontal="right" vertical="center"/>
    </xf>
    <xf numFmtId="168" fontId="3" fillId="17" borderId="30" xfId="0" applyNumberFormat="1" applyFont="1" applyFill="1" applyBorder="1" applyAlignment="1">
      <alignment vertical="center"/>
    </xf>
    <xf numFmtId="3" fontId="3" fillId="17" borderId="30" xfId="0" applyNumberFormat="1" applyFont="1" applyFill="1" applyBorder="1" applyAlignment="1">
      <alignment vertical="center"/>
    </xf>
    <xf numFmtId="3" fontId="3" fillId="17" borderId="31" xfId="0" applyNumberFormat="1" applyFont="1" applyFill="1" applyBorder="1" applyAlignment="1">
      <alignment vertical="center"/>
    </xf>
    <xf numFmtId="1" fontId="7" fillId="17" borderId="41" xfId="0" applyNumberFormat="1" applyFont="1" applyFill="1" applyBorder="1" applyAlignment="1">
      <alignment horizontal="right" vertical="center"/>
    </xf>
    <xf numFmtId="3" fontId="3" fillId="17" borderId="5" xfId="0" applyNumberFormat="1" applyFont="1" applyFill="1" applyBorder="1" applyAlignment="1">
      <alignment vertical="center"/>
    </xf>
    <xf numFmtId="168" fontId="24" fillId="19" borderId="42" xfId="0" applyNumberFormat="1" applyFont="1" applyFill="1" applyBorder="1" applyAlignment="1">
      <alignment vertical="center"/>
    </xf>
    <xf numFmtId="1" fontId="7" fillId="18" borderId="21" xfId="0" quotePrefix="1" applyNumberFormat="1" applyFont="1" applyFill="1" applyBorder="1" applyAlignment="1">
      <alignment horizontal="right" vertical="top"/>
    </xf>
    <xf numFmtId="3" fontId="24" fillId="19" borderId="23" xfId="0" applyNumberFormat="1" applyFont="1" applyFill="1" applyBorder="1" applyAlignment="1">
      <alignment vertical="center"/>
    </xf>
    <xf numFmtId="0" fontId="44" fillId="2" borderId="0" xfId="0" applyFont="1" applyFill="1"/>
    <xf numFmtId="0" fontId="44" fillId="20" borderId="0" xfId="0" applyFont="1" applyFill="1"/>
    <xf numFmtId="0" fontId="45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 indent="14"/>
    </xf>
    <xf numFmtId="0" fontId="40" fillId="0" borderId="0" xfId="0" applyFont="1"/>
    <xf numFmtId="0" fontId="41" fillId="21" borderId="0" xfId="0" applyFont="1" applyFill="1" applyBorder="1" applyAlignment="1">
      <alignment horizontal="center" vertical="center"/>
    </xf>
    <xf numFmtId="0" fontId="43" fillId="21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164" fontId="6" fillId="20" borderId="0" xfId="0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  <xf numFmtId="164" fontId="47" fillId="2" borderId="0" xfId="0" applyNumberFormat="1" applyFont="1" applyFill="1" applyAlignment="1">
      <alignment horizontal="left" vertical="center" indent="1"/>
    </xf>
    <xf numFmtId="10" fontId="43" fillId="21" borderId="0" xfId="0" applyNumberFormat="1" applyFont="1" applyFill="1" applyBorder="1" applyAlignment="1">
      <alignment horizontal="center" vertical="center"/>
    </xf>
    <xf numFmtId="10" fontId="6" fillId="20" borderId="0" xfId="0" applyNumberFormat="1" applyFont="1" applyFill="1"/>
    <xf numFmtId="10" fontId="6" fillId="0" borderId="0" xfId="0" applyNumberFormat="1" applyFont="1"/>
    <xf numFmtId="9" fontId="6" fillId="2" borderId="0" xfId="0" applyNumberFormat="1" applyFont="1" applyFill="1"/>
    <xf numFmtId="9" fontId="6" fillId="20" borderId="0" xfId="0" applyNumberFormat="1" applyFont="1" applyFill="1"/>
    <xf numFmtId="9" fontId="6" fillId="0" borderId="0" xfId="0" applyNumberFormat="1" applyFont="1"/>
    <xf numFmtId="9" fontId="44" fillId="2" borderId="0" xfId="0" applyNumberFormat="1" applyFont="1" applyFill="1"/>
    <xf numFmtId="164" fontId="44" fillId="2" borderId="0" xfId="0" applyNumberFormat="1" applyFont="1" applyFill="1"/>
    <xf numFmtId="164" fontId="44" fillId="20" borderId="0" xfId="0" applyNumberFormat="1" applyFont="1" applyFill="1"/>
    <xf numFmtId="9" fontId="44" fillId="20" borderId="0" xfId="14" applyFont="1" applyFill="1"/>
    <xf numFmtId="0" fontId="15" fillId="13" borderId="0" xfId="0" applyFont="1" applyFill="1" applyBorder="1" applyAlignment="1">
      <alignment horizontal="left" vertical="center" wrapText="1"/>
    </xf>
    <xf numFmtId="2" fontId="11" fillId="15" borderId="49" xfId="0" applyNumberFormat="1" applyFont="1" applyFill="1" applyBorder="1" applyAlignment="1">
      <alignment horizontal="left" vertical="center"/>
    </xf>
    <xf numFmtId="2" fontId="11" fillId="15" borderId="3" xfId="0" applyNumberFormat="1" applyFont="1" applyFill="1" applyBorder="1" applyAlignment="1">
      <alignment horizontal="left" vertical="center"/>
    </xf>
    <xf numFmtId="9" fontId="11" fillId="15" borderId="49" xfId="14" applyFont="1" applyFill="1" applyBorder="1" applyAlignment="1">
      <alignment horizontal="left" vertical="center"/>
    </xf>
    <xf numFmtId="9" fontId="11" fillId="15" borderId="3" xfId="14" applyFont="1" applyFill="1" applyBorder="1" applyAlignment="1">
      <alignment horizontal="left" vertical="center"/>
    </xf>
    <xf numFmtId="169" fontId="0" fillId="0" borderId="0" xfId="14" applyNumberFormat="1" applyFont="1" applyAlignment="1">
      <alignment horizontal="left" indent="1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0" fillId="0" borderId="1" xfId="1" quotePrefix="1" applyBorder="1"/>
    <xf numFmtId="165" fontId="30" fillId="14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29" fillId="0" borderId="0" xfId="0" applyFont="1" applyBorder="1"/>
    <xf numFmtId="0" fontId="35" fillId="5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right"/>
    </xf>
    <xf numFmtId="15" fontId="29" fillId="0" borderId="0" xfId="0" applyNumberFormat="1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0" fontId="20" fillId="0" borderId="1" xfId="1" applyBorder="1"/>
    <xf numFmtId="0" fontId="48" fillId="2" borderId="28" xfId="0" applyFont="1" applyFill="1" applyBorder="1" applyAlignment="1">
      <alignment horizontal="center"/>
    </xf>
    <xf numFmtId="0" fontId="36" fillId="24" borderId="27" xfId="0" applyFont="1" applyFill="1" applyBorder="1"/>
    <xf numFmtId="0" fontId="29" fillId="24" borderId="1" xfId="0" applyFont="1" applyFill="1" applyBorder="1"/>
    <xf numFmtId="17" fontId="29" fillId="24" borderId="1" xfId="0" applyNumberFormat="1" applyFont="1" applyFill="1" applyBorder="1" applyAlignment="1">
      <alignment horizontal="right"/>
    </xf>
    <xf numFmtId="0" fontId="29" fillId="24" borderId="28" xfId="0" applyFont="1" applyFill="1" applyBorder="1"/>
    <xf numFmtId="0" fontId="29" fillId="24" borderId="28" xfId="0" applyFont="1" applyFill="1" applyBorder="1" applyAlignment="1">
      <alignment horizontal="center"/>
    </xf>
    <xf numFmtId="0" fontId="20" fillId="24" borderId="27" xfId="1" applyFill="1" applyBorder="1"/>
    <xf numFmtId="0" fontId="20" fillId="0" borderId="0" xfId="1" applyAlignment="1">
      <alignment vertical="center"/>
    </xf>
    <xf numFmtId="0" fontId="49" fillId="0" borderId="0" xfId="0" applyFont="1" applyAlignment="1">
      <alignment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 indent="1"/>
    </xf>
    <xf numFmtId="0" fontId="6" fillId="0" borderId="4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left" vertical="center" wrapText="1" indent="1"/>
    </xf>
    <xf numFmtId="0" fontId="6" fillId="0" borderId="46" xfId="0" applyFont="1" applyBorder="1" applyAlignment="1">
      <alignment horizontal="left" vertical="center" wrapText="1"/>
    </xf>
    <xf numFmtId="3" fontId="6" fillId="0" borderId="47" xfId="0" applyNumberFormat="1" applyFont="1" applyBorder="1" applyAlignment="1">
      <alignment horizontal="center" vertical="center" wrapText="1"/>
    </xf>
    <xf numFmtId="3" fontId="6" fillId="0" borderId="47" xfId="0" applyNumberFormat="1" applyFont="1" applyBorder="1" applyAlignment="1">
      <alignment horizontal="left" vertical="center" wrapText="1" indent="1"/>
    </xf>
    <xf numFmtId="0" fontId="41" fillId="16" borderId="39" xfId="0" applyFont="1" applyFill="1" applyBorder="1" applyAlignment="1">
      <alignment horizontal="center" vertical="center"/>
    </xf>
    <xf numFmtId="168" fontId="1" fillId="17" borderId="25" xfId="0" applyNumberFormat="1" applyFont="1" applyFill="1" applyBorder="1" applyAlignment="1">
      <alignment vertical="center"/>
    </xf>
    <xf numFmtId="168" fontId="1" fillId="18" borderId="1" xfId="0" quotePrefix="1" applyNumberFormat="1" applyFont="1" applyFill="1" applyBorder="1" applyAlignment="1">
      <alignment horizontal="right" vertical="top"/>
    </xf>
    <xf numFmtId="168" fontId="1" fillId="17" borderId="1" xfId="0" applyNumberFormat="1" applyFont="1" applyFill="1" applyBorder="1" applyAlignment="1">
      <alignment vertical="center"/>
    </xf>
    <xf numFmtId="168" fontId="1" fillId="17" borderId="30" xfId="0" applyNumberFormat="1" applyFont="1" applyFill="1" applyBorder="1" applyAlignment="1">
      <alignment vertical="center"/>
    </xf>
    <xf numFmtId="0" fontId="41" fillId="16" borderId="39" xfId="0" applyFont="1" applyFill="1" applyBorder="1" applyAlignment="1">
      <alignment vertical="center"/>
    </xf>
    <xf numFmtId="0" fontId="20" fillId="0" borderId="0" xfId="1"/>
    <xf numFmtId="1" fontId="6" fillId="0" borderId="0" xfId="0" applyNumberFormat="1" applyFont="1"/>
    <xf numFmtId="1" fontId="6" fillId="0" borderId="44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6" fillId="0" borderId="47" xfId="0" applyNumberFormat="1" applyFont="1" applyBorder="1" applyAlignment="1">
      <alignment horizontal="center" vertical="center" wrapText="1"/>
    </xf>
    <xf numFmtId="168" fontId="0" fillId="0" borderId="0" xfId="0" applyNumberFormat="1"/>
    <xf numFmtId="9" fontId="0" fillId="0" borderId="0" xfId="14" applyFont="1"/>
    <xf numFmtId="9" fontId="0" fillId="20" borderId="0" xfId="14" applyFont="1" applyFill="1"/>
    <xf numFmtId="9" fontId="0" fillId="2" borderId="0" xfId="14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5" fontId="30" fillId="14" borderId="20" xfId="0" applyNumberFormat="1" applyFont="1" applyFill="1" applyBorder="1" applyAlignment="1">
      <alignment horizontal="center" vertical="center"/>
    </xf>
    <xf numFmtId="165" fontId="30" fillId="14" borderId="18" xfId="0" applyNumberFormat="1" applyFont="1" applyFill="1" applyBorder="1" applyAlignment="1">
      <alignment horizontal="center" vertical="center"/>
    </xf>
    <xf numFmtId="165" fontId="30" fillId="14" borderId="8" xfId="0" applyNumberFormat="1" applyFont="1" applyFill="1" applyBorder="1" applyAlignment="1">
      <alignment horizontal="center" vertical="center"/>
    </xf>
    <xf numFmtId="0" fontId="35" fillId="5" borderId="32" xfId="0" applyFont="1" applyFill="1" applyBorder="1" applyAlignment="1">
      <alignment horizontal="center" vertical="center"/>
    </xf>
    <xf numFmtId="0" fontId="35" fillId="5" borderId="19" xfId="0" applyFont="1" applyFill="1" applyBorder="1" applyAlignment="1">
      <alignment horizontal="center" vertical="center"/>
    </xf>
    <xf numFmtId="0" fontId="35" fillId="5" borderId="33" xfId="0" applyFont="1" applyFill="1" applyBorder="1" applyAlignment="1">
      <alignment horizontal="center" vertical="center"/>
    </xf>
    <xf numFmtId="165" fontId="30" fillId="7" borderId="32" xfId="0" applyNumberFormat="1" applyFont="1" applyFill="1" applyBorder="1" applyAlignment="1">
      <alignment horizontal="center" vertical="center"/>
    </xf>
    <xf numFmtId="165" fontId="30" fillId="7" borderId="3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43" fillId="23" borderId="48" xfId="0" applyFont="1" applyFill="1" applyBorder="1" applyAlignment="1">
      <alignment horizontal="center" vertical="center"/>
    </xf>
    <xf numFmtId="0" fontId="43" fillId="23" borderId="0" xfId="0" applyFont="1" applyFill="1" applyBorder="1" applyAlignment="1">
      <alignment horizontal="center" vertical="center"/>
    </xf>
    <xf numFmtId="0" fontId="42" fillId="16" borderId="39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6" borderId="8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 wrapText="1"/>
    </xf>
    <xf numFmtId="0" fontId="43" fillId="22" borderId="18" xfId="0" applyFont="1" applyFill="1" applyBorder="1" applyAlignment="1">
      <alignment horizontal="center" vertical="center" wrapText="1"/>
    </xf>
    <xf numFmtId="0" fontId="43" fillId="22" borderId="8" xfId="0" applyFont="1" applyFill="1" applyBorder="1" applyAlignment="1">
      <alignment horizontal="center" vertical="center" wrapText="1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28575</xdr:colOff>
      <xdr:row>22</xdr:row>
      <xdr:rowOff>38100</xdr:rowOff>
    </xdr:from>
    <xdr:to>
      <xdr:col>39</xdr:col>
      <xdr:colOff>628650</xdr:colOff>
      <xdr:row>26</xdr:row>
      <xdr:rowOff>114300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83CAA86-A9C6-4967-BF8D-5B3023197EE8}"/>
            </a:ext>
          </a:extLst>
        </xdr:cNvPr>
        <xdr:cNvSpPr txBox="1">
          <a:spLocks noChangeArrowheads="1"/>
        </xdr:cNvSpPr>
      </xdr:nvSpPr>
      <xdr:spPr bwMode="auto">
        <a:xfrm>
          <a:off x="20297775" y="4400550"/>
          <a:ext cx="8524875" cy="9048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so.ie/en/csolatestnews/presspages/2017/census2016profile1-housinginireland/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%20Rating.pdf.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oi.org/10.1080/00036846.2017.1302068" TargetMode="External"/><Relationship Id="rId4" Type="http://schemas.openxmlformats.org/officeDocument/2006/relationships/hyperlink" Target="https://ndber.seai.ie/pass/ber/search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92" t="s">
        <v>74</v>
      </c>
      <c r="B17" s="192"/>
      <c r="C17" s="192"/>
      <c r="D17" s="192"/>
      <c r="E17" s="192"/>
      <c r="F17" s="192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93" t="s">
        <v>75</v>
      </c>
      <c r="C20" s="193"/>
      <c r="D20" s="193"/>
      <c r="E20" s="193"/>
      <c r="F20" s="193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33</v>
      </c>
      <c r="B21" s="194" t="s">
        <v>1</v>
      </c>
      <c r="C21" s="194"/>
      <c r="D21" s="194"/>
      <c r="E21" s="194"/>
      <c r="F21" s="194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94" t="s">
        <v>34</v>
      </c>
      <c r="C22" s="194"/>
      <c r="D22" s="194"/>
      <c r="E22" s="194"/>
      <c r="F22" s="194"/>
    </row>
    <row r="23" spans="1:14" ht="17.25" customHeight="1" x14ac:dyDescent="0.2">
      <c r="A23" s="3" t="s">
        <v>35</v>
      </c>
      <c r="B23" s="145" t="s">
        <v>197</v>
      </c>
      <c r="C23" s="145"/>
      <c r="D23" s="145"/>
      <c r="E23" s="145"/>
      <c r="F23" s="145"/>
    </row>
    <row r="24" spans="1:14" ht="17.25" customHeight="1" x14ac:dyDescent="0.2">
      <c r="A24" s="3" t="s">
        <v>3</v>
      </c>
      <c r="B24" s="146" t="s">
        <v>198</v>
      </c>
      <c r="C24" s="146"/>
      <c r="D24" s="146"/>
      <c r="E24" s="1"/>
      <c r="F24" s="1"/>
      <c r="G24" s="2"/>
      <c r="H24" s="2"/>
    </row>
    <row r="25" spans="1:14" ht="17.25" customHeight="1" x14ac:dyDescent="0.2">
      <c r="A25" s="195"/>
      <c r="B25" s="195"/>
      <c r="C25" s="195"/>
      <c r="D25" s="195"/>
      <c r="E25" s="195"/>
      <c r="F25" s="195"/>
      <c r="G25" s="2"/>
      <c r="H25" s="2"/>
    </row>
    <row r="26" spans="1:14" ht="17.25" customHeight="1" x14ac:dyDescent="0.2">
      <c r="A26" s="191"/>
      <c r="B26" s="191"/>
      <c r="C26" s="191"/>
      <c r="D26" s="191"/>
      <c r="E26" s="191"/>
      <c r="F26" s="191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A1:U45"/>
  <sheetViews>
    <sheetView topLeftCell="A3" zoomScale="85" zoomScaleNormal="85" workbookViewId="0">
      <selection activeCell="C30" sqref="C30"/>
    </sheetView>
  </sheetViews>
  <sheetFormatPr defaultColWidth="9.140625" defaultRowHeight="14.25" x14ac:dyDescent="0.2"/>
  <cols>
    <col min="1" max="1" width="3.7109375" style="15" customWidth="1"/>
    <col min="2" max="2" width="19.5703125" style="15" customWidth="1"/>
    <col min="3" max="3" width="93.5703125" style="15" bestFit="1" customWidth="1"/>
    <col min="4" max="4" width="11.28515625" style="15" customWidth="1"/>
    <col min="5" max="6" width="11.42578125" style="15" customWidth="1"/>
    <col min="7" max="7" width="9.140625" style="15"/>
    <col min="8" max="8" width="18.5703125" style="15" customWidth="1"/>
    <col min="9" max="9" width="96.5703125" style="15" customWidth="1"/>
    <col min="10" max="16384" width="9.140625" style="15"/>
  </cols>
  <sheetData>
    <row r="1" spans="2:21" ht="15" thickBot="1" x14ac:dyDescent="0.25"/>
    <row r="2" spans="2:21" ht="19.5" thickBot="1" x14ac:dyDescent="0.25">
      <c r="B2" s="196" t="s">
        <v>4</v>
      </c>
      <c r="C2" s="197"/>
      <c r="D2" s="197"/>
      <c r="E2" s="198"/>
      <c r="F2" s="148"/>
      <c r="H2" s="196" t="s">
        <v>5</v>
      </c>
      <c r="I2" s="198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2:21" ht="15.75" thickBot="1" x14ac:dyDescent="0.25">
      <c r="B3" s="18" t="s">
        <v>36</v>
      </c>
      <c r="C3" s="19" t="s">
        <v>6</v>
      </c>
      <c r="D3" s="19" t="s">
        <v>7</v>
      </c>
      <c r="E3" s="20" t="s">
        <v>76</v>
      </c>
      <c r="F3" s="149"/>
      <c r="H3" s="21"/>
      <c r="I3" s="22" t="s">
        <v>37</v>
      </c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2:21" x14ac:dyDescent="0.2">
      <c r="B4" s="23" t="s">
        <v>77</v>
      </c>
      <c r="C4" s="24" t="s">
        <v>78</v>
      </c>
      <c r="D4" s="25">
        <v>44136</v>
      </c>
      <c r="E4" s="26" t="s">
        <v>79</v>
      </c>
      <c r="F4" s="150"/>
      <c r="H4" s="27"/>
      <c r="I4" s="28" t="s">
        <v>39</v>
      </c>
      <c r="J4" s="16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2:21" x14ac:dyDescent="0.2">
      <c r="B5" s="29" t="s">
        <v>8</v>
      </c>
      <c r="C5" s="30" t="s">
        <v>38</v>
      </c>
      <c r="D5" s="31">
        <v>44169</v>
      </c>
      <c r="E5" s="32" t="s">
        <v>80</v>
      </c>
      <c r="F5" s="150"/>
      <c r="H5" s="33"/>
      <c r="I5" s="28" t="s">
        <v>40</v>
      </c>
      <c r="J5" s="16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2:21" x14ac:dyDescent="0.2">
      <c r="B6" s="29" t="s">
        <v>81</v>
      </c>
      <c r="C6" s="30" t="s">
        <v>82</v>
      </c>
      <c r="D6" s="31">
        <v>44166</v>
      </c>
      <c r="E6" s="32" t="s">
        <v>80</v>
      </c>
      <c r="F6" s="150"/>
      <c r="H6" s="34" t="s">
        <v>9</v>
      </c>
      <c r="I6" s="28" t="s">
        <v>42</v>
      </c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2:21" x14ac:dyDescent="0.2">
      <c r="B7" s="29" t="s">
        <v>83</v>
      </c>
      <c r="C7" s="30" t="s">
        <v>84</v>
      </c>
      <c r="D7" s="35">
        <v>43862</v>
      </c>
      <c r="E7" s="32" t="s">
        <v>80</v>
      </c>
      <c r="F7" s="150"/>
      <c r="H7" s="36"/>
      <c r="I7" s="28" t="s">
        <v>44</v>
      </c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2:21" x14ac:dyDescent="0.2">
      <c r="B8" s="29" t="s">
        <v>41</v>
      </c>
      <c r="C8" s="30" t="s">
        <v>85</v>
      </c>
      <c r="D8" s="35">
        <v>44166</v>
      </c>
      <c r="E8" s="32" t="s">
        <v>80</v>
      </c>
      <c r="F8" s="150"/>
      <c r="H8" s="37"/>
      <c r="I8" s="28" t="s">
        <v>86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2:21" ht="15" thickBot="1" x14ac:dyDescent="0.25">
      <c r="B9" s="29" t="s">
        <v>87</v>
      </c>
      <c r="C9" s="30" t="s">
        <v>88</v>
      </c>
      <c r="D9" s="35">
        <v>44044</v>
      </c>
      <c r="E9" s="32" t="s">
        <v>80</v>
      </c>
      <c r="F9" s="150"/>
      <c r="H9" s="38"/>
      <c r="I9" s="39" t="s">
        <v>10</v>
      </c>
    </row>
    <row r="10" spans="2:21" x14ac:dyDescent="0.2">
      <c r="B10" s="29" t="s">
        <v>89</v>
      </c>
      <c r="C10" s="30" t="s">
        <v>43</v>
      </c>
      <c r="D10" s="35">
        <v>44136</v>
      </c>
      <c r="E10" s="32" t="s">
        <v>80</v>
      </c>
      <c r="F10" s="150"/>
    </row>
    <row r="11" spans="2:21" x14ac:dyDescent="0.2">
      <c r="B11" s="29" t="s">
        <v>90</v>
      </c>
      <c r="C11" s="30" t="s">
        <v>45</v>
      </c>
      <c r="D11" s="35">
        <v>44013</v>
      </c>
      <c r="E11" s="32" t="s">
        <v>80</v>
      </c>
      <c r="F11" s="150"/>
    </row>
    <row r="12" spans="2:21" x14ac:dyDescent="0.2">
      <c r="B12" s="29" t="s">
        <v>91</v>
      </c>
      <c r="C12" s="30" t="s">
        <v>46</v>
      </c>
      <c r="D12" s="35">
        <v>44136</v>
      </c>
      <c r="E12" s="32" t="s">
        <v>79</v>
      </c>
      <c r="F12" s="150"/>
    </row>
    <row r="13" spans="2:21" x14ac:dyDescent="0.2">
      <c r="B13" s="29" t="s">
        <v>92</v>
      </c>
      <c r="C13" s="30" t="s">
        <v>93</v>
      </c>
      <c r="D13" s="35">
        <v>44136</v>
      </c>
      <c r="E13" s="32" t="s">
        <v>80</v>
      </c>
      <c r="F13" s="150"/>
    </row>
    <row r="14" spans="2:21" ht="15" thickBot="1" x14ac:dyDescent="0.25">
      <c r="B14" s="29" t="s">
        <v>94</v>
      </c>
      <c r="C14" s="30" t="s">
        <v>95</v>
      </c>
      <c r="D14" s="35">
        <v>44105</v>
      </c>
      <c r="E14" s="32" t="s">
        <v>80</v>
      </c>
      <c r="F14" s="150"/>
    </row>
    <row r="15" spans="2:21" ht="19.5" thickBot="1" x14ac:dyDescent="0.25">
      <c r="B15" s="29" t="s">
        <v>47</v>
      </c>
      <c r="C15" s="30" t="s">
        <v>48</v>
      </c>
      <c r="D15" s="35">
        <v>44105</v>
      </c>
      <c r="E15" s="32" t="s">
        <v>80</v>
      </c>
      <c r="F15" s="150"/>
      <c r="H15" s="196" t="s">
        <v>14</v>
      </c>
      <c r="I15" s="198"/>
    </row>
    <row r="16" spans="2:21" ht="15" x14ac:dyDescent="0.25">
      <c r="B16" s="29" t="s">
        <v>11</v>
      </c>
      <c r="C16" s="30" t="s">
        <v>49</v>
      </c>
      <c r="D16" s="35">
        <v>44166</v>
      </c>
      <c r="E16" s="32" t="s">
        <v>80</v>
      </c>
      <c r="F16" s="150"/>
      <c r="H16" s="48" t="s">
        <v>15</v>
      </c>
      <c r="I16" s="49" t="s">
        <v>52</v>
      </c>
    </row>
    <row r="17" spans="1:9" ht="15" x14ac:dyDescent="0.25">
      <c r="B17" s="29" t="s">
        <v>12</v>
      </c>
      <c r="C17" s="30" t="s">
        <v>50</v>
      </c>
      <c r="D17" s="35">
        <v>44166</v>
      </c>
      <c r="E17" s="32" t="s">
        <v>80</v>
      </c>
      <c r="F17" s="150"/>
      <c r="H17" s="52" t="s">
        <v>53</v>
      </c>
      <c r="I17" s="53" t="s">
        <v>16</v>
      </c>
    </row>
    <row r="18" spans="1:9" ht="15.75" thickBot="1" x14ac:dyDescent="0.3">
      <c r="B18" s="40" t="s">
        <v>13</v>
      </c>
      <c r="C18" s="41" t="s">
        <v>51</v>
      </c>
      <c r="D18" s="42">
        <v>44166</v>
      </c>
      <c r="E18" s="43" t="s">
        <v>80</v>
      </c>
      <c r="F18" s="150"/>
      <c r="H18" s="52" t="s">
        <v>17</v>
      </c>
      <c r="I18" s="53" t="s">
        <v>96</v>
      </c>
    </row>
    <row r="19" spans="1:9" ht="15.75" thickBot="1" x14ac:dyDescent="0.3">
      <c r="H19" s="56" t="s">
        <v>54</v>
      </c>
      <c r="I19" s="57">
        <v>2018</v>
      </c>
    </row>
    <row r="20" spans="1:9" ht="19.5" thickBot="1" x14ac:dyDescent="0.25">
      <c r="B20" s="199" t="s">
        <v>55</v>
      </c>
      <c r="C20" s="200"/>
      <c r="D20" s="200"/>
      <c r="E20" s="201"/>
      <c r="F20" s="151"/>
    </row>
    <row r="21" spans="1:9" ht="15" customHeight="1" x14ac:dyDescent="0.2">
      <c r="B21" s="44" t="s">
        <v>36</v>
      </c>
      <c r="C21" s="45" t="s">
        <v>6</v>
      </c>
      <c r="D21" s="46" t="s">
        <v>7</v>
      </c>
      <c r="E21" s="47" t="s">
        <v>76</v>
      </c>
      <c r="F21" s="47" t="s">
        <v>201</v>
      </c>
    </row>
    <row r="22" spans="1:9" ht="15" customHeight="1" x14ac:dyDescent="0.25">
      <c r="B22" s="50" t="s">
        <v>199</v>
      </c>
      <c r="C22" s="147" t="s">
        <v>200</v>
      </c>
      <c r="D22" s="59">
        <v>43952</v>
      </c>
      <c r="E22" s="32" t="s">
        <v>80</v>
      </c>
      <c r="F22" s="154" t="s">
        <v>202</v>
      </c>
    </row>
    <row r="23" spans="1:9" ht="15" customHeight="1" x14ac:dyDescent="0.25">
      <c r="B23" s="50" t="s">
        <v>204</v>
      </c>
      <c r="C23" s="155" t="s">
        <v>182</v>
      </c>
      <c r="D23" s="59">
        <v>43952</v>
      </c>
      <c r="E23" s="32" t="s">
        <v>80</v>
      </c>
      <c r="F23" s="154" t="s">
        <v>202</v>
      </c>
    </row>
    <row r="24" spans="1:9" ht="15" customHeight="1" x14ac:dyDescent="0.25">
      <c r="B24" s="157" t="s">
        <v>205</v>
      </c>
      <c r="C24" s="158" t="s">
        <v>212</v>
      </c>
      <c r="D24" s="159">
        <v>43952</v>
      </c>
      <c r="E24" s="160" t="s">
        <v>80</v>
      </c>
      <c r="F24" s="161" t="s">
        <v>203</v>
      </c>
    </row>
    <row r="25" spans="1:9" ht="15" customHeight="1" x14ac:dyDescent="0.25">
      <c r="B25" s="50" t="s">
        <v>206</v>
      </c>
      <c r="C25" s="58" t="s">
        <v>207</v>
      </c>
      <c r="D25" s="59">
        <v>43466</v>
      </c>
      <c r="E25" s="32" t="s">
        <v>80</v>
      </c>
      <c r="F25" s="154" t="s">
        <v>202</v>
      </c>
      <c r="H25" s="58" t="s">
        <v>208</v>
      </c>
    </row>
    <row r="26" spans="1:9" ht="15" customHeight="1" x14ac:dyDescent="0.25">
      <c r="B26" s="50" t="s">
        <v>57</v>
      </c>
      <c r="C26" s="60" t="s">
        <v>58</v>
      </c>
      <c r="D26" s="59">
        <v>43952</v>
      </c>
      <c r="E26" s="32" t="s">
        <v>80</v>
      </c>
      <c r="F26" s="156" t="s">
        <v>202</v>
      </c>
      <c r="H26" s="5" t="s">
        <v>211</v>
      </c>
    </row>
    <row r="27" spans="1:9" ht="15" customHeight="1" x14ac:dyDescent="0.25">
      <c r="B27" s="157" t="s">
        <v>210</v>
      </c>
      <c r="C27" s="162" t="s">
        <v>209</v>
      </c>
      <c r="D27" s="159">
        <v>43983</v>
      </c>
      <c r="E27" s="160" t="s">
        <v>80</v>
      </c>
      <c r="F27" s="161" t="s">
        <v>203</v>
      </c>
    </row>
    <row r="28" spans="1:9" ht="15" customHeight="1" x14ac:dyDescent="0.25">
      <c r="B28" s="50" t="s">
        <v>97</v>
      </c>
      <c r="C28" s="60" t="s">
        <v>98</v>
      </c>
      <c r="D28" s="59">
        <v>43983</v>
      </c>
      <c r="E28" s="32" t="s">
        <v>80</v>
      </c>
      <c r="F28" s="154" t="s">
        <v>202</v>
      </c>
    </row>
    <row r="29" spans="1:9" ht="15" customHeight="1" x14ac:dyDescent="0.2">
      <c r="A29" s="150"/>
      <c r="B29" s="150"/>
      <c r="C29" s="150"/>
      <c r="D29" s="150"/>
      <c r="E29" s="150"/>
      <c r="F29" s="150"/>
    </row>
    <row r="30" spans="1:9" x14ac:dyDescent="0.2">
      <c r="A30" s="150"/>
      <c r="B30" s="150"/>
      <c r="C30" s="150"/>
      <c r="D30" s="150"/>
      <c r="E30" s="150"/>
      <c r="F30" s="150"/>
    </row>
    <row r="31" spans="1:9" x14ac:dyDescent="0.2">
      <c r="A31" s="150"/>
      <c r="B31" s="150"/>
      <c r="C31" s="150"/>
      <c r="D31" s="150"/>
      <c r="E31" s="150"/>
      <c r="F31" s="150"/>
    </row>
    <row r="32" spans="1:9" x14ac:dyDescent="0.2">
      <c r="A32" s="150"/>
      <c r="B32" s="150"/>
      <c r="C32" s="150"/>
      <c r="D32" s="150"/>
      <c r="E32" s="150"/>
      <c r="F32" s="150"/>
    </row>
    <row r="33" spans="1:9" x14ac:dyDescent="0.2">
      <c r="A33" s="150"/>
      <c r="B33" s="150"/>
      <c r="C33" s="150"/>
      <c r="D33" s="150"/>
      <c r="E33" s="150"/>
      <c r="F33" s="150"/>
    </row>
    <row r="34" spans="1:9" x14ac:dyDescent="0.2">
      <c r="A34" s="150"/>
      <c r="B34" s="150"/>
      <c r="C34" s="150"/>
      <c r="D34" s="150"/>
      <c r="E34" s="150"/>
      <c r="F34" s="150"/>
    </row>
    <row r="35" spans="1:9" x14ac:dyDescent="0.2">
      <c r="A35" s="150"/>
      <c r="B35" s="150"/>
      <c r="C35" s="150"/>
      <c r="D35" s="150"/>
      <c r="E35" s="150"/>
      <c r="F35" s="150"/>
    </row>
    <row r="36" spans="1:9" x14ac:dyDescent="0.2">
      <c r="A36" s="150"/>
      <c r="B36" s="150"/>
      <c r="C36" s="150"/>
      <c r="D36" s="150"/>
      <c r="E36" s="150"/>
      <c r="F36" s="150"/>
    </row>
    <row r="37" spans="1:9" ht="15" thickBot="1" x14ac:dyDescent="0.25"/>
    <row r="38" spans="1:9" ht="19.5" thickBot="1" x14ac:dyDescent="0.25">
      <c r="B38" s="196" t="s">
        <v>59</v>
      </c>
      <c r="C38" s="197"/>
      <c r="D38" s="197"/>
      <c r="E38" s="198"/>
      <c r="F38" s="148"/>
      <c r="H38" s="202" t="s">
        <v>56</v>
      </c>
      <c r="I38" s="203"/>
    </row>
    <row r="39" spans="1:9" ht="15" x14ac:dyDescent="0.25">
      <c r="B39" s="61" t="s">
        <v>60</v>
      </c>
      <c r="C39" s="62" t="s">
        <v>6</v>
      </c>
      <c r="D39" s="63" t="s">
        <v>7</v>
      </c>
      <c r="E39" s="63" t="s">
        <v>76</v>
      </c>
      <c r="F39" s="149"/>
      <c r="H39" s="64" t="s">
        <v>18</v>
      </c>
      <c r="I39" s="64" t="s">
        <v>99</v>
      </c>
    </row>
    <row r="40" spans="1:9" ht="15" x14ac:dyDescent="0.25">
      <c r="B40" s="64" t="s">
        <v>19</v>
      </c>
      <c r="C40" s="51" t="s">
        <v>100</v>
      </c>
      <c r="D40" s="65">
        <v>44166</v>
      </c>
      <c r="E40" s="66" t="s">
        <v>80</v>
      </c>
      <c r="F40" s="153"/>
      <c r="H40" s="54"/>
      <c r="I40" s="54"/>
    </row>
    <row r="41" spans="1:9" ht="15" x14ac:dyDescent="0.25">
      <c r="B41" s="64"/>
      <c r="C41" s="54"/>
      <c r="D41" s="54"/>
      <c r="E41" s="55"/>
      <c r="F41" s="152"/>
      <c r="H41" s="54"/>
      <c r="I41" s="54"/>
    </row>
    <row r="42" spans="1:9" ht="15" x14ac:dyDescent="0.25">
      <c r="B42" s="67"/>
      <c r="E42" s="68"/>
      <c r="F42" s="68"/>
      <c r="H42" s="54"/>
      <c r="I42" s="54"/>
    </row>
    <row r="43" spans="1:9" ht="15" x14ac:dyDescent="0.25">
      <c r="B43" s="67"/>
      <c r="C43" s="69"/>
      <c r="D43" s="69"/>
      <c r="E43" s="70"/>
      <c r="F43" s="70"/>
      <c r="H43" s="54"/>
      <c r="I43" s="54"/>
    </row>
    <row r="44" spans="1:9" ht="15" x14ac:dyDescent="0.25">
      <c r="B44" s="67"/>
      <c r="C44" s="69"/>
      <c r="D44" s="69"/>
      <c r="E44" s="70"/>
      <c r="F44" s="70"/>
      <c r="H44" s="54"/>
      <c r="I44" s="54"/>
    </row>
    <row r="45" spans="1:9" x14ac:dyDescent="0.2">
      <c r="H45" s="54"/>
      <c r="I45" s="54"/>
    </row>
  </sheetData>
  <mergeCells count="6">
    <mergeCell ref="B2:E2"/>
    <mergeCell ref="H2:I2"/>
    <mergeCell ref="B20:E20"/>
    <mergeCell ref="H15:I15"/>
    <mergeCell ref="B38:E38"/>
    <mergeCell ref="H38:I38"/>
  </mergeCells>
  <hyperlinks>
    <hyperlink ref="C22" r:id="rId1" xr:uid="{9D97BC3C-B4D2-4506-8CFC-A3E5927AAC5F}"/>
    <hyperlink ref="C23" r:id="rId2" xr:uid="{FBAC4B9D-D0CB-4BD4-BC18-200BE6892338}"/>
    <hyperlink ref="C28" r:id="rId3" xr:uid="{E672637D-1E23-491A-BFE4-80F834BC4B95}"/>
    <hyperlink ref="C26" r:id="rId4" xr:uid="{60161292-23D6-4BE6-8844-1ED64BFDC499}"/>
    <hyperlink ref="C27" r:id="rId5" xr:uid="{46B64FEE-7460-437F-8951-0FFFF029BDE5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Z50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4" style="80" customWidth="1"/>
    <col min="2" max="2" width="19.85546875" style="80" bestFit="1" customWidth="1"/>
    <col min="3" max="3" width="33.42578125" style="80" customWidth="1"/>
    <col min="4" max="8" width="10.7109375" style="80" customWidth="1"/>
    <col min="9" max="9" width="2" style="80" bestFit="1" customWidth="1"/>
    <col min="10" max="11" width="18.85546875" style="80" customWidth="1"/>
    <col min="12" max="12" width="6.42578125" style="80" bestFit="1" customWidth="1"/>
    <col min="13" max="14" width="9.140625" style="80"/>
    <col min="15" max="15" width="9.5703125" style="80" bestFit="1" customWidth="1"/>
    <col min="16" max="16" width="9.140625" style="80"/>
    <col min="17" max="21" width="11.140625" style="80" customWidth="1"/>
    <col min="22" max="16384" width="9.140625" style="80"/>
  </cols>
  <sheetData>
    <row r="1" spans="1:21" ht="21" x14ac:dyDescent="0.2">
      <c r="A1" s="72" t="s">
        <v>71</v>
      </c>
      <c r="B1" s="73"/>
    </row>
    <row r="2" spans="1:21" ht="18.75" x14ac:dyDescent="0.2">
      <c r="A2" s="74" t="s">
        <v>72</v>
      </c>
    </row>
    <row r="4" spans="1:21" ht="15" x14ac:dyDescent="0.2">
      <c r="A4" s="71" t="s">
        <v>21</v>
      </c>
      <c r="C4" s="82"/>
      <c r="D4" s="82"/>
      <c r="F4" s="75"/>
      <c r="G4" s="75"/>
      <c r="K4" s="71" t="s">
        <v>20</v>
      </c>
      <c r="Q4" s="85" t="s">
        <v>117</v>
      </c>
    </row>
    <row r="5" spans="1:21" ht="15.75" thickBot="1" x14ac:dyDescent="0.25">
      <c r="A5" s="4" t="s">
        <v>26</v>
      </c>
      <c r="B5" s="4" t="s">
        <v>22</v>
      </c>
      <c r="C5" s="4" t="s">
        <v>23</v>
      </c>
      <c r="D5" s="4" t="s">
        <v>27</v>
      </c>
      <c r="E5" s="4" t="s">
        <v>28</v>
      </c>
      <c r="F5" s="4" t="s">
        <v>73</v>
      </c>
      <c r="G5" s="4" t="s">
        <v>29</v>
      </c>
      <c r="H5" s="4" t="s">
        <v>62</v>
      </c>
      <c r="I5" s="76"/>
      <c r="J5" s="4" t="s">
        <v>22</v>
      </c>
      <c r="K5" s="4" t="s">
        <v>24</v>
      </c>
      <c r="L5" s="4" t="s">
        <v>61</v>
      </c>
      <c r="M5" s="4" t="s">
        <v>25</v>
      </c>
      <c r="N5" s="4" t="s">
        <v>68</v>
      </c>
      <c r="O5" s="4" t="s">
        <v>112</v>
      </c>
      <c r="Q5" s="79" t="s">
        <v>105</v>
      </c>
      <c r="R5" s="79" t="s">
        <v>111</v>
      </c>
      <c r="S5" s="79" t="s">
        <v>113</v>
      </c>
      <c r="T5" s="204" t="s">
        <v>114</v>
      </c>
      <c r="U5" s="204"/>
    </row>
    <row r="6" spans="1:21" ht="38.25" x14ac:dyDescent="0.2">
      <c r="A6" s="78" t="s">
        <v>63</v>
      </c>
      <c r="B6" s="78" t="s">
        <v>64</v>
      </c>
      <c r="C6" s="78" t="s">
        <v>31</v>
      </c>
      <c r="D6" s="78" t="s">
        <v>65</v>
      </c>
      <c r="E6" s="78" t="s">
        <v>66</v>
      </c>
      <c r="F6" s="78" t="s">
        <v>103</v>
      </c>
      <c r="G6" s="78" t="s">
        <v>104</v>
      </c>
      <c r="H6" s="78" t="s">
        <v>67</v>
      </c>
      <c r="I6" s="76"/>
      <c r="J6" s="77" t="s">
        <v>102</v>
      </c>
      <c r="K6" s="77" t="s">
        <v>6</v>
      </c>
      <c r="L6" s="77"/>
      <c r="M6" s="77" t="s">
        <v>69</v>
      </c>
      <c r="N6" s="77" t="s">
        <v>116</v>
      </c>
      <c r="O6" s="139" t="s">
        <v>115</v>
      </c>
      <c r="Q6" s="84"/>
      <c r="R6" s="84"/>
      <c r="S6" s="84" t="s">
        <v>101</v>
      </c>
      <c r="T6" s="84" t="s">
        <v>32</v>
      </c>
      <c r="U6" s="84" t="s">
        <v>101</v>
      </c>
    </row>
    <row r="7" spans="1:21" ht="15" x14ac:dyDescent="0.2">
      <c r="A7" s="75" t="s">
        <v>30</v>
      </c>
      <c r="B7" s="75" t="str">
        <f t="shared" ref="B7:B12" si="0">"R-RTFT-"&amp;Q7&amp;"_"&amp;R7</f>
        <v>R-RTFT-Apt_Shallow</v>
      </c>
      <c r="C7" s="75" t="str">
        <f t="shared" ref="C7:C12" si="1">"Residential "&amp;Q7&amp;" - "&amp;R7&amp;" retrofit"</f>
        <v>Residential Apt - Shallow retrofit</v>
      </c>
      <c r="D7" s="75" t="s">
        <v>16</v>
      </c>
      <c r="E7" s="75" t="s">
        <v>70</v>
      </c>
      <c r="F7" s="75" t="s">
        <v>196</v>
      </c>
      <c r="G7" s="75"/>
      <c r="H7" s="75"/>
      <c r="I7" s="75"/>
      <c r="J7" s="75" t="str">
        <f t="shared" ref="J7:J12" si="2">B7</f>
        <v>R-RTFT-Apt_Shallow</v>
      </c>
      <c r="K7" s="75" t="str">
        <f>"RSDSH_"&amp;Q7</f>
        <v>RSDSH_Apt</v>
      </c>
      <c r="L7" s="75">
        <v>2020</v>
      </c>
      <c r="M7" s="75">
        <v>50</v>
      </c>
      <c r="N7" s="75">
        <f>U7</f>
        <v>3.4901289446216035E-3</v>
      </c>
      <c r="O7" s="140">
        <f>Data!U59/1000</f>
        <v>11.196414691601362</v>
      </c>
      <c r="Q7" s="80" t="s">
        <v>106</v>
      </c>
      <c r="R7" s="80" t="s">
        <v>109</v>
      </c>
      <c r="S7" s="80">
        <v>1.6E-2</v>
      </c>
      <c r="T7" s="142">
        <f>Data!X59</f>
        <v>0.21813305903885022</v>
      </c>
      <c r="U7" s="80">
        <f>S7*T7</f>
        <v>3.4901289446216035E-3</v>
      </c>
    </row>
    <row r="8" spans="1:21" ht="15" x14ac:dyDescent="0.2">
      <c r="A8" s="83" t="s">
        <v>30</v>
      </c>
      <c r="B8" s="83" t="str">
        <f t="shared" si="0"/>
        <v>R-RTFT-Apt_Deep</v>
      </c>
      <c r="C8" s="83" t="str">
        <f t="shared" si="1"/>
        <v>Residential Apt - Deep retrofit</v>
      </c>
      <c r="D8" s="83" t="s">
        <v>16</v>
      </c>
      <c r="E8" s="83" t="s">
        <v>70</v>
      </c>
      <c r="F8" s="83" t="s">
        <v>196</v>
      </c>
      <c r="G8" s="83"/>
      <c r="H8" s="83"/>
      <c r="I8" s="75"/>
      <c r="J8" s="83" t="str">
        <f t="shared" si="2"/>
        <v>R-RTFT-Apt_Deep</v>
      </c>
      <c r="K8" s="83" t="str">
        <f t="shared" ref="K8:K12" si="3">"RSDSH_"&amp;Q8</f>
        <v>RSDSH_Apt</v>
      </c>
      <c r="L8" s="83">
        <v>2020</v>
      </c>
      <c r="M8" s="83">
        <v>50</v>
      </c>
      <c r="N8" s="83">
        <f t="shared" ref="N8:N12" si="4">U8</f>
        <v>5.8180441437599775E-3</v>
      </c>
      <c r="O8" s="141">
        <f>Data!U60/1000</f>
        <v>15.982779351113084</v>
      </c>
      <c r="Q8" s="81" t="s">
        <v>106</v>
      </c>
      <c r="R8" s="81" t="s">
        <v>110</v>
      </c>
      <c r="S8" s="81">
        <v>1.6E-2</v>
      </c>
      <c r="T8" s="143">
        <f>Data!X60</f>
        <v>0.36362775898499861</v>
      </c>
      <c r="U8" s="81">
        <f t="shared" ref="U8:U12" si="5">S8*T8</f>
        <v>5.8180441437599775E-3</v>
      </c>
    </row>
    <row r="9" spans="1:21" ht="15" x14ac:dyDescent="0.2">
      <c r="A9" s="75" t="s">
        <v>30</v>
      </c>
      <c r="B9" s="75" t="str">
        <f t="shared" si="0"/>
        <v>R-RTFT-Att_Shallow</v>
      </c>
      <c r="C9" s="75" t="str">
        <f t="shared" si="1"/>
        <v>Residential Att - Shallow retrofit</v>
      </c>
      <c r="D9" s="75" t="s">
        <v>16</v>
      </c>
      <c r="E9" s="75" t="s">
        <v>70</v>
      </c>
      <c r="F9" s="75" t="s">
        <v>196</v>
      </c>
      <c r="G9" s="75"/>
      <c r="H9" s="75"/>
      <c r="I9" s="75"/>
      <c r="J9" s="75" t="str">
        <f t="shared" si="2"/>
        <v>R-RTFT-Att_Shallow</v>
      </c>
      <c r="K9" s="75" t="str">
        <f t="shared" si="3"/>
        <v>RSDSH_Att</v>
      </c>
      <c r="L9" s="75">
        <v>2020</v>
      </c>
      <c r="M9" s="75">
        <v>50</v>
      </c>
      <c r="N9" s="75">
        <f t="shared" si="4"/>
        <v>5.4263583940724319E-3</v>
      </c>
      <c r="O9" s="140">
        <f>Data!S59/1000</f>
        <v>9.6084735804205188</v>
      </c>
      <c r="Q9" s="80" t="s">
        <v>107</v>
      </c>
      <c r="R9" s="80" t="s">
        <v>109</v>
      </c>
      <c r="S9" s="80">
        <v>2.69E-2</v>
      </c>
      <c r="T9" s="142">
        <f>Data!V59</f>
        <v>0.20172336037443986</v>
      </c>
      <c r="U9" s="80">
        <f t="shared" si="5"/>
        <v>5.4263583940724319E-3</v>
      </c>
    </row>
    <row r="10" spans="1:21" ht="15" x14ac:dyDescent="0.2">
      <c r="A10" s="83" t="s">
        <v>30</v>
      </c>
      <c r="B10" s="83" t="str">
        <f t="shared" si="0"/>
        <v>R-RTFT-Att_Deep</v>
      </c>
      <c r="C10" s="83" t="str">
        <f t="shared" si="1"/>
        <v>Residential Att - Deep retrofit</v>
      </c>
      <c r="D10" s="83" t="s">
        <v>16</v>
      </c>
      <c r="E10" s="83" t="s">
        <v>70</v>
      </c>
      <c r="F10" s="83" t="s">
        <v>196</v>
      </c>
      <c r="G10" s="83"/>
      <c r="H10" s="83"/>
      <c r="I10" s="75"/>
      <c r="J10" s="83" t="str">
        <f t="shared" si="2"/>
        <v>R-RTFT-Att_Deep</v>
      </c>
      <c r="K10" s="83" t="str">
        <f t="shared" si="3"/>
        <v>RSDSH_Att</v>
      </c>
      <c r="L10" s="83">
        <v>2020</v>
      </c>
      <c r="M10" s="83">
        <v>50</v>
      </c>
      <c r="N10" s="83">
        <f t="shared" si="4"/>
        <v>1.1290389448443587E-2</v>
      </c>
      <c r="O10" s="141">
        <f>Data!S60/1000</f>
        <v>20.5630239417189</v>
      </c>
      <c r="Q10" s="81" t="s">
        <v>107</v>
      </c>
      <c r="R10" s="81" t="s">
        <v>110</v>
      </c>
      <c r="S10" s="81">
        <v>2.69E-2</v>
      </c>
      <c r="T10" s="143">
        <f>Data!V60</f>
        <v>0.41971707986779133</v>
      </c>
      <c r="U10" s="81">
        <f t="shared" si="5"/>
        <v>1.1290389448443587E-2</v>
      </c>
    </row>
    <row r="11" spans="1:21" ht="15" x14ac:dyDescent="0.2">
      <c r="A11" s="75" t="s">
        <v>30</v>
      </c>
      <c r="B11" s="75" t="str">
        <f t="shared" si="0"/>
        <v>R-RTFT-Det_Shallow</v>
      </c>
      <c r="C11" s="75" t="str">
        <f t="shared" si="1"/>
        <v>Residential Det - Shallow retrofit</v>
      </c>
      <c r="D11" s="75" t="s">
        <v>16</v>
      </c>
      <c r="E11" s="75" t="s">
        <v>70</v>
      </c>
      <c r="F11" s="75" t="s">
        <v>196</v>
      </c>
      <c r="G11" s="75"/>
      <c r="H11" s="75"/>
      <c r="I11" s="75"/>
      <c r="J11" s="75" t="str">
        <f t="shared" si="2"/>
        <v>R-RTFT-Det_Shallow</v>
      </c>
      <c r="K11" s="75" t="str">
        <f t="shared" si="3"/>
        <v>RSDSH_Det</v>
      </c>
      <c r="L11" s="75">
        <v>2020</v>
      </c>
      <c r="M11" s="75">
        <v>50</v>
      </c>
      <c r="N11" s="75">
        <f t="shared" si="4"/>
        <v>9.5809185652412903E-3</v>
      </c>
      <c r="O11" s="140">
        <f>Data!T59/1000</f>
        <v>14.333869646601945</v>
      </c>
      <c r="Q11" s="80" t="s">
        <v>108</v>
      </c>
      <c r="R11" s="80" t="s">
        <v>109</v>
      </c>
      <c r="S11" s="80">
        <v>4.7899999999999998E-2</v>
      </c>
      <c r="T11" s="142">
        <f>Data!W59</f>
        <v>0.2000191767273756</v>
      </c>
      <c r="U11" s="80">
        <f t="shared" si="5"/>
        <v>9.5809185652412903E-3</v>
      </c>
    </row>
    <row r="12" spans="1:21" ht="15" x14ac:dyDescent="0.2">
      <c r="A12" s="83" t="s">
        <v>30</v>
      </c>
      <c r="B12" s="83" t="str">
        <f t="shared" si="0"/>
        <v>R-RTFT-Det_Deep</v>
      </c>
      <c r="C12" s="83" t="str">
        <f t="shared" si="1"/>
        <v>Residential Det - Deep retrofit</v>
      </c>
      <c r="D12" s="83" t="s">
        <v>16</v>
      </c>
      <c r="E12" s="83" t="s">
        <v>70</v>
      </c>
      <c r="F12" s="83" t="s">
        <v>196</v>
      </c>
      <c r="G12" s="83"/>
      <c r="H12" s="83"/>
      <c r="I12" s="75"/>
      <c r="J12" s="83" t="str">
        <f t="shared" si="2"/>
        <v>R-RTFT-Det_Deep</v>
      </c>
      <c r="K12" s="83" t="str">
        <f t="shared" si="3"/>
        <v>RSDSH_Det</v>
      </c>
      <c r="L12" s="83">
        <v>2020</v>
      </c>
      <c r="M12" s="83">
        <v>50</v>
      </c>
      <c r="N12" s="83">
        <f t="shared" si="4"/>
        <v>2.0465578709164201E-2</v>
      </c>
      <c r="O12" s="141">
        <f>Data!T60/1000</f>
        <v>22.25938755708523</v>
      </c>
      <c r="Q12" s="81" t="s">
        <v>108</v>
      </c>
      <c r="R12" s="81" t="s">
        <v>110</v>
      </c>
      <c r="S12" s="81">
        <v>4.7899999999999998E-2</v>
      </c>
      <c r="T12" s="143">
        <f>Data!W60</f>
        <v>0.42725634048359507</v>
      </c>
      <c r="U12" s="81">
        <f t="shared" si="5"/>
        <v>2.0465578709164201E-2</v>
      </c>
    </row>
    <row r="19" spans="22:26" x14ac:dyDescent="0.2">
      <c r="V19"/>
      <c r="W19"/>
      <c r="X19"/>
      <c r="Y19"/>
      <c r="Z19"/>
    </row>
    <row r="20" spans="22:26" x14ac:dyDescent="0.2">
      <c r="V20"/>
      <c r="W20"/>
      <c r="X20"/>
      <c r="Y20"/>
      <c r="Z20"/>
    </row>
    <row r="21" spans="22:26" x14ac:dyDescent="0.2">
      <c r="V21"/>
      <c r="W21"/>
      <c r="X21"/>
      <c r="Y21"/>
      <c r="Z21"/>
    </row>
    <row r="22" spans="22:26" x14ac:dyDescent="0.2">
      <c r="V22"/>
      <c r="W22"/>
      <c r="X22"/>
      <c r="Y22"/>
      <c r="Z22"/>
    </row>
    <row r="23" spans="22:26" x14ac:dyDescent="0.2">
      <c r="V23"/>
      <c r="W23"/>
      <c r="X23"/>
      <c r="Y23"/>
      <c r="Z23"/>
    </row>
    <row r="24" spans="22:26" x14ac:dyDescent="0.2">
      <c r="V24"/>
      <c r="W24"/>
      <c r="X24"/>
      <c r="Y24"/>
      <c r="Z24"/>
    </row>
    <row r="25" spans="22:26" x14ac:dyDescent="0.2">
      <c r="V25"/>
      <c r="W25"/>
      <c r="X25"/>
      <c r="Y25"/>
      <c r="Z25"/>
    </row>
    <row r="26" spans="22:26" x14ac:dyDescent="0.2">
      <c r="V26"/>
      <c r="W26"/>
      <c r="X26"/>
      <c r="Y26"/>
      <c r="Z26"/>
    </row>
    <row r="27" spans="22:26" x14ac:dyDescent="0.2">
      <c r="V27"/>
      <c r="W27"/>
      <c r="X27"/>
      <c r="Y27"/>
      <c r="Z27"/>
    </row>
    <row r="28" spans="22:26" x14ac:dyDescent="0.2">
      <c r="V28"/>
      <c r="W28"/>
      <c r="X28"/>
      <c r="Y28"/>
      <c r="Z28"/>
    </row>
    <row r="29" spans="22:26" x14ac:dyDescent="0.2">
      <c r="V29"/>
      <c r="W29"/>
      <c r="X29"/>
      <c r="Y29"/>
      <c r="Z29"/>
    </row>
    <row r="30" spans="22:26" x14ac:dyDescent="0.2">
      <c r="V30"/>
      <c r="W30"/>
      <c r="X30"/>
      <c r="Y30"/>
      <c r="Z30"/>
    </row>
    <row r="31" spans="22:26" x14ac:dyDescent="0.2">
      <c r="V31"/>
      <c r="W31"/>
      <c r="X31"/>
      <c r="Y31"/>
      <c r="Z31"/>
    </row>
    <row r="32" spans="22:26" x14ac:dyDescent="0.2">
      <c r="V32"/>
      <c r="W32"/>
      <c r="X32"/>
      <c r="Y32"/>
      <c r="Z32"/>
    </row>
    <row r="33" spans="22:26" x14ac:dyDescent="0.2">
      <c r="V33"/>
      <c r="W33"/>
      <c r="X33"/>
      <c r="Y33"/>
      <c r="Z33"/>
    </row>
    <row r="34" spans="22:26" x14ac:dyDescent="0.2">
      <c r="V34"/>
      <c r="W34"/>
      <c r="X34"/>
      <c r="Y34"/>
      <c r="Z34"/>
    </row>
    <row r="35" spans="22:26" x14ac:dyDescent="0.2">
      <c r="V35"/>
      <c r="W35"/>
      <c r="X35"/>
      <c r="Y35"/>
      <c r="Z35"/>
    </row>
    <row r="36" spans="22:26" x14ac:dyDescent="0.2">
      <c r="V36"/>
      <c r="W36"/>
      <c r="X36"/>
      <c r="Y36"/>
      <c r="Z36"/>
    </row>
    <row r="37" spans="22:26" x14ac:dyDescent="0.2">
      <c r="V37"/>
      <c r="W37"/>
      <c r="X37"/>
      <c r="Y37"/>
      <c r="Z37"/>
    </row>
    <row r="38" spans="22:26" x14ac:dyDescent="0.2">
      <c r="V38"/>
      <c r="W38"/>
      <c r="X38"/>
      <c r="Y38"/>
      <c r="Z38"/>
    </row>
    <row r="39" spans="22:26" x14ac:dyDescent="0.2">
      <c r="V39"/>
      <c r="W39"/>
      <c r="X39"/>
      <c r="Y39"/>
      <c r="Z39"/>
    </row>
    <row r="40" spans="22:26" x14ac:dyDescent="0.2">
      <c r="V40"/>
      <c r="W40"/>
      <c r="X40"/>
      <c r="Y40"/>
      <c r="Z40"/>
    </row>
    <row r="41" spans="22:26" x14ac:dyDescent="0.2">
      <c r="V41"/>
      <c r="W41"/>
      <c r="X41"/>
      <c r="Y41"/>
      <c r="Z41"/>
    </row>
    <row r="42" spans="22:26" x14ac:dyDescent="0.2">
      <c r="V42"/>
      <c r="W42"/>
      <c r="X42"/>
      <c r="Y42"/>
      <c r="Z42"/>
    </row>
    <row r="43" spans="22:26" x14ac:dyDescent="0.2">
      <c r="V43"/>
      <c r="W43"/>
      <c r="X43"/>
      <c r="Y43"/>
      <c r="Z43"/>
    </row>
    <row r="44" spans="22:26" x14ac:dyDescent="0.2">
      <c r="V44"/>
      <c r="W44"/>
      <c r="X44"/>
      <c r="Y44"/>
      <c r="Z44"/>
    </row>
    <row r="45" spans="22:26" x14ac:dyDescent="0.2">
      <c r="V45"/>
      <c r="W45"/>
      <c r="X45"/>
      <c r="Y45"/>
      <c r="Z45"/>
    </row>
    <row r="46" spans="22:26" x14ac:dyDescent="0.2">
      <c r="V46"/>
      <c r="W46"/>
      <c r="X46"/>
      <c r="Y46"/>
      <c r="Z46"/>
    </row>
    <row r="47" spans="22:26" x14ac:dyDescent="0.2">
      <c r="V47"/>
      <c r="W47"/>
      <c r="X47"/>
      <c r="Y47"/>
      <c r="Z47"/>
    </row>
    <row r="48" spans="22:26" x14ac:dyDescent="0.2">
      <c r="V48"/>
      <c r="W48"/>
      <c r="X48"/>
      <c r="Y48"/>
      <c r="Z48"/>
    </row>
    <row r="49" spans="18:26" x14ac:dyDescent="0.2">
      <c r="V49"/>
      <c r="W49"/>
      <c r="X49"/>
      <c r="Y49"/>
      <c r="Z49"/>
    </row>
    <row r="50" spans="18:26" x14ac:dyDescent="0.2">
      <c r="R50"/>
      <c r="U50"/>
      <c r="V50"/>
      <c r="W50"/>
      <c r="X50"/>
      <c r="Y50"/>
      <c r="Z50"/>
    </row>
  </sheetData>
  <mergeCells count="1">
    <mergeCell ref="T5:U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P60"/>
  <sheetViews>
    <sheetView tabSelected="1" zoomScaleNormal="100" workbookViewId="0">
      <selection activeCell="O17" sqref="O17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  <col min="40" max="40" width="10.5703125" bestFit="1" customWidth="1"/>
    <col min="41" max="41" width="9" bestFit="1" customWidth="1"/>
    <col min="42" max="42" width="9.42578125" bestFit="1" customWidth="1"/>
  </cols>
  <sheetData>
    <row r="1" spans="3:42" ht="13.5" thickBot="1" x14ac:dyDescent="0.25"/>
    <row r="2" spans="3:42" ht="15.75" thickBot="1" x14ac:dyDescent="0.25">
      <c r="L2" s="208" t="s">
        <v>175</v>
      </c>
      <c r="M2" s="209"/>
      <c r="N2" s="210"/>
      <c r="O2" s="208" t="s">
        <v>176</v>
      </c>
      <c r="P2" s="209"/>
      <c r="Q2" s="210"/>
      <c r="R2" s="208" t="s">
        <v>186</v>
      </c>
      <c r="S2" s="209"/>
      <c r="T2" s="210"/>
      <c r="AD2" s="118" t="s">
        <v>179</v>
      </c>
    </row>
    <row r="3" spans="3:42" ht="21.75" thickBot="1" x14ac:dyDescent="0.25">
      <c r="C3" s="207" t="s">
        <v>164</v>
      </c>
      <c r="D3" s="207"/>
      <c r="E3" s="207"/>
      <c r="F3" s="207"/>
      <c r="G3" s="207"/>
      <c r="L3" s="88" t="s">
        <v>165</v>
      </c>
      <c r="M3" s="88" t="s">
        <v>166</v>
      </c>
      <c r="N3" s="88" t="s">
        <v>167</v>
      </c>
      <c r="O3" s="88" t="s">
        <v>165</v>
      </c>
      <c r="P3" s="88" t="s">
        <v>166</v>
      </c>
      <c r="Q3" s="88" t="s">
        <v>167</v>
      </c>
      <c r="R3" s="88" t="s">
        <v>165</v>
      </c>
      <c r="S3" s="88" t="s">
        <v>166</v>
      </c>
      <c r="T3" s="88" t="s">
        <v>167</v>
      </c>
      <c r="U3" s="88" t="s">
        <v>187</v>
      </c>
      <c r="Y3" s="119"/>
      <c r="AB3" s="5" t="s">
        <v>107</v>
      </c>
      <c r="AC3" s="5" t="s">
        <v>108</v>
      </c>
      <c r="AD3" s="5" t="s">
        <v>106</v>
      </c>
      <c r="AE3" t="s">
        <v>189</v>
      </c>
      <c r="AF3" s="5" t="s">
        <v>108</v>
      </c>
      <c r="AG3" s="5" t="s">
        <v>106</v>
      </c>
      <c r="AH3" s="5" t="s">
        <v>107</v>
      </c>
      <c r="AI3" s="5" t="s">
        <v>107</v>
      </c>
      <c r="AM3" s="181" t="s">
        <v>175</v>
      </c>
      <c r="AN3" s="181"/>
      <c r="AO3" s="176"/>
      <c r="AP3" s="176"/>
    </row>
    <row r="4" spans="3:42" ht="15.75" thickBot="1" x14ac:dyDescent="0.25">
      <c r="C4" s="89" t="s">
        <v>168</v>
      </c>
      <c r="D4" s="88" t="s">
        <v>166</v>
      </c>
      <c r="E4" s="88" t="s">
        <v>167</v>
      </c>
      <c r="F4" s="88" t="s">
        <v>165</v>
      </c>
      <c r="G4" s="90" t="s">
        <v>169</v>
      </c>
      <c r="K4" s="91" t="s">
        <v>119</v>
      </c>
      <c r="L4" s="92">
        <v>1.4285714285714286</v>
      </c>
      <c r="M4" s="92">
        <v>1.375</v>
      </c>
      <c r="N4" s="92">
        <v>1.3478893740902476</v>
      </c>
      <c r="O4" s="93">
        <v>13455.569795438192</v>
      </c>
      <c r="P4" s="93">
        <v>21274.101374868016</v>
      </c>
      <c r="Q4" s="94">
        <v>27468.241730097478</v>
      </c>
      <c r="R4" s="93">
        <v>52.179898737999999</v>
      </c>
      <c r="S4" s="93">
        <v>54.365575896999999</v>
      </c>
      <c r="T4" s="94">
        <v>56</v>
      </c>
      <c r="U4" s="124">
        <f>AVERAGE(R4:T4)</f>
        <v>54.181824878333337</v>
      </c>
      <c r="V4" s="187">
        <f>AVERAGE(AN5:AP5)</f>
        <v>1.383820267553892</v>
      </c>
      <c r="W4" s="187">
        <f>SUM(U4*V4)</f>
        <v>74.977907399693365</v>
      </c>
      <c r="Y4" s="120"/>
      <c r="AN4" s="88" t="s">
        <v>165</v>
      </c>
      <c r="AO4" s="88" t="s">
        <v>166</v>
      </c>
      <c r="AP4" s="88" t="s">
        <v>167</v>
      </c>
    </row>
    <row r="5" spans="3:42" ht="15.75" thickBot="1" x14ac:dyDescent="0.25">
      <c r="C5" s="91" t="s">
        <v>119</v>
      </c>
      <c r="D5" s="93">
        <v>15472.073727176739</v>
      </c>
      <c r="E5" s="93">
        <v>20378.706337556119</v>
      </c>
      <c r="F5" s="93">
        <v>9418.8988568067343</v>
      </c>
      <c r="G5" s="95">
        <v>45269.678921539591</v>
      </c>
      <c r="K5" s="96" t="s">
        <v>122</v>
      </c>
      <c r="L5" s="97">
        <v>1</v>
      </c>
      <c r="M5" s="97">
        <v>1</v>
      </c>
      <c r="N5" s="97">
        <v>1</v>
      </c>
      <c r="O5" s="98">
        <v>7459.2913438514906</v>
      </c>
      <c r="P5" s="98">
        <v>9537.7783975583752</v>
      </c>
      <c r="Q5" s="99">
        <v>9433.9012004747347</v>
      </c>
      <c r="R5" s="98">
        <v>90.810760361000007</v>
      </c>
      <c r="S5" s="98">
        <v>89.503049435999998</v>
      </c>
      <c r="T5" s="99">
        <v>90</v>
      </c>
      <c r="U5" s="124">
        <f t="shared" ref="U5:U12" si="0">AVERAGE(R5:T5)</f>
        <v>90.104603265666654</v>
      </c>
      <c r="V5" s="187">
        <f>AVERAGE(AN8:AP8)</f>
        <v>1</v>
      </c>
      <c r="W5" s="187">
        <f t="shared" ref="W5:W12" si="1">SUM(U5*V5)</f>
        <v>90.104603265666654</v>
      </c>
      <c r="AA5" s="165" t="s">
        <v>118</v>
      </c>
      <c r="AB5" s="183">
        <f>AVERAGE(AH5:AI5)*AO5</f>
        <v>323.125</v>
      </c>
      <c r="AC5" s="184">
        <f>AF5*AP5</f>
        <v>539.15574963609902</v>
      </c>
      <c r="AD5" s="184">
        <f>AG5*AN5</f>
        <v>200</v>
      </c>
      <c r="AE5" s="5"/>
      <c r="AF5" s="166">
        <v>400</v>
      </c>
      <c r="AG5" s="166">
        <v>140</v>
      </c>
      <c r="AH5" s="167">
        <v>190</v>
      </c>
      <c r="AI5" s="166">
        <v>280</v>
      </c>
      <c r="AM5" s="91" t="s">
        <v>119</v>
      </c>
      <c r="AN5" s="177">
        <v>1.4285714285714286</v>
      </c>
      <c r="AO5" s="177">
        <v>1.375</v>
      </c>
      <c r="AP5" s="177">
        <v>1.3478893740902476</v>
      </c>
    </row>
    <row r="6" spans="3:42" ht="15.75" thickBot="1" x14ac:dyDescent="0.25">
      <c r="C6" s="96" t="s">
        <v>122</v>
      </c>
      <c r="D6" s="98">
        <v>9537.7783975583752</v>
      </c>
      <c r="E6" s="98">
        <v>9433.9012004747347</v>
      </c>
      <c r="F6" s="98">
        <v>7459.2913438514906</v>
      </c>
      <c r="G6" s="100">
        <v>26430.9709418846</v>
      </c>
      <c r="K6" s="101" t="s">
        <v>123</v>
      </c>
      <c r="L6" s="102">
        <v>1</v>
      </c>
      <c r="M6" s="102">
        <v>1</v>
      </c>
      <c r="N6" s="102">
        <v>1</v>
      </c>
      <c r="O6" s="103">
        <v>14041.847426430093</v>
      </c>
      <c r="P6" s="103">
        <v>17545.09295382088</v>
      </c>
      <c r="Q6" s="104">
        <v>20090.949195825138</v>
      </c>
      <c r="R6" s="103">
        <v>114.211320254</v>
      </c>
      <c r="S6" s="103">
        <v>116.155508754</v>
      </c>
      <c r="T6" s="104">
        <v>116</v>
      </c>
      <c r="U6" s="124">
        <f t="shared" si="0"/>
        <v>115.45560966933333</v>
      </c>
      <c r="V6" s="187">
        <f t="shared" ref="V6:V7" si="2">AVERAGE(AN9:AP9)</f>
        <v>1</v>
      </c>
      <c r="W6" s="187">
        <f t="shared" si="1"/>
        <v>115.45560966933333</v>
      </c>
      <c r="AA6" s="168" t="s">
        <v>120</v>
      </c>
      <c r="AB6" s="183">
        <f t="shared" ref="AB6:AB19" si="3">AVERAGE(AH6:AI6)*AO6</f>
        <v>646.25</v>
      </c>
      <c r="AC6" s="185">
        <f t="shared" ref="AC6:AC19" si="4">AF6*AP6</f>
        <v>1078.311499272198</v>
      </c>
      <c r="AD6" s="185">
        <f t="shared" ref="AD6:AD19" si="5">AG6*AN6</f>
        <v>400</v>
      </c>
      <c r="AE6" s="5"/>
      <c r="AF6" s="169">
        <v>800</v>
      </c>
      <c r="AG6" s="169">
        <v>280</v>
      </c>
      <c r="AH6" s="170">
        <v>380</v>
      </c>
      <c r="AI6" s="169">
        <v>560</v>
      </c>
      <c r="AM6" s="91" t="s">
        <v>119</v>
      </c>
      <c r="AN6" s="177">
        <v>1.4285714285714286</v>
      </c>
      <c r="AO6" s="177">
        <v>1.375</v>
      </c>
      <c r="AP6" s="177">
        <v>1.3478893740902476</v>
      </c>
    </row>
    <row r="7" spans="3:42" ht="15" x14ac:dyDescent="0.2">
      <c r="C7" s="101" t="s">
        <v>123</v>
      </c>
      <c r="D7" s="103">
        <v>17545.09295382088</v>
      </c>
      <c r="E7" s="103">
        <v>20090.949195825138</v>
      </c>
      <c r="F7" s="103">
        <v>14041.847426430093</v>
      </c>
      <c r="G7" s="105">
        <v>51677.889576076108</v>
      </c>
      <c r="K7" s="96" t="s">
        <v>124</v>
      </c>
      <c r="L7" s="97">
        <v>1</v>
      </c>
      <c r="M7" s="97">
        <v>1</v>
      </c>
      <c r="N7" s="97">
        <v>1</v>
      </c>
      <c r="O7" s="98">
        <v>19924.480375055824</v>
      </c>
      <c r="P7" s="98">
        <v>49768.849685929476</v>
      </c>
      <c r="Q7" s="99">
        <v>53466.210043981671</v>
      </c>
      <c r="R7" s="98">
        <v>138.494823139</v>
      </c>
      <c r="S7" s="98">
        <v>140.28979616699999</v>
      </c>
      <c r="T7" s="99">
        <v>140</v>
      </c>
      <c r="U7" s="124">
        <f t="shared" si="0"/>
        <v>139.59487310199998</v>
      </c>
      <c r="V7" s="187">
        <f t="shared" si="2"/>
        <v>1</v>
      </c>
      <c r="W7" s="187">
        <f t="shared" si="1"/>
        <v>139.59487310199998</v>
      </c>
      <c r="AA7" s="168" t="s">
        <v>121</v>
      </c>
      <c r="AB7" s="183">
        <f t="shared" si="3"/>
        <v>804.375</v>
      </c>
      <c r="AC7" s="185">
        <f t="shared" si="4"/>
        <v>1213.1004366812228</v>
      </c>
      <c r="AD7" s="185">
        <f t="shared" si="5"/>
        <v>500</v>
      </c>
      <c r="AE7" s="5"/>
      <c r="AF7" s="169">
        <v>900</v>
      </c>
      <c r="AG7" s="169">
        <v>350</v>
      </c>
      <c r="AH7" s="170">
        <v>470</v>
      </c>
      <c r="AI7" s="169">
        <v>700</v>
      </c>
      <c r="AM7" s="91" t="s">
        <v>119</v>
      </c>
      <c r="AN7" s="177">
        <v>1.4285714285714286</v>
      </c>
      <c r="AO7" s="177">
        <v>1.375</v>
      </c>
      <c r="AP7" s="177">
        <v>1.3478893740902476</v>
      </c>
    </row>
    <row r="8" spans="3:42" ht="15" x14ac:dyDescent="0.2">
      <c r="C8" s="96" t="s">
        <v>124</v>
      </c>
      <c r="D8" s="98">
        <v>49768.849685929476</v>
      </c>
      <c r="E8" s="98">
        <v>53466.210043981671</v>
      </c>
      <c r="F8" s="98">
        <v>19924.480375055824</v>
      </c>
      <c r="G8" s="100">
        <v>123159.54010496697</v>
      </c>
      <c r="K8" s="101" t="s">
        <v>126</v>
      </c>
      <c r="L8" s="102">
        <v>0.62350597609561753</v>
      </c>
      <c r="M8" s="102">
        <v>0.63854266538830295</v>
      </c>
      <c r="N8" s="102">
        <v>0.65110565110565111</v>
      </c>
      <c r="O8" s="103">
        <v>36727.496963354082</v>
      </c>
      <c r="P8" s="103">
        <v>180165.78839768126</v>
      </c>
      <c r="Q8" s="104">
        <v>163635.17790575436</v>
      </c>
      <c r="R8" s="103">
        <v>187.42567462599999</v>
      </c>
      <c r="S8" s="103">
        <v>189.15351469199999</v>
      </c>
      <c r="T8" s="104">
        <v>190</v>
      </c>
      <c r="U8" s="124">
        <f t="shared" si="0"/>
        <v>188.85972977266667</v>
      </c>
      <c r="V8" s="187">
        <f>AVERAGE(AN11:AP11)</f>
        <v>0.6377180975298572</v>
      </c>
      <c r="W8" s="187">
        <f t="shared" si="1"/>
        <v>120.43926757062792</v>
      </c>
      <c r="AA8" s="168" t="s">
        <v>122</v>
      </c>
      <c r="AB8" s="183">
        <f t="shared" si="3"/>
        <v>745</v>
      </c>
      <c r="AC8" s="185">
        <f t="shared" si="4"/>
        <v>1200</v>
      </c>
      <c r="AD8" s="185">
        <f t="shared" si="5"/>
        <v>440</v>
      </c>
      <c r="AE8" s="5"/>
      <c r="AF8" s="171">
        <v>1200</v>
      </c>
      <c r="AG8" s="169">
        <v>440</v>
      </c>
      <c r="AH8" s="170">
        <v>590</v>
      </c>
      <c r="AI8" s="169">
        <v>900</v>
      </c>
      <c r="AM8" s="96" t="s">
        <v>122</v>
      </c>
      <c r="AN8" s="178">
        <v>1</v>
      </c>
      <c r="AO8" s="178">
        <v>1</v>
      </c>
      <c r="AP8" s="178">
        <v>1</v>
      </c>
    </row>
    <row r="9" spans="3:42" ht="15" x14ac:dyDescent="0.25">
      <c r="C9" s="101" t="s">
        <v>126</v>
      </c>
      <c r="D9" s="103">
        <v>282151.52747564798</v>
      </c>
      <c r="E9" s="103">
        <v>251318.93361374349</v>
      </c>
      <c r="F9" s="103">
        <v>58904.8034364337</v>
      </c>
      <c r="G9" s="105">
        <v>592375.26452582516</v>
      </c>
      <c r="I9" s="106" t="s">
        <v>170</v>
      </c>
      <c r="K9" s="96" t="s">
        <v>130</v>
      </c>
      <c r="L9" s="97">
        <v>0.64275466284074612</v>
      </c>
      <c r="M9" s="97">
        <v>0.6669136717302705</v>
      </c>
      <c r="N9" s="97">
        <v>0.67542972699696668</v>
      </c>
      <c r="O9" s="98">
        <v>28113.665794547433</v>
      </c>
      <c r="P9" s="98">
        <v>125131.02640900291</v>
      </c>
      <c r="Q9" s="99">
        <v>112572.38085312897</v>
      </c>
      <c r="R9" s="98">
        <v>260.96259530600003</v>
      </c>
      <c r="S9" s="98">
        <v>259.598229774</v>
      </c>
      <c r="T9" s="99">
        <v>261</v>
      </c>
      <c r="U9" s="124">
        <f t="shared" si="0"/>
        <v>260.5202750266667</v>
      </c>
      <c r="V9" s="187">
        <f>AVERAGE(AN14:AP14)</f>
        <v>0.66169935385599443</v>
      </c>
      <c r="W9" s="187">
        <f t="shared" si="1"/>
        <v>172.38609765153132</v>
      </c>
      <c r="AA9" s="168" t="s">
        <v>123</v>
      </c>
      <c r="AB9" s="183">
        <f t="shared" si="3"/>
        <v>950</v>
      </c>
      <c r="AC9" s="185">
        <f t="shared" si="4"/>
        <v>1500</v>
      </c>
      <c r="AD9" s="185">
        <f t="shared" si="5"/>
        <v>570</v>
      </c>
      <c r="AE9" s="5"/>
      <c r="AF9" s="171">
        <v>1500</v>
      </c>
      <c r="AG9" s="169">
        <v>570</v>
      </c>
      <c r="AH9" s="170">
        <v>800</v>
      </c>
      <c r="AI9" s="171">
        <v>1100</v>
      </c>
      <c r="AM9" s="101" t="s">
        <v>123</v>
      </c>
      <c r="AN9" s="179">
        <v>1</v>
      </c>
      <c r="AO9" s="179">
        <v>1</v>
      </c>
      <c r="AP9" s="179">
        <v>1</v>
      </c>
    </row>
    <row r="10" spans="3:42" ht="15" x14ac:dyDescent="0.2">
      <c r="C10" s="96" t="s">
        <v>130</v>
      </c>
      <c r="D10" s="98">
        <v>187627.02237661046</v>
      </c>
      <c r="E10" s="98">
        <v>166667.79141279124</v>
      </c>
      <c r="F10" s="98">
        <v>43739.341649106158</v>
      </c>
      <c r="G10" s="100">
        <v>398034.15543850785</v>
      </c>
      <c r="K10" s="101" t="s">
        <v>133</v>
      </c>
      <c r="L10" s="102">
        <v>0.65947786606129399</v>
      </c>
      <c r="M10" s="102">
        <v>0.68235651381718798</v>
      </c>
      <c r="N10" s="102">
        <v>0.68787878787878787</v>
      </c>
      <c r="O10" s="103">
        <v>16993.344189187668</v>
      </c>
      <c r="P10" s="103">
        <v>69203.844283713814</v>
      </c>
      <c r="Q10" s="104">
        <v>55991.061950391217</v>
      </c>
      <c r="R10" s="103">
        <v>336.50531067600002</v>
      </c>
      <c r="S10" s="103">
        <v>338.29602796400002</v>
      </c>
      <c r="T10" s="104">
        <v>338</v>
      </c>
      <c r="U10" s="124">
        <f t="shared" si="0"/>
        <v>337.60044621333333</v>
      </c>
      <c r="V10" s="187">
        <f>AVERAGE(AN16:AP16)</f>
        <v>0.67657105591908995</v>
      </c>
      <c r="W10" s="187">
        <f t="shared" si="1"/>
        <v>228.41069037331087</v>
      </c>
      <c r="AA10" s="168" t="s">
        <v>124</v>
      </c>
      <c r="AB10" s="183">
        <f t="shared" si="3"/>
        <v>1150</v>
      </c>
      <c r="AC10" s="185">
        <f t="shared" si="4"/>
        <v>1900</v>
      </c>
      <c r="AD10" s="185">
        <f t="shared" si="5"/>
        <v>700</v>
      </c>
      <c r="AE10" s="5"/>
      <c r="AF10" s="171">
        <v>1900</v>
      </c>
      <c r="AG10" s="169">
        <v>700</v>
      </c>
      <c r="AH10" s="170">
        <v>900</v>
      </c>
      <c r="AI10" s="171">
        <v>1400</v>
      </c>
      <c r="AM10" s="96" t="s">
        <v>124</v>
      </c>
      <c r="AN10" s="178">
        <v>1</v>
      </c>
      <c r="AO10" s="178">
        <v>1</v>
      </c>
      <c r="AP10" s="178">
        <v>1</v>
      </c>
    </row>
    <row r="11" spans="3:42" ht="15" x14ac:dyDescent="0.2">
      <c r="C11" s="101" t="s">
        <v>133</v>
      </c>
      <c r="D11" s="103">
        <v>101418.89596184672</v>
      </c>
      <c r="E11" s="103">
        <v>81396.697989555512</v>
      </c>
      <c r="F11" s="103">
        <v>25767.876472761334</v>
      </c>
      <c r="G11" s="105">
        <v>208583.47042416356</v>
      </c>
      <c r="K11" s="96" t="s">
        <v>135</v>
      </c>
      <c r="L11" s="97">
        <v>0.67760942760942755</v>
      </c>
      <c r="M11" s="97">
        <v>0.69366197183098599</v>
      </c>
      <c r="N11" s="97">
        <v>0.69895091794679653</v>
      </c>
      <c r="O11" s="98">
        <v>8355.7192320215872</v>
      </c>
      <c r="P11" s="98">
        <v>34768.978124585461</v>
      </c>
      <c r="Q11" s="99">
        <v>30223.340670968584</v>
      </c>
      <c r="R11" s="98">
        <v>412.60313041799998</v>
      </c>
      <c r="S11" s="98">
        <v>413.05174855199999</v>
      </c>
      <c r="T11" s="99">
        <v>415</v>
      </c>
      <c r="U11" s="124">
        <f t="shared" si="0"/>
        <v>413.55162632333332</v>
      </c>
      <c r="V11" s="187">
        <f t="shared" ref="V11:V12" si="6">AVERAGE(AN17:AP17)</f>
        <v>0.67657105591908995</v>
      </c>
      <c r="W11" s="187">
        <f t="shared" si="1"/>
        <v>279.79706049863455</v>
      </c>
      <c r="AA11" s="168" t="s">
        <v>125</v>
      </c>
      <c r="AB11" s="183">
        <f t="shared" si="3"/>
        <v>862.03259827420902</v>
      </c>
      <c r="AC11" s="185">
        <f t="shared" si="4"/>
        <v>1432.4324324324325</v>
      </c>
      <c r="AD11" s="185">
        <f t="shared" si="5"/>
        <v>498.80478087649402</v>
      </c>
      <c r="AE11" s="5"/>
      <c r="AF11" s="171">
        <v>2200</v>
      </c>
      <c r="AG11" s="169">
        <v>800</v>
      </c>
      <c r="AH11" s="172">
        <v>1100</v>
      </c>
      <c r="AI11" s="171">
        <v>1600</v>
      </c>
      <c r="AM11" s="101" t="s">
        <v>126</v>
      </c>
      <c r="AN11" s="179">
        <v>0.62350597609561753</v>
      </c>
      <c r="AO11" s="179">
        <v>0.63854266538830295</v>
      </c>
      <c r="AP11" s="179">
        <v>0.65110565110565111</v>
      </c>
    </row>
    <row r="12" spans="3:42" ht="15.75" thickBot="1" x14ac:dyDescent="0.25">
      <c r="C12" s="96" t="s">
        <v>135</v>
      </c>
      <c r="D12" s="98">
        <v>50123.806027321167</v>
      </c>
      <c r="E12" s="98">
        <v>43241.005762967114</v>
      </c>
      <c r="F12" s="98">
        <v>12331.173226884033</v>
      </c>
      <c r="G12" s="100">
        <v>105695.98501717232</v>
      </c>
      <c r="K12" s="107" t="s">
        <v>136</v>
      </c>
      <c r="L12" s="108">
        <v>0.56219445953286251</v>
      </c>
      <c r="M12" s="108">
        <v>0.54586660910856888</v>
      </c>
      <c r="N12" s="108">
        <v>0.55669942286694751</v>
      </c>
      <c r="O12" s="109">
        <v>8551.6367409636478</v>
      </c>
      <c r="P12" s="109">
        <v>28770.813628890308</v>
      </c>
      <c r="Q12" s="110">
        <v>43665.016200037615</v>
      </c>
      <c r="R12" s="109">
        <v>602.18691236799998</v>
      </c>
      <c r="S12" s="109">
        <v>604.314151735</v>
      </c>
      <c r="T12" s="110">
        <v>673</v>
      </c>
      <c r="U12" s="124">
        <f t="shared" si="0"/>
        <v>626.50035470099999</v>
      </c>
      <c r="V12" s="187">
        <f t="shared" si="6"/>
        <v>0.69007410579573669</v>
      </c>
      <c r="W12" s="187">
        <f t="shared" si="1"/>
        <v>432.33167205100443</v>
      </c>
      <c r="AA12" s="168" t="s">
        <v>127</v>
      </c>
      <c r="AB12" s="183">
        <f t="shared" si="3"/>
        <v>1021.6682646212847</v>
      </c>
      <c r="AC12" s="185">
        <f t="shared" si="4"/>
        <v>1692.874692874693</v>
      </c>
      <c r="AD12" s="185">
        <f t="shared" si="5"/>
        <v>623.50597609561748</v>
      </c>
      <c r="AE12" s="5"/>
      <c r="AF12" s="171">
        <v>2600</v>
      </c>
      <c r="AG12" s="171">
        <v>1000</v>
      </c>
      <c r="AH12" s="172">
        <v>1300</v>
      </c>
      <c r="AI12" s="171">
        <v>1900</v>
      </c>
      <c r="AM12" s="101"/>
      <c r="AN12" s="179">
        <v>0.62350597609561753</v>
      </c>
      <c r="AO12" s="179">
        <v>0.63854266538830295</v>
      </c>
      <c r="AP12" s="179">
        <v>0.65110565110565111</v>
      </c>
    </row>
    <row r="13" spans="3:42" ht="15.75" thickBot="1" x14ac:dyDescent="0.25">
      <c r="C13" s="111" t="s">
        <v>136</v>
      </c>
      <c r="D13" s="112">
        <v>52706.674394088106</v>
      </c>
      <c r="E13" s="112">
        <v>78435.533443104825</v>
      </c>
      <c r="F13" s="112">
        <v>15211.172212670604</v>
      </c>
      <c r="G13" s="105">
        <v>146353.38004986354</v>
      </c>
      <c r="O13" s="113">
        <v>0.74286208971025169</v>
      </c>
      <c r="P13" s="113">
        <v>0.69963472197389465</v>
      </c>
      <c r="Q13" s="113">
        <v>0.71303848954914961</v>
      </c>
      <c r="AA13" s="168" t="s">
        <v>128</v>
      </c>
      <c r="AB13" s="183">
        <f t="shared" si="3"/>
        <v>1181.3039309683604</v>
      </c>
      <c r="AC13" s="185">
        <f t="shared" si="4"/>
        <v>1888.2063882063883</v>
      </c>
      <c r="AD13" s="185">
        <f t="shared" si="5"/>
        <v>685.85657370517924</v>
      </c>
      <c r="AE13" s="5"/>
      <c r="AF13" s="171">
        <v>2900</v>
      </c>
      <c r="AG13" s="171">
        <v>1100</v>
      </c>
      <c r="AH13" s="172">
        <v>1500</v>
      </c>
      <c r="AI13" s="171">
        <v>2200</v>
      </c>
      <c r="AM13" s="101"/>
      <c r="AN13" s="179">
        <v>0.62350597609561753</v>
      </c>
      <c r="AO13" s="179">
        <v>0.63854266538830295</v>
      </c>
      <c r="AP13" s="179">
        <v>0.65110565110565111</v>
      </c>
    </row>
    <row r="14" spans="3:42" ht="15.75" thickBot="1" x14ac:dyDescent="0.25">
      <c r="C14" s="114" t="s">
        <v>171</v>
      </c>
      <c r="D14" s="124">
        <f>SUM(D5:D13)</f>
        <v>766351.72099999979</v>
      </c>
      <c r="E14" s="124">
        <f t="shared" ref="E14:F14" si="7">SUM(E5:E13)</f>
        <v>724429.72899999993</v>
      </c>
      <c r="F14" s="124">
        <f t="shared" si="7"/>
        <v>206798.88499999998</v>
      </c>
      <c r="G14" s="115">
        <v>1697580.3349999997</v>
      </c>
      <c r="AA14" s="168" t="s">
        <v>129</v>
      </c>
      <c r="AB14" s="183">
        <f t="shared" si="3"/>
        <v>1433.8643942200815</v>
      </c>
      <c r="AC14" s="185">
        <f t="shared" si="4"/>
        <v>2364.0040444893834</v>
      </c>
      <c r="AD14" s="185">
        <f t="shared" si="5"/>
        <v>835.58106169296991</v>
      </c>
      <c r="AE14" s="5"/>
      <c r="AF14" s="171">
        <v>3500</v>
      </c>
      <c r="AG14" s="171">
        <v>1300</v>
      </c>
      <c r="AH14" s="172">
        <v>1700</v>
      </c>
      <c r="AI14" s="171">
        <v>2600</v>
      </c>
      <c r="AM14" s="96" t="s">
        <v>130</v>
      </c>
      <c r="AN14" s="178">
        <v>0.64275466284074612</v>
      </c>
      <c r="AO14" s="178">
        <v>0.6669136717302705</v>
      </c>
      <c r="AP14" s="178">
        <v>0.67542972699696668</v>
      </c>
    </row>
    <row r="15" spans="3:42" ht="15" x14ac:dyDescent="0.2">
      <c r="L15" t="s">
        <v>185</v>
      </c>
      <c r="AA15" s="168" t="s">
        <v>131</v>
      </c>
      <c r="AB15" s="183">
        <f t="shared" si="3"/>
        <v>1700.6298629121898</v>
      </c>
      <c r="AC15" s="185">
        <f t="shared" si="4"/>
        <v>2769.2618806875635</v>
      </c>
      <c r="AD15" s="185">
        <f t="shared" si="5"/>
        <v>964.13199426111919</v>
      </c>
      <c r="AE15" s="5"/>
      <c r="AF15" s="171">
        <v>4100</v>
      </c>
      <c r="AG15" s="171">
        <v>1500</v>
      </c>
      <c r="AH15" s="172">
        <v>2000</v>
      </c>
      <c r="AI15" s="171">
        <v>3100</v>
      </c>
      <c r="AM15" s="96"/>
      <c r="AN15" s="178">
        <v>0.64275466284074612</v>
      </c>
      <c r="AO15" s="178">
        <v>0.6669136717302705</v>
      </c>
      <c r="AP15" s="178">
        <v>0.67542972699696668</v>
      </c>
    </row>
    <row r="16" spans="3:42" ht="15.75" thickBot="1" x14ac:dyDescent="0.25">
      <c r="L16" s="5" t="s">
        <v>188</v>
      </c>
      <c r="O16" t="s">
        <v>215</v>
      </c>
      <c r="AA16" s="168" t="s">
        <v>132</v>
      </c>
      <c r="AB16" s="183">
        <f t="shared" si="3"/>
        <v>1978.8338900698452</v>
      </c>
      <c r="AC16" s="185">
        <f t="shared" si="4"/>
        <v>3233.030303030303</v>
      </c>
      <c r="AD16" s="185">
        <f t="shared" si="5"/>
        <v>1187.0601589103292</v>
      </c>
      <c r="AE16" s="5"/>
      <c r="AF16" s="171">
        <v>4700</v>
      </c>
      <c r="AG16" s="171">
        <v>1800</v>
      </c>
      <c r="AH16" s="172">
        <v>2300</v>
      </c>
      <c r="AI16" s="171">
        <v>3500</v>
      </c>
      <c r="AM16" s="101" t="s">
        <v>133</v>
      </c>
      <c r="AN16" s="179">
        <v>0.65947786606129399</v>
      </c>
      <c r="AO16" s="179">
        <v>0.68235651381718798</v>
      </c>
      <c r="AP16" s="179">
        <v>0.68787878787878787</v>
      </c>
    </row>
    <row r="17" spans="1:42" ht="15.75" thickBot="1" x14ac:dyDescent="0.25">
      <c r="F17" s="88" t="s">
        <v>166</v>
      </c>
      <c r="G17" s="88" t="s">
        <v>167</v>
      </c>
      <c r="H17" s="88" t="s">
        <v>165</v>
      </c>
      <c r="L17" s="117" t="s">
        <v>178</v>
      </c>
      <c r="O17" s="5" t="s">
        <v>187</v>
      </c>
      <c r="P17" s="5" t="s">
        <v>136</v>
      </c>
      <c r="Q17" s="5" t="s">
        <v>135</v>
      </c>
      <c r="R17" s="5" t="s">
        <v>133</v>
      </c>
      <c r="S17" s="5" t="s">
        <v>130</v>
      </c>
      <c r="T17" s="5" t="s">
        <v>126</v>
      </c>
      <c r="U17" s="5" t="s">
        <v>124</v>
      </c>
      <c r="V17" s="5" t="s">
        <v>123</v>
      </c>
      <c r="W17" s="5" t="s">
        <v>122</v>
      </c>
      <c r="AA17" s="168" t="s">
        <v>134</v>
      </c>
      <c r="AB17" s="183">
        <f t="shared" si="3"/>
        <v>2251.7764955967205</v>
      </c>
      <c r="AC17" s="185">
        <f t="shared" si="4"/>
        <v>3645.7575757575755</v>
      </c>
      <c r="AD17" s="185">
        <f t="shared" si="5"/>
        <v>1318.955732122588</v>
      </c>
      <c r="AE17" s="5"/>
      <c r="AF17" s="171">
        <v>5300</v>
      </c>
      <c r="AG17" s="171">
        <v>2000</v>
      </c>
      <c r="AH17" s="172">
        <v>2600</v>
      </c>
      <c r="AI17" s="171">
        <v>4000</v>
      </c>
      <c r="AM17" s="101"/>
      <c r="AN17" s="179">
        <v>0.65947786606129399</v>
      </c>
      <c r="AO17" s="179">
        <v>0.68235651381718798</v>
      </c>
      <c r="AP17" s="179">
        <v>0.68787878787878787</v>
      </c>
    </row>
    <row r="18" spans="1:42" ht="15" x14ac:dyDescent="0.2">
      <c r="C18" t="s">
        <v>193</v>
      </c>
      <c r="F18" s="124">
        <f>SUM(D5:D8)</f>
        <v>92323.794764485472</v>
      </c>
      <c r="G18" s="124">
        <f>SUM(E5:E8)</f>
        <v>103369.76677783766</v>
      </c>
      <c r="H18" s="124">
        <f>SUM(F5:F8)</f>
        <v>50844.518002144141</v>
      </c>
      <c r="L18" s="116" t="s">
        <v>177</v>
      </c>
      <c r="N18" t="s">
        <v>214</v>
      </c>
      <c r="O18" s="91" t="s">
        <v>119</v>
      </c>
      <c r="P18" s="188">
        <f t="shared" ref="P18:P25" si="8">1-W4/$W$12</f>
        <v>0.82657317923529827</v>
      </c>
      <c r="Q18" s="189">
        <f t="shared" ref="Q18:Q24" si="9">1-W4/$W$11</f>
        <v>0.73202753715113</v>
      </c>
      <c r="R18" s="189">
        <f t="shared" ref="R18:R23" si="10">1-W4/$W$10</f>
        <v>0.67174081354445081</v>
      </c>
      <c r="S18" s="189">
        <f>1-W4/$W$9</f>
        <v>0.56505827081684434</v>
      </c>
      <c r="T18" s="189">
        <f>1-W4/$W$8</f>
        <v>0.37746294118133139</v>
      </c>
      <c r="U18" s="189">
        <f>1-W4/$W$7</f>
        <v>0.46288924705058421</v>
      </c>
      <c r="V18" s="190">
        <f>1-W4/$W$6</f>
        <v>0.35059104001588781</v>
      </c>
      <c r="W18" s="190">
        <f>1-W4/$W$5</f>
        <v>0.1678792793901257</v>
      </c>
      <c r="AA18" s="168" t="s">
        <v>135</v>
      </c>
      <c r="AB18" s="183">
        <f t="shared" si="3"/>
        <v>2739.9647887323945</v>
      </c>
      <c r="AC18" s="185">
        <f t="shared" si="4"/>
        <v>4403.3907830648186</v>
      </c>
      <c r="AD18" s="185">
        <f t="shared" si="5"/>
        <v>1626.2626262626261</v>
      </c>
      <c r="AE18" s="5"/>
      <c r="AF18" s="171">
        <v>6300</v>
      </c>
      <c r="AG18" s="171">
        <v>2400</v>
      </c>
      <c r="AH18" s="172">
        <v>3200</v>
      </c>
      <c r="AI18" s="171">
        <v>4700</v>
      </c>
      <c r="AM18" s="96" t="s">
        <v>135</v>
      </c>
      <c r="AN18" s="178">
        <v>0.67760942760942755</v>
      </c>
      <c r="AO18" s="178">
        <v>0.69366197183098599</v>
      </c>
      <c r="AP18" s="178">
        <v>0.69895091794679653</v>
      </c>
    </row>
    <row r="19" spans="1:42" ht="15.75" thickBot="1" x14ac:dyDescent="0.25">
      <c r="C19" t="s">
        <v>194</v>
      </c>
      <c r="F19" s="124">
        <f>D9</f>
        <v>282151.52747564798</v>
      </c>
      <c r="G19" s="124">
        <f t="shared" ref="G19:H19" si="11">E9</f>
        <v>251318.93361374349</v>
      </c>
      <c r="H19" s="124">
        <f t="shared" si="11"/>
        <v>58904.8034364337</v>
      </c>
      <c r="O19" s="96" t="s">
        <v>122</v>
      </c>
      <c r="P19" s="188">
        <f t="shared" si="8"/>
        <v>0.79158454239957576</v>
      </c>
      <c r="Q19" s="189">
        <f t="shared" si="9"/>
        <v>0.67796443927935268</v>
      </c>
      <c r="R19" s="189">
        <f t="shared" si="10"/>
        <v>0.60551494714016629</v>
      </c>
      <c r="S19" s="189">
        <f>1-W5/$W$9</f>
        <v>0.47730933936559095</v>
      </c>
      <c r="T19" s="190">
        <f>1-W5/$W$8</f>
        <v>0.25186689455058697</v>
      </c>
      <c r="U19" s="190">
        <f>1-W5/$W$7</f>
        <v>0.35452784716650365</v>
      </c>
      <c r="V19" s="190">
        <f>1-W5/$W$6</f>
        <v>0.21957362207234754</v>
      </c>
      <c r="W19" s="188"/>
      <c r="AA19" s="173" t="s">
        <v>136</v>
      </c>
      <c r="AB19" s="183">
        <f t="shared" si="3"/>
        <v>2702.039715087416</v>
      </c>
      <c r="AC19" s="186">
        <f t="shared" si="4"/>
        <v>4397.9254406488853</v>
      </c>
      <c r="AD19" s="186">
        <f t="shared" si="5"/>
        <v>1686.5833785985876</v>
      </c>
      <c r="AE19" s="5"/>
      <c r="AF19" s="174">
        <v>7900</v>
      </c>
      <c r="AG19" s="174">
        <v>3000</v>
      </c>
      <c r="AH19" s="175">
        <v>4000</v>
      </c>
      <c r="AI19" s="174">
        <v>5900</v>
      </c>
      <c r="AM19" s="107" t="s">
        <v>136</v>
      </c>
      <c r="AN19" s="180">
        <v>0.56219445953286251</v>
      </c>
      <c r="AO19" s="180">
        <v>0.54586660910856888</v>
      </c>
      <c r="AP19" s="180">
        <v>0.55669942286694751</v>
      </c>
    </row>
    <row r="20" spans="1:42" ht="15" x14ac:dyDescent="0.2">
      <c r="C20" t="s">
        <v>195</v>
      </c>
      <c r="F20" s="124">
        <f>SUM(D10:D13)</f>
        <v>391876.39875986642</v>
      </c>
      <c r="G20" s="124">
        <f t="shared" ref="G20:H20" si="12">SUM(E10:E13)</f>
        <v>369741.02860841871</v>
      </c>
      <c r="H20" s="124">
        <f t="shared" si="12"/>
        <v>97049.563561422125</v>
      </c>
      <c r="O20" s="101" t="s">
        <v>123</v>
      </c>
      <c r="P20" s="189">
        <f t="shared" si="8"/>
        <v>0.73294667697694738</v>
      </c>
      <c r="Q20" s="189">
        <f t="shared" si="9"/>
        <v>0.58735946166276198</v>
      </c>
      <c r="R20" s="189">
        <f t="shared" si="10"/>
        <v>0.49452624358065522</v>
      </c>
      <c r="S20" s="190">
        <f>1-W6/$W$9</f>
        <v>0.33024987953077123</v>
      </c>
      <c r="T20" s="190">
        <f>1-W6/$W$8</f>
        <v>4.1379012026721895E-2</v>
      </c>
      <c r="U20" s="190">
        <f>1-W6/$W$7</f>
        <v>0.17292371056513256</v>
      </c>
      <c r="V20" s="188"/>
      <c r="W20" s="188"/>
      <c r="AA20" s="163" t="s">
        <v>180</v>
      </c>
    </row>
    <row r="21" spans="1:42" ht="15.75" thickBot="1" x14ac:dyDescent="0.25">
      <c r="F21" s="124">
        <f>SUM(F18:F20)</f>
        <v>766351.7209999999</v>
      </c>
      <c r="G21" s="80"/>
      <c r="O21" s="96" t="s">
        <v>124</v>
      </c>
      <c r="P21" s="189">
        <f t="shared" si="8"/>
        <v>0.67711162025267657</v>
      </c>
      <c r="Q21" s="189">
        <f t="shared" si="9"/>
        <v>0.50108527640274758</v>
      </c>
      <c r="R21" s="189">
        <f t="shared" si="10"/>
        <v>0.38884264622707332</v>
      </c>
      <c r="S21" s="190">
        <f>1-W7/$W$9</f>
        <v>0.19021965805976382</v>
      </c>
      <c r="T21" s="190">
        <f>IF(1-W7/$W$8&lt;0,0)</f>
        <v>0</v>
      </c>
      <c r="U21" s="188"/>
      <c r="V21" s="188"/>
      <c r="W21" s="188"/>
      <c r="AA21" s="164" t="s">
        <v>181</v>
      </c>
    </row>
    <row r="22" spans="1:42" ht="15" x14ac:dyDescent="0.2">
      <c r="F22" s="88" t="s">
        <v>166</v>
      </c>
      <c r="G22" s="88" t="s">
        <v>167</v>
      </c>
      <c r="H22" s="88" t="s">
        <v>165</v>
      </c>
      <c r="O22" s="101" t="s">
        <v>126</v>
      </c>
      <c r="P22" s="189">
        <f t="shared" si="8"/>
        <v>0.72141928210057427</v>
      </c>
      <c r="Q22" s="189">
        <f t="shared" si="9"/>
        <v>0.56954777381867572</v>
      </c>
      <c r="R22" s="189">
        <f t="shared" si="10"/>
        <v>0.47270739660309302</v>
      </c>
      <c r="S22" s="190">
        <f>1-W8/$W$9</f>
        <v>0.30134001980780933</v>
      </c>
      <c r="T22" s="188"/>
      <c r="U22" s="188"/>
      <c r="V22" s="188"/>
      <c r="W22" s="188"/>
    </row>
    <row r="23" spans="1:42" ht="15" x14ac:dyDescent="0.2">
      <c r="C23" t="s">
        <v>193</v>
      </c>
      <c r="F23" s="144">
        <f>F18/$D$14</f>
        <v>0.12047183066805627</v>
      </c>
      <c r="G23" s="144">
        <f>G18/$E$14</f>
        <v>0.14269122682268837</v>
      </c>
      <c r="H23" s="144">
        <f>H18/$F$14</f>
        <v>0.24586456547937455</v>
      </c>
      <c r="O23" s="96" t="s">
        <v>130</v>
      </c>
      <c r="P23" s="189">
        <f t="shared" si="8"/>
        <v>0.60126424040662463</v>
      </c>
      <c r="Q23" s="189">
        <f t="shared" si="9"/>
        <v>0.38388881804434616</v>
      </c>
      <c r="R23" s="190">
        <f t="shared" si="10"/>
        <v>0.24528008137541124</v>
      </c>
      <c r="S23" s="188"/>
      <c r="T23" s="188"/>
      <c r="U23" s="188"/>
      <c r="V23" s="188"/>
      <c r="W23" s="188"/>
    </row>
    <row r="24" spans="1:42" ht="15" x14ac:dyDescent="0.2">
      <c r="C24" t="s">
        <v>194</v>
      </c>
      <c r="F24" s="144">
        <f t="shared" ref="F24:F25" si="13">F19/$D$14</f>
        <v>0.36817497729041837</v>
      </c>
      <c r="G24" s="144">
        <f t="shared" ref="G24:G25" si="14">G19/$E$14</f>
        <v>0.34691968530979972</v>
      </c>
      <c r="H24" s="144">
        <f t="shared" ref="H24:H25" si="15">H19/$F$14</f>
        <v>0.28484101080348528</v>
      </c>
      <c r="O24" s="101" t="s">
        <v>133</v>
      </c>
      <c r="P24" s="189">
        <f t="shared" si="8"/>
        <v>0.47167717486503269</v>
      </c>
      <c r="Q24" s="190">
        <f t="shared" si="9"/>
        <v>0.18365586126511313</v>
      </c>
      <c r="R24" s="188"/>
      <c r="S24" s="188"/>
      <c r="T24" s="188"/>
      <c r="U24" s="188"/>
      <c r="V24" s="188"/>
      <c r="W24" s="188"/>
    </row>
    <row r="25" spans="1:42" ht="15" x14ac:dyDescent="0.2">
      <c r="C25" t="s">
        <v>195</v>
      </c>
      <c r="F25" s="144">
        <f t="shared" si="13"/>
        <v>0.51135319204152541</v>
      </c>
      <c r="G25" s="144">
        <f t="shared" si="14"/>
        <v>0.5103890878675118</v>
      </c>
      <c r="H25" s="144">
        <f t="shared" si="15"/>
        <v>0.46929442371714014</v>
      </c>
      <c r="O25" s="96" t="s">
        <v>135</v>
      </c>
      <c r="P25" s="190">
        <f t="shared" si="8"/>
        <v>0.3528184988824381</v>
      </c>
      <c r="Q25" s="190"/>
      <c r="R25" s="188"/>
      <c r="S25" s="188"/>
      <c r="T25" s="188"/>
      <c r="U25" s="188"/>
      <c r="V25" s="188"/>
      <c r="W25" s="188"/>
    </row>
    <row r="26" spans="1:42" ht="20.25" customHeight="1" x14ac:dyDescent="0.2"/>
    <row r="27" spans="1:42" x14ac:dyDescent="0.2">
      <c r="C27" s="87"/>
    </row>
    <row r="28" spans="1:42" ht="16.5" customHeight="1" thickBot="1" x14ac:dyDescent="0.25">
      <c r="C28" s="86"/>
      <c r="H28" s="123"/>
      <c r="I28" s="123"/>
      <c r="J28" s="123"/>
    </row>
    <row r="29" spans="1:42" ht="13.5" customHeight="1" thickBot="1" x14ac:dyDescent="0.25">
      <c r="A29" s="117" t="s">
        <v>178</v>
      </c>
      <c r="C29" s="211" t="s">
        <v>163</v>
      </c>
      <c r="D29" s="212"/>
      <c r="E29" s="212"/>
      <c r="F29" s="212"/>
      <c r="G29" s="213"/>
      <c r="H29" s="211" t="s">
        <v>182</v>
      </c>
      <c r="I29" s="212"/>
      <c r="J29" s="212"/>
      <c r="K29" s="212"/>
      <c r="L29" s="213"/>
      <c r="M29" s="205" t="s">
        <v>190</v>
      </c>
      <c r="N29" s="206"/>
      <c r="O29" s="206"/>
      <c r="P29" s="205" t="s">
        <v>191</v>
      </c>
      <c r="Q29" s="206"/>
      <c r="R29" s="206"/>
      <c r="S29" s="205" t="s">
        <v>192</v>
      </c>
      <c r="T29" s="206"/>
      <c r="U29" s="206"/>
      <c r="V29" s="205" t="s">
        <v>192</v>
      </c>
      <c r="W29" s="206"/>
      <c r="X29" s="206"/>
    </row>
    <row r="30" spans="1:42" ht="21" x14ac:dyDescent="0.2">
      <c r="A30" s="116" t="s">
        <v>177</v>
      </c>
      <c r="C30" s="121"/>
      <c r="D30" s="121"/>
      <c r="E30" s="122" t="s">
        <v>173</v>
      </c>
      <c r="F30" s="122" t="s">
        <v>172</v>
      </c>
      <c r="G30" s="122" t="s">
        <v>174</v>
      </c>
      <c r="H30" s="122" t="s">
        <v>107</v>
      </c>
      <c r="I30" s="122" t="s">
        <v>107</v>
      </c>
      <c r="J30" s="122" t="s">
        <v>108</v>
      </c>
      <c r="K30" s="122" t="s">
        <v>108</v>
      </c>
      <c r="L30" s="122" t="s">
        <v>106</v>
      </c>
      <c r="M30" s="122" t="s">
        <v>107</v>
      </c>
      <c r="N30" s="122" t="s">
        <v>108</v>
      </c>
      <c r="O30" s="122" t="s">
        <v>106</v>
      </c>
      <c r="P30" s="129" t="s">
        <v>107</v>
      </c>
      <c r="Q30" s="129" t="s">
        <v>108</v>
      </c>
      <c r="R30" s="129" t="s">
        <v>106</v>
      </c>
      <c r="S30" s="129" t="s">
        <v>107</v>
      </c>
      <c r="T30" s="129" t="s">
        <v>108</v>
      </c>
      <c r="U30" s="129" t="s">
        <v>106</v>
      </c>
      <c r="V30" s="129" t="s">
        <v>107</v>
      </c>
      <c r="W30" s="129" t="s">
        <v>108</v>
      </c>
      <c r="X30" s="129" t="s">
        <v>106</v>
      </c>
      <c r="AA30" s="182" t="s">
        <v>182</v>
      </c>
    </row>
    <row r="31" spans="1:42" x14ac:dyDescent="0.2">
      <c r="C31" s="125" t="s">
        <v>137</v>
      </c>
      <c r="D31" s="125"/>
      <c r="E31" s="125">
        <v>14978</v>
      </c>
      <c r="F31" s="125">
        <v>6086</v>
      </c>
      <c r="G31" s="125">
        <f t="shared" ref="G31:G56" si="16">SUM(E31:F31)</f>
        <v>21064</v>
      </c>
      <c r="H31" s="125"/>
      <c r="I31" s="125"/>
      <c r="J31" s="125"/>
      <c r="K31" s="125"/>
      <c r="L31" s="125"/>
      <c r="M31" s="125">
        <f t="shared" ref="M31:M44" si="17">AVERAGE(G31:I31)</f>
        <v>21064</v>
      </c>
      <c r="N31" s="125">
        <f>AVERAGE(G31*1.1,J31:K31)</f>
        <v>23170.400000000001</v>
      </c>
      <c r="O31" s="125">
        <f>AVERAGE(G31*0.9,L31)</f>
        <v>18957.600000000002</v>
      </c>
      <c r="P31" s="130"/>
      <c r="Q31" s="130"/>
      <c r="R31" s="130"/>
      <c r="S31" s="125"/>
      <c r="T31" s="125"/>
      <c r="U31" s="125"/>
    </row>
    <row r="32" spans="1:42" x14ac:dyDescent="0.2">
      <c r="C32" s="126" t="s">
        <v>138</v>
      </c>
      <c r="D32" s="126"/>
      <c r="E32" s="126">
        <v>24338</v>
      </c>
      <c r="F32" s="126">
        <v>6086</v>
      </c>
      <c r="G32" s="126">
        <f t="shared" si="16"/>
        <v>30424</v>
      </c>
      <c r="H32" s="126"/>
      <c r="I32" s="126"/>
      <c r="J32" s="126"/>
      <c r="K32" s="126"/>
      <c r="L32" s="126"/>
      <c r="M32" s="126">
        <f t="shared" si="17"/>
        <v>30424</v>
      </c>
      <c r="N32" s="126">
        <f t="shared" ref="N32:N57" si="18">AVERAGE(G32*1.1,J32:K32)</f>
        <v>33466.400000000001</v>
      </c>
      <c r="O32" s="126">
        <f t="shared" ref="O32:O57" si="19">AVERAGE(G32*0.9,L32)</f>
        <v>27381.600000000002</v>
      </c>
      <c r="P32" s="131"/>
      <c r="Q32" s="131"/>
      <c r="R32" s="131"/>
      <c r="S32" s="126"/>
      <c r="T32" s="126"/>
      <c r="U32" s="126"/>
    </row>
    <row r="33" spans="3:27" x14ac:dyDescent="0.2">
      <c r="C33" s="126" t="s">
        <v>139</v>
      </c>
      <c r="D33" s="126"/>
      <c r="E33" s="126">
        <v>24338</v>
      </c>
      <c r="F33" s="126">
        <v>6086</v>
      </c>
      <c r="G33" s="126">
        <f t="shared" si="16"/>
        <v>30424</v>
      </c>
      <c r="H33" s="126"/>
      <c r="I33" s="126"/>
      <c r="J33" s="126"/>
      <c r="K33" s="126"/>
      <c r="L33" s="126"/>
      <c r="M33" s="126">
        <f t="shared" si="17"/>
        <v>30424</v>
      </c>
      <c r="N33" s="126">
        <f t="shared" si="18"/>
        <v>33466.400000000001</v>
      </c>
      <c r="O33" s="126">
        <f t="shared" si="19"/>
        <v>27381.600000000002</v>
      </c>
      <c r="P33" s="131"/>
      <c r="Q33" s="131"/>
      <c r="R33" s="131"/>
      <c r="S33" s="126"/>
      <c r="T33" s="126"/>
      <c r="U33" s="126"/>
      <c r="AA33" s="182" t="s">
        <v>213</v>
      </c>
    </row>
    <row r="34" spans="3:27" x14ac:dyDescent="0.2">
      <c r="C34" s="126" t="s">
        <v>140</v>
      </c>
      <c r="D34" s="126"/>
      <c r="E34" s="126">
        <v>26211</v>
      </c>
      <c r="F34" s="126">
        <v>6086</v>
      </c>
      <c r="G34" s="126">
        <f t="shared" si="16"/>
        <v>32297</v>
      </c>
      <c r="H34" s="126"/>
      <c r="I34" s="126"/>
      <c r="J34" s="126"/>
      <c r="K34" s="126"/>
      <c r="L34" s="126"/>
      <c r="M34" s="126">
        <f t="shared" si="17"/>
        <v>32297</v>
      </c>
      <c r="N34" s="126">
        <f t="shared" si="18"/>
        <v>35526.700000000004</v>
      </c>
      <c r="O34" s="126">
        <f t="shared" si="19"/>
        <v>29067.3</v>
      </c>
      <c r="P34" s="131"/>
      <c r="Q34" s="131"/>
      <c r="R34" s="131"/>
      <c r="S34" s="126"/>
      <c r="T34" s="126"/>
      <c r="U34" s="126"/>
    </row>
    <row r="35" spans="3:27" x14ac:dyDescent="0.2">
      <c r="C35" s="126" t="s">
        <v>141</v>
      </c>
      <c r="D35" s="126"/>
      <c r="E35" s="126">
        <v>28083</v>
      </c>
      <c r="F35" s="126">
        <v>6086</v>
      </c>
      <c r="G35" s="126">
        <f t="shared" si="16"/>
        <v>34169</v>
      </c>
      <c r="H35" s="126"/>
      <c r="I35" s="126"/>
      <c r="J35" s="126"/>
      <c r="K35" s="126"/>
      <c r="L35" s="126"/>
      <c r="M35" s="126">
        <f t="shared" si="17"/>
        <v>34169</v>
      </c>
      <c r="N35" s="126">
        <f t="shared" si="18"/>
        <v>37585.9</v>
      </c>
      <c r="O35" s="126">
        <f t="shared" si="19"/>
        <v>30752.100000000002</v>
      </c>
      <c r="P35" s="131"/>
      <c r="Q35" s="131"/>
      <c r="R35" s="131"/>
      <c r="S35" s="126"/>
      <c r="T35" s="126"/>
      <c r="U35" s="126"/>
    </row>
    <row r="36" spans="3:27" x14ac:dyDescent="0.2">
      <c r="C36" s="126" t="s">
        <v>142</v>
      </c>
      <c r="D36" s="126"/>
      <c r="E36" s="126">
        <v>29955</v>
      </c>
      <c r="F36" s="126">
        <v>6086</v>
      </c>
      <c r="G36" s="126">
        <f t="shared" si="16"/>
        <v>36041</v>
      </c>
      <c r="H36" s="126"/>
      <c r="I36" s="126"/>
      <c r="J36" s="126"/>
      <c r="K36" s="126"/>
      <c r="L36" s="126"/>
      <c r="M36" s="126">
        <f t="shared" si="17"/>
        <v>36041</v>
      </c>
      <c r="N36" s="126">
        <f t="shared" si="18"/>
        <v>39645.100000000006</v>
      </c>
      <c r="O36" s="126">
        <f t="shared" si="19"/>
        <v>32436.9</v>
      </c>
      <c r="P36" s="131"/>
      <c r="Q36" s="131"/>
      <c r="R36" s="131"/>
      <c r="S36" s="126"/>
      <c r="T36" s="126"/>
      <c r="U36" s="126"/>
    </row>
    <row r="37" spans="3:27" x14ac:dyDescent="0.2">
      <c r="C37" s="127" t="s">
        <v>143</v>
      </c>
      <c r="D37" s="127"/>
      <c r="E37" s="127">
        <v>14978</v>
      </c>
      <c r="F37" s="127">
        <v>6086</v>
      </c>
      <c r="G37" s="127">
        <f t="shared" si="16"/>
        <v>21064</v>
      </c>
      <c r="H37" s="127"/>
      <c r="I37" s="127"/>
      <c r="J37" s="127"/>
      <c r="K37" s="127"/>
      <c r="L37" s="127"/>
      <c r="M37" s="127">
        <f t="shared" si="17"/>
        <v>21064</v>
      </c>
      <c r="N37" s="127">
        <f t="shared" si="18"/>
        <v>23170.400000000001</v>
      </c>
      <c r="O37" s="127">
        <f>AVERAGE(G37*0.9,L37)</f>
        <v>18957.600000000002</v>
      </c>
      <c r="P37" s="132">
        <f>1-(AVERAGE(AB5:AB7)/AVERAGE($AB$8:$AB$10))</f>
        <v>0.37653778558875217</v>
      </c>
      <c r="Q37" s="132">
        <f>1-(AVERAGE(AC5:AC7)/AVERAGE($AC$8:$AC$10))</f>
        <v>0.38465919878488697</v>
      </c>
      <c r="R37" s="132">
        <f>1-(AVERAGE(AD5:AD7)/AVERAGE($AD$8:$AD$10))</f>
        <v>0.35672514619883033</v>
      </c>
      <c r="S37" s="127">
        <f>SUM(D6:D8)/SUM(D6:D13)*M37</f>
        <v>2155.8776533753853</v>
      </c>
      <c r="T37" s="127">
        <f>SUM(E6:E8)/SUM(E6:E13)*N37</f>
        <v>2731.2453287173885</v>
      </c>
      <c r="U37" s="127">
        <f>SUM(F6:F8)/SUM(F6:F13)*O37</f>
        <v>3978.7737999936576</v>
      </c>
      <c r="V37" s="132">
        <f>SUM(D6:D8)/SUM(D6:D13)*P37</f>
        <v>3.8538235738807589E-2</v>
      </c>
      <c r="W37" s="132">
        <f>SUM(E6:E8)/SUM(E6:E13)*Q37</f>
        <v>4.5342274618884251E-2</v>
      </c>
      <c r="X37" s="132">
        <f>SUM(F6:F8)/SUM(F6:F13)*R37</f>
        <v>7.4868583865827593E-2</v>
      </c>
    </row>
    <row r="38" spans="3:27" x14ac:dyDescent="0.2">
      <c r="C38" s="125" t="s">
        <v>144</v>
      </c>
      <c r="D38" s="125"/>
      <c r="E38" s="125">
        <v>24338</v>
      </c>
      <c r="F38" s="125">
        <v>6086</v>
      </c>
      <c r="G38" s="125">
        <f t="shared" si="16"/>
        <v>30424</v>
      </c>
      <c r="H38" s="125"/>
      <c r="I38" s="125"/>
      <c r="J38" s="125"/>
      <c r="K38" s="125"/>
      <c r="L38" s="125"/>
      <c r="M38" s="125">
        <f t="shared" si="17"/>
        <v>30424</v>
      </c>
      <c r="N38" s="125">
        <f t="shared" si="18"/>
        <v>33466.400000000001</v>
      </c>
      <c r="O38" s="125">
        <f t="shared" si="19"/>
        <v>27381.600000000002</v>
      </c>
      <c r="P38" s="133">
        <f>1-(AVERAGE(AB5:AB7)/AVERAGE($AB$11:$AB$13))</f>
        <v>0.42128964902402399</v>
      </c>
      <c r="Q38" s="133">
        <f>1-(AVERAGE(AC5:AC7)/AVERAGE($AC$11:$AC$13))</f>
        <v>0.43541237538106614</v>
      </c>
      <c r="R38" s="133">
        <f>1-(AVERAGE(AD5:AD7)/AVERAGE($AD$11:$AD$13))</f>
        <v>0.39164922331166674</v>
      </c>
      <c r="S38" s="125">
        <f>SUM(D9)/SUM(D6:D13)*M38</f>
        <v>11432.162401919726</v>
      </c>
      <c r="T38" s="125">
        <f t="shared" ref="T38:U38" si="20">SUM(E9)/SUM(E6:E13)*N38</f>
        <v>11946.208000785055</v>
      </c>
      <c r="U38" s="125">
        <f t="shared" si="20"/>
        <v>8171.5871871879508</v>
      </c>
      <c r="V38" s="133">
        <f>SUM(D9)/SUM(D6:D13)*P38</f>
        <v>0.15830435465061807</v>
      </c>
      <c r="W38" s="133">
        <f>SUM(E9)/SUM(E6:E13)*Q38</f>
        <v>0.15542534609094846</v>
      </c>
      <c r="X38" s="133">
        <f>SUM(F9)/SUM(F6:F13)*R38</f>
        <v>0.11688125511605342</v>
      </c>
    </row>
    <row r="39" spans="3:27" x14ac:dyDescent="0.2">
      <c r="C39" s="127" t="s">
        <v>145</v>
      </c>
      <c r="D39" s="127"/>
      <c r="E39" s="127">
        <v>7489</v>
      </c>
      <c r="F39" s="127">
        <v>5326</v>
      </c>
      <c r="G39" s="127">
        <f t="shared" si="16"/>
        <v>12815</v>
      </c>
      <c r="H39" s="127">
        <v>5200</v>
      </c>
      <c r="I39" s="127"/>
      <c r="J39" s="127"/>
      <c r="K39" s="127"/>
      <c r="L39" s="127"/>
      <c r="M39" s="127">
        <f>AVERAGE(G39:I39)</f>
        <v>9007.5</v>
      </c>
      <c r="N39" s="127">
        <f t="shared" si="18"/>
        <v>14096.500000000002</v>
      </c>
      <c r="O39" s="127">
        <f>AVERAGE(G39*0.9,L39)</f>
        <v>11533.5</v>
      </c>
      <c r="P39" s="132">
        <f>1-(AVERAGE(AB8:AB10)/AVERAGE($AB$11:$AB$13))</f>
        <v>7.1779592092092059E-2</v>
      </c>
      <c r="Q39" s="132">
        <f>1-(AVERAGE(AC8:AC10)/AVERAGE($AC$11:$AC$13))</f>
        <v>8.2479784366576991E-2</v>
      </c>
      <c r="R39" s="132">
        <f>1-(AVERAGE(AD8:AD10)/AVERAGE($AD$11:$AD$13))</f>
        <v>5.4291065329954646E-2</v>
      </c>
      <c r="S39" s="127">
        <f>D9/SUM(D6:D13)*M39</f>
        <v>3384.6700905631055</v>
      </c>
      <c r="T39" s="127">
        <f>E9/SUM(E6:E13)*N39</f>
        <v>5031.9042706435866</v>
      </c>
      <c r="U39" s="127">
        <f>F9/SUM(F6:F13)*O39</f>
        <v>3441.9829675195106</v>
      </c>
      <c r="V39" s="132">
        <f>D9/SUM(D6:D13)*P39</f>
        <v>2.6971994278870277E-2</v>
      </c>
      <c r="W39" s="132">
        <f t="shared" ref="W39:X39" si="21">E9/SUM(E6:E13)*Q39</f>
        <v>2.9442086985843354E-2</v>
      </c>
      <c r="X39" s="132">
        <f t="shared" si="21"/>
        <v>1.6202273564329378E-2</v>
      </c>
    </row>
    <row r="40" spans="3:27" x14ac:dyDescent="0.2">
      <c r="C40" s="126" t="s">
        <v>146</v>
      </c>
      <c r="D40" s="126"/>
      <c r="E40" s="126">
        <v>24338</v>
      </c>
      <c r="F40" s="126">
        <v>6086</v>
      </c>
      <c r="G40" s="126">
        <f t="shared" si="16"/>
        <v>30424</v>
      </c>
      <c r="H40" s="126"/>
      <c r="I40" s="126"/>
      <c r="J40" s="126"/>
      <c r="K40" s="126"/>
      <c r="L40" s="126"/>
      <c r="M40" s="126">
        <f t="shared" si="17"/>
        <v>30424</v>
      </c>
      <c r="N40" s="126">
        <f t="shared" si="18"/>
        <v>33466.400000000001</v>
      </c>
      <c r="O40" s="126">
        <f t="shared" si="19"/>
        <v>27381.600000000002</v>
      </c>
      <c r="P40" s="134">
        <f>1-(AVERAGE(AB5:AB7)/AVERAGE($AB$14:$AB$15))</f>
        <v>0.62274615839243497</v>
      </c>
      <c r="Q40" s="134">
        <f>1-(AVERAGE(AC5:AC7)/AVERAGE($AC$14:$AC$15))</f>
        <v>0.63238897979724307</v>
      </c>
      <c r="R40" s="134">
        <f>1-(AVERAGE(AD5:AD7)/AVERAGE($AD$14:$AD$15))</f>
        <v>0.59252763605442182</v>
      </c>
      <c r="S40" s="125">
        <f>SUM(D10)/SUM(D6:D13)*M40</f>
        <v>7602.2363231160143</v>
      </c>
      <c r="T40" s="125">
        <f>SUM(E10)/SUM(E6:E13)*N40</f>
        <v>7922.3959556852897</v>
      </c>
      <c r="U40" s="125">
        <f>SUM(F10)/SUM(F6:F13)*O40</f>
        <v>6067.7537814310308</v>
      </c>
      <c r="V40" s="133">
        <f>SUM(D10)/SUM(D6:D13)*P40</f>
        <v>0.15560950122968473</v>
      </c>
      <c r="W40" s="133">
        <f>SUM(E10)/SUM(E6:E13)*Q40</f>
        <v>0.14970346066399806</v>
      </c>
      <c r="X40" s="133">
        <f>SUM(F10)/SUM(F6:F13)*R40</f>
        <v>0.13130393418469363</v>
      </c>
    </row>
    <row r="41" spans="3:27" x14ac:dyDescent="0.2">
      <c r="C41" s="125" t="s">
        <v>147</v>
      </c>
      <c r="D41" s="125"/>
      <c r="E41" s="125">
        <v>7489</v>
      </c>
      <c r="F41" s="125">
        <v>5326</v>
      </c>
      <c r="G41" s="125">
        <f t="shared" si="16"/>
        <v>12815</v>
      </c>
      <c r="H41" s="125"/>
      <c r="I41" s="125"/>
      <c r="J41" s="125"/>
      <c r="K41" s="125"/>
      <c r="L41" s="125"/>
      <c r="M41" s="125">
        <f t="shared" si="17"/>
        <v>12815</v>
      </c>
      <c r="N41" s="125">
        <f t="shared" si="18"/>
        <v>14096.500000000002</v>
      </c>
      <c r="O41" s="125">
        <f t="shared" si="19"/>
        <v>11533.5</v>
      </c>
      <c r="P41" s="133">
        <f>1-(AVERAGE(AB8:AB10)/AVERAGE($AB$14:$AB$15))</f>
        <v>0.39490504334121357</v>
      </c>
      <c r="Q41" s="133">
        <f>1-(AVERAGE(AC8:AC10)/AVERAGE($AC$14:$AC$15))</f>
        <v>0.40258955772665206</v>
      </c>
      <c r="R41" s="133">
        <f>1-(AVERAGE(AD8:AD10)/AVERAGE($AD$14:$AD$15))</f>
        <v>0.36656568877551032</v>
      </c>
      <c r="S41" s="125">
        <f>SUM(D10)/SUM(D6:D13)*M41</f>
        <v>3202.1646884279426</v>
      </c>
      <c r="T41" s="125">
        <f t="shared" ref="T41:U41" si="22">SUM(E10)/SUM(E6:E13)*N41</f>
        <v>3337.0202528302325</v>
      </c>
      <c r="U41" s="125">
        <f t="shared" si="22"/>
        <v>2555.819902348102</v>
      </c>
      <c r="V41" s="133">
        <f>SUM(D10)/SUM(D6:D13)*P41</f>
        <v>9.8677408120900534E-2</v>
      </c>
      <c r="W41" s="133">
        <f t="shared" ref="W41:X41" si="23">SUM(E10)/SUM(E6:E13)*Q41</f>
        <v>9.5303763892583535E-2</v>
      </c>
      <c r="X41" s="133">
        <f t="shared" si="23"/>
        <v>8.1230839111318301E-2</v>
      </c>
    </row>
    <row r="42" spans="3:27" x14ac:dyDescent="0.2">
      <c r="C42" s="127" t="s">
        <v>148</v>
      </c>
      <c r="D42" s="127"/>
      <c r="E42" s="127">
        <v>3744</v>
      </c>
      <c r="F42" s="127">
        <v>4565</v>
      </c>
      <c r="G42" s="127">
        <f t="shared" si="16"/>
        <v>8309</v>
      </c>
      <c r="H42" s="127">
        <v>5000</v>
      </c>
      <c r="I42" s="127">
        <v>9300</v>
      </c>
      <c r="J42" s="127">
        <v>30000</v>
      </c>
      <c r="K42" s="127"/>
      <c r="L42" s="127"/>
      <c r="M42" s="127">
        <f t="shared" si="17"/>
        <v>7536.333333333333</v>
      </c>
      <c r="N42" s="127">
        <f t="shared" si="18"/>
        <v>19569.95</v>
      </c>
      <c r="O42" s="127">
        <f t="shared" si="19"/>
        <v>7478.1</v>
      </c>
      <c r="P42" s="132">
        <f>1-(AVERAGE(AB11:AB13)/AVERAGE($AB$14:$AB$15))</f>
        <v>0.34811284959507149</v>
      </c>
      <c r="Q42" s="132">
        <f>1-(AVERAGE(AC11:AC13)/AVERAGE($AC$14:$AC$15))</f>
        <v>0.34888579881488802</v>
      </c>
      <c r="R42" s="132">
        <f>1-(AVERAGE(AD11:AD13)/AVERAGE($AD$14:$AD$15))</f>
        <v>0.33020162123614405</v>
      </c>
      <c r="S42" s="127">
        <f>D10/SUM(D6:D13)*M42</f>
        <v>1883.1510324012836</v>
      </c>
      <c r="T42" s="127">
        <f>E10/SUM(E6:E13)*N42</f>
        <v>4632.7329122033843</v>
      </c>
      <c r="U42" s="127">
        <f>F10/SUM(F6:F13)*O42</f>
        <v>1657.1445625134904</v>
      </c>
      <c r="V42" s="132">
        <f>D10/SUM(D6:D13)*P42</f>
        <v>8.6985148229525189E-2</v>
      </c>
      <c r="W42" s="132">
        <f t="shared" ref="W42:X42" si="24">E10/SUM(E6:E13)*Q42</f>
        <v>8.2590641405322962E-2</v>
      </c>
      <c r="X42" s="132">
        <f t="shared" si="24"/>
        <v>7.3172573402951982E-2</v>
      </c>
    </row>
    <row r="43" spans="3:27" x14ac:dyDescent="0.2">
      <c r="C43" s="126" t="s">
        <v>149</v>
      </c>
      <c r="D43" s="126"/>
      <c r="E43" s="126">
        <v>26211</v>
      </c>
      <c r="F43" s="126">
        <v>6086</v>
      </c>
      <c r="G43" s="126">
        <f t="shared" si="16"/>
        <v>32297</v>
      </c>
      <c r="H43" s="126"/>
      <c r="I43" s="126"/>
      <c r="J43" s="126"/>
      <c r="K43" s="126"/>
      <c r="L43" s="126"/>
      <c r="M43" s="126">
        <f t="shared" si="17"/>
        <v>32297</v>
      </c>
      <c r="N43" s="126">
        <f t="shared" si="18"/>
        <v>35526.700000000004</v>
      </c>
      <c r="O43" s="126">
        <f t="shared" si="19"/>
        <v>29067.3</v>
      </c>
      <c r="P43" s="134">
        <f>1-(AVERAGE(AB5:AB7)/AVERAGE($AB$16:$AB$17))</f>
        <v>0.72048950572088954</v>
      </c>
      <c r="Q43" s="134">
        <f>1-(AVERAGE(AC5:AC7)/AVERAGE($AC$16:$AC$17))</f>
        <v>0.72567185426004643</v>
      </c>
      <c r="R43" s="134">
        <f>1-(AVERAGE(AD5:AD7)/AVERAGE($AD$16:$AD$17))</f>
        <v>0.70737083673038015</v>
      </c>
      <c r="S43" s="125">
        <f>SUM(D$11)/SUM(D$6:D$13)*M43</f>
        <v>4362.2517866563512</v>
      </c>
      <c r="T43" s="125">
        <f t="shared" ref="T43" si="25">SUM(E$11)/SUM(E$6:E$13)*N43</f>
        <v>4107.3103757879071</v>
      </c>
      <c r="U43" s="125">
        <f t="shared" ref="U43" si="26">SUM(F$11)/SUM(F$6:F$13)*O43</f>
        <v>3794.7241279737277</v>
      </c>
      <c r="V43" s="133">
        <f>SUM(D$11)/SUM(D$6:D$13)*P43</f>
        <v>9.7314197405272987E-2</v>
      </c>
      <c r="W43" s="133">
        <f t="shared" ref="W43" si="27">SUM(E$11)/SUM(E$6:E$13)*Q43</f>
        <v>8.3896324072304435E-2</v>
      </c>
      <c r="X43" s="133">
        <f t="shared" ref="X43" si="28">SUM(F$11)/SUM(F$6:F$13)*R43</f>
        <v>9.234697345696842E-2</v>
      </c>
    </row>
    <row r="44" spans="3:27" x14ac:dyDescent="0.2">
      <c r="C44" s="125" t="s">
        <v>150</v>
      </c>
      <c r="D44" s="125"/>
      <c r="E44" s="125">
        <v>14978</v>
      </c>
      <c r="F44" s="125">
        <v>5326</v>
      </c>
      <c r="G44" s="125">
        <f t="shared" si="16"/>
        <v>20304</v>
      </c>
      <c r="H44" s="125"/>
      <c r="I44" s="125"/>
      <c r="J44" s="125"/>
      <c r="K44" s="125"/>
      <c r="L44" s="125"/>
      <c r="M44" s="125">
        <f t="shared" si="17"/>
        <v>20304</v>
      </c>
      <c r="N44" s="125">
        <f t="shared" si="18"/>
        <v>22334.400000000001</v>
      </c>
      <c r="O44" s="125">
        <f t="shared" si="19"/>
        <v>18273.600000000002</v>
      </c>
      <c r="P44" s="133">
        <f>1-(AVERAGE(AB8:AB10)/AVERAGE($AB$16:$AB$17))</f>
        <v>0.55168013743533795</v>
      </c>
      <c r="Q44" s="133">
        <f>1-(AVERAGE(AC8:AC10)/AVERAGE($AC$16:$AC$17))</f>
        <v>0.55418502202643172</v>
      </c>
      <c r="R44" s="133">
        <f>1-(AVERAGE(AD8:AD10)/AVERAGE($AD$16:$AD$17))</f>
        <v>0.5450946643717729</v>
      </c>
      <c r="S44" s="125">
        <f>SUM(D$11)/SUM(D$6:D$13)*M44</f>
        <v>2742.3958967170497</v>
      </c>
      <c r="T44" s="125">
        <f t="shared" ref="T44:U44" si="29">SUM(E$11)/SUM(E$6:E$13)*N44</f>
        <v>2582.1231033841427</v>
      </c>
      <c r="U44" s="125">
        <f t="shared" si="29"/>
        <v>2385.6110070402383</v>
      </c>
      <c r="V44" s="133">
        <f>SUM(D$11)/SUM(D$6:D$13)*P44</f>
        <v>7.4513659633715965E-2</v>
      </c>
      <c r="W44" s="133">
        <f t="shared" ref="W44:X44" si="30">SUM(E$11)/SUM(E$6:E$13)*Q44</f>
        <v>6.4070400320756282E-2</v>
      </c>
      <c r="X44" s="133">
        <f t="shared" si="30"/>
        <v>7.1161885518135765E-2</v>
      </c>
    </row>
    <row r="45" spans="3:27" x14ac:dyDescent="0.2">
      <c r="C45" s="126" t="s">
        <v>151</v>
      </c>
      <c r="D45" s="126"/>
      <c r="E45" s="126">
        <v>9361</v>
      </c>
      <c r="F45" s="126">
        <v>4565</v>
      </c>
      <c r="G45" s="126">
        <f t="shared" si="16"/>
        <v>13926</v>
      </c>
      <c r="H45" s="126">
        <f>H46+12600</f>
        <v>24800</v>
      </c>
      <c r="I45" s="126"/>
      <c r="J45" s="126"/>
      <c r="K45" s="126">
        <v>15500</v>
      </c>
      <c r="L45" s="126"/>
      <c r="M45" s="126">
        <f t="shared" ref="M45:M57" si="31">AVERAGE(G45:I45)</f>
        <v>19363</v>
      </c>
      <c r="N45" s="126">
        <f t="shared" si="18"/>
        <v>15409.3</v>
      </c>
      <c r="O45" s="126">
        <f t="shared" si="19"/>
        <v>12533.4</v>
      </c>
      <c r="P45" s="134">
        <f>1-(AVERAGE(AB11:AB13)/AVERAGE($AB$16:$AB$17))</f>
        <v>0.51701141372756654</v>
      </c>
      <c r="Q45" s="134">
        <f>1-(AVERAGE(AC11:AC13)/AVERAGE($AC$16:$AC$17))</f>
        <v>0.51410882247886636</v>
      </c>
      <c r="R45" s="134">
        <f>1-(AVERAGE(AD11:AD13)/AVERAGE($AD$16:$AD$17))</f>
        <v>0.51897955179312949</v>
      </c>
      <c r="S45" s="125">
        <f>SUM(D$11)/SUM(D$6:D$13)*M45</f>
        <v>2615.298056941107</v>
      </c>
      <c r="T45" s="125">
        <f t="shared" ref="T45" si="32">SUM(E$11)/SUM(E$6:E$13)*N45</f>
        <v>1781.4989226026787</v>
      </c>
      <c r="U45" s="125">
        <f t="shared" ref="U45" si="33">SUM(F$11)/SUM(F$6:F$13)*O45</f>
        <v>1636.2302444859317</v>
      </c>
      <c r="V45" s="133">
        <f>SUM(D$11)/SUM(D$6:D$13)*P45</f>
        <v>6.9831066763315575E-2</v>
      </c>
      <c r="W45" s="133">
        <f t="shared" ref="W45" si="34">SUM(E$11)/SUM(E$6:E$13)*Q45</f>
        <v>5.9437113518890035E-2</v>
      </c>
      <c r="X45" s="133">
        <f t="shared" ref="X45" si="35">SUM(F$11)/SUM(F$6:F$13)*R45</f>
        <v>6.7752568250727771E-2</v>
      </c>
    </row>
    <row r="46" spans="3:27" x14ac:dyDescent="0.2">
      <c r="C46" s="127" t="s">
        <v>152</v>
      </c>
      <c r="D46" s="127"/>
      <c r="E46" s="127">
        <v>9361</v>
      </c>
      <c r="F46" s="127">
        <v>3804</v>
      </c>
      <c r="G46" s="127">
        <f t="shared" si="16"/>
        <v>13165</v>
      </c>
      <c r="H46" s="127">
        <v>12200</v>
      </c>
      <c r="I46" s="127"/>
      <c r="J46" s="127">
        <v>14000</v>
      </c>
      <c r="K46" s="127">
        <v>2000</v>
      </c>
      <c r="L46" s="127"/>
      <c r="M46" s="127">
        <f t="shared" si="31"/>
        <v>12682.5</v>
      </c>
      <c r="N46" s="127">
        <f t="shared" si="18"/>
        <v>10160.5</v>
      </c>
      <c r="O46" s="127">
        <f t="shared" si="19"/>
        <v>11848.5</v>
      </c>
      <c r="P46" s="132">
        <f>1-(AVERAGE(AB14:AB15)/AVERAGE($AB$16:$AB$17))</f>
        <v>0.25909172166928174</v>
      </c>
      <c r="Q46" s="132">
        <f>1-(AVERAGE(AC14:AC15)/AVERAGE($AC$16:$AC$17))</f>
        <v>0.25375429281568596</v>
      </c>
      <c r="R46" s="132">
        <f>1-(AVERAGE(AD14:AD15)/AVERAGE($AD$16:$AD$17))</f>
        <v>0.28184291951465146</v>
      </c>
      <c r="S46" s="127">
        <f>D11/SUM(D6:D13)*M46</f>
        <v>1712.9844345997824</v>
      </c>
      <c r="T46" s="127">
        <f>E11/SUM(E6:E13)*N46</f>
        <v>1174.67502113039</v>
      </c>
      <c r="U46" s="127">
        <f>F11/SUM(F6:F13)*O46</f>
        <v>1546.8168295747014</v>
      </c>
      <c r="V46" s="132">
        <f>D11/SUM(D6:D13)*P46</f>
        <v>3.4994684514341713E-2</v>
      </c>
      <c r="W46" s="132">
        <f t="shared" ref="W46:X46" si="36">E11/SUM(E6:E13)*Q46</f>
        <v>2.9337023697179571E-2</v>
      </c>
      <c r="X46" s="132">
        <f t="shared" si="36"/>
        <v>3.6794477883422452E-2</v>
      </c>
    </row>
    <row r="47" spans="3:27" x14ac:dyDescent="0.2">
      <c r="C47" s="126" t="s">
        <v>153</v>
      </c>
      <c r="D47" s="126"/>
      <c r="E47" s="126">
        <v>28083</v>
      </c>
      <c r="F47" s="126">
        <v>6086</v>
      </c>
      <c r="G47" s="126">
        <f t="shared" si="16"/>
        <v>34169</v>
      </c>
      <c r="H47" s="126"/>
      <c r="I47" s="126"/>
      <c r="J47" s="126"/>
      <c r="K47" s="126"/>
      <c r="L47" s="126"/>
      <c r="M47" s="126">
        <f t="shared" si="31"/>
        <v>34169</v>
      </c>
      <c r="N47" s="126">
        <f t="shared" si="18"/>
        <v>37585.9</v>
      </c>
      <c r="O47" s="126">
        <f t="shared" si="19"/>
        <v>30752.100000000002</v>
      </c>
      <c r="P47" s="134">
        <f>1-(AVERAGE(AB5:AB7)/$AB$18)</f>
        <v>0.7842125554199062</v>
      </c>
      <c r="Q47" s="134">
        <f>1-(AVERAGE(AC5:AC7)/$AC$18)</f>
        <v>0.78572817895429459</v>
      </c>
      <c r="R47" s="134">
        <f>1-(AVERAGE(AD5:AD7)/$AD$18)</f>
        <v>0.77453416149068322</v>
      </c>
      <c r="S47" s="125">
        <f>SUM(D$12)/SUM(D$6:D$13)*M47</f>
        <v>2280.8985892319106</v>
      </c>
      <c r="T47" s="125">
        <f t="shared" ref="T47" si="37">SUM(E$12)/SUM(E$6:E$13)*N47</f>
        <v>2308.4294549566052</v>
      </c>
      <c r="U47" s="125">
        <f t="shared" ref="U47" si="38">SUM(F$12)/SUM(F$6:F$13)*O47</f>
        <v>1921.2154160116083</v>
      </c>
      <c r="V47" s="133">
        <f>SUM(D$12)/SUM(D$6:D$13)*P47</f>
        <v>5.2348892601926177E-2</v>
      </c>
      <c r="W47" s="133">
        <f t="shared" ref="W47" si="39">SUM(E$12)/SUM(E$6:E$13)*Q47</f>
        <v>4.8257406950146416E-2</v>
      </c>
      <c r="X47" s="133">
        <f t="shared" ref="X47" si="40">SUM(F$12)/SUM(F$6:F$13)*R47</f>
        <v>4.8388466845630869E-2</v>
      </c>
    </row>
    <row r="48" spans="3:27" x14ac:dyDescent="0.2">
      <c r="C48" s="125" t="s">
        <v>154</v>
      </c>
      <c r="D48" s="125"/>
      <c r="E48" s="125">
        <v>16850</v>
      </c>
      <c r="F48" s="125">
        <v>5326</v>
      </c>
      <c r="G48" s="125">
        <f t="shared" si="16"/>
        <v>22176</v>
      </c>
      <c r="H48" s="125"/>
      <c r="I48" s="125"/>
      <c r="J48" s="125"/>
      <c r="K48" s="125"/>
      <c r="L48" s="125"/>
      <c r="M48" s="125">
        <f t="shared" si="31"/>
        <v>22176</v>
      </c>
      <c r="N48" s="125">
        <f t="shared" si="18"/>
        <v>24393.600000000002</v>
      </c>
      <c r="O48" s="125">
        <f t="shared" si="19"/>
        <v>19958.400000000001</v>
      </c>
      <c r="P48" s="133">
        <f>1-(AVERAGE(AB8:AB10)/$AB$18)</f>
        <v>0.65388849621966627</v>
      </c>
      <c r="Q48" s="133">
        <f>1-(AVERAGE(AC8:AC10)/$AC$18)</f>
        <v>0.65178349847339401</v>
      </c>
      <c r="R48" s="133">
        <f>1-(AVERAGE(AD8:AD10)/$AD$18)</f>
        <v>0.64950310559006208</v>
      </c>
      <c r="S48" s="125">
        <f>SUM(D$12)/SUM(D$6:D$13)*M48</f>
        <v>1480.3244787616509</v>
      </c>
      <c r="T48" s="125">
        <f t="shared" ref="T48:U48" si="41">SUM(E$12)/SUM(E$6:E$13)*N48</f>
        <v>1498.1922676437027</v>
      </c>
      <c r="U48" s="125">
        <f t="shared" si="41"/>
        <v>1246.8867413583491</v>
      </c>
      <c r="V48" s="133">
        <f>SUM(D$12)/SUM(D$6:D$13)*P48</f>
        <v>4.3649312199432591E-2</v>
      </c>
      <c r="W48" s="133">
        <f t="shared" ref="W48:X48" si="42">SUM(E$12)/SUM(E$6:E$13)*Q48</f>
        <v>4.0030868653687851E-2</v>
      </c>
      <c r="X48" s="133">
        <f t="shared" si="42"/>
        <v>4.0577241203268805E-2</v>
      </c>
    </row>
    <row r="49" spans="3:24" x14ac:dyDescent="0.2">
      <c r="C49" s="126" t="s">
        <v>155</v>
      </c>
      <c r="D49" s="126"/>
      <c r="E49" s="126">
        <v>11233</v>
      </c>
      <c r="F49" s="126">
        <v>4565</v>
      </c>
      <c r="G49" s="126">
        <f t="shared" si="16"/>
        <v>15798</v>
      </c>
      <c r="H49" s="126">
        <v>11000</v>
      </c>
      <c r="I49" s="126"/>
      <c r="J49" s="126">
        <f>J50+16375</f>
        <v>35375</v>
      </c>
      <c r="K49" s="126"/>
      <c r="L49" s="126"/>
      <c r="M49" s="126">
        <f t="shared" si="31"/>
        <v>13399</v>
      </c>
      <c r="N49" s="126">
        <f t="shared" si="18"/>
        <v>26376.400000000001</v>
      </c>
      <c r="O49" s="126">
        <f t="shared" si="19"/>
        <v>14218.2</v>
      </c>
      <c r="P49" s="134">
        <f>1-(AVERAGE(AB11:AB13)/$AB$18)</f>
        <v>0.62712357880557112</v>
      </c>
      <c r="Q49" s="134">
        <f>1-(AVERAGE(AC11:AC13)/$AC$18)</f>
        <v>0.62048083999303505</v>
      </c>
      <c r="R49" s="134">
        <f>1-(AVERAGE(AD11:AD13)/$AD$18)</f>
        <v>0.62938185147608328</v>
      </c>
      <c r="S49" s="125">
        <f>SUM(D$12)/SUM(D$6:D$13)*M49</f>
        <v>894.42945936721503</v>
      </c>
      <c r="T49" s="125">
        <f t="shared" ref="T49:T50" si="43">SUM(E$12)/SUM(E$6:E$13)*N49</f>
        <v>1619.9707516839401</v>
      </c>
      <c r="U49" s="125">
        <f t="shared" ref="U49:U50" si="44">SUM(F$12)/SUM(F$6:F$13)*O49</f>
        <v>888.27185876529575</v>
      </c>
      <c r="V49" s="133">
        <f>SUM(D$12)/SUM(D$6:D$13)*P49</f>
        <v>4.1862661657399811E-2</v>
      </c>
      <c r="W49" s="133">
        <f t="shared" ref="W49:W50" si="45">SUM(E$12)/SUM(E$6:E$13)*Q49</f>
        <v>3.8108339757093442E-2</v>
      </c>
      <c r="X49" s="133">
        <f t="shared" ref="X49:X50" si="46">SUM(F$12)/SUM(F$6:F$13)*R49</f>
        <v>3.9320180267811942E-2</v>
      </c>
    </row>
    <row r="50" spans="3:24" x14ac:dyDescent="0.2">
      <c r="C50" s="126" t="s">
        <v>156</v>
      </c>
      <c r="D50" s="126"/>
      <c r="E50" s="126">
        <v>7489</v>
      </c>
      <c r="F50" s="126">
        <v>3804</v>
      </c>
      <c r="G50" s="126">
        <f t="shared" si="16"/>
        <v>11293</v>
      </c>
      <c r="H50" s="126">
        <v>9000</v>
      </c>
      <c r="I50" s="126"/>
      <c r="J50" s="126">
        <v>19000</v>
      </c>
      <c r="K50" s="126"/>
      <c r="L50" s="126"/>
      <c r="M50" s="126">
        <f t="shared" si="31"/>
        <v>10146.5</v>
      </c>
      <c r="N50" s="126">
        <f t="shared" si="18"/>
        <v>15711.150000000001</v>
      </c>
      <c r="O50" s="126">
        <f t="shared" si="19"/>
        <v>10163.700000000001</v>
      </c>
      <c r="P50" s="134">
        <f>1-(AVERAGE(AB14:AB15)/$AB$18)</f>
        <v>0.42800464625999812</v>
      </c>
      <c r="Q50" s="134">
        <f>1-(AVERAGE(AC14:AC15)/$AC$18)</f>
        <v>0.41712351025950434</v>
      </c>
      <c r="R50" s="134">
        <f>1-(AVERAGE(AD14:AD15)/$AD$18)</f>
        <v>0.44667207285883592</v>
      </c>
      <c r="S50" s="125">
        <f>SUM(D$12)/SUM(D$6:D$13)*M50</f>
        <v>677.31386741319852</v>
      </c>
      <c r="T50" s="125">
        <f t="shared" si="43"/>
        <v>964.93848574176673</v>
      </c>
      <c r="U50" s="125">
        <f t="shared" si="44"/>
        <v>634.96987599927104</v>
      </c>
      <c r="V50" s="133">
        <f>SUM(D$12)/SUM(D$6:D$13)*P50</f>
        <v>2.857078620501427E-2</v>
      </c>
      <c r="W50" s="133">
        <f t="shared" si="45"/>
        <v>2.5618654799750264E-2</v>
      </c>
      <c r="X50" s="133">
        <f t="shared" si="46"/>
        <v>2.7905517746048429E-2</v>
      </c>
    </row>
    <row r="51" spans="3:24" x14ac:dyDescent="0.2">
      <c r="C51" s="127" t="s">
        <v>157</v>
      </c>
      <c r="D51" s="127"/>
      <c r="E51" s="127">
        <v>5617</v>
      </c>
      <c r="F51" s="127">
        <v>3043</v>
      </c>
      <c r="G51" s="127">
        <f t="shared" si="16"/>
        <v>8660</v>
      </c>
      <c r="H51" s="127">
        <v>1000</v>
      </c>
      <c r="I51" s="127"/>
      <c r="J51" s="127"/>
      <c r="K51" s="127"/>
      <c r="L51" s="127"/>
      <c r="M51" s="127">
        <f t="shared" si="31"/>
        <v>4830</v>
      </c>
      <c r="N51" s="127">
        <f t="shared" si="18"/>
        <v>9526</v>
      </c>
      <c r="O51" s="127">
        <f t="shared" si="19"/>
        <v>7794</v>
      </c>
      <c r="P51" s="132">
        <f>1-(AVERAGE(AB16:AB17)/$AB$18)</f>
        <v>0.2279808844507456</v>
      </c>
      <c r="Q51" s="132">
        <f>1-(AVERAGE(AC16:AC17)/$AC$18)</f>
        <v>0.21892148372984621</v>
      </c>
      <c r="R51" s="132">
        <f>1-(AVERAGE(AD16:AD17)/$AD$18)</f>
        <v>0.22951685337807815</v>
      </c>
      <c r="S51" s="127">
        <f>D12/SUM(D6:D13)*M51</f>
        <v>322.41915730604137</v>
      </c>
      <c r="T51" s="127">
        <f>E12/SUM(E6:E13)*N51</f>
        <v>585.0624566105007</v>
      </c>
      <c r="U51" s="127">
        <f>F12/SUM(F6:F13)*O51</f>
        <v>486.9245662050551</v>
      </c>
      <c r="V51" s="132">
        <f>D12/SUM(D6:D13)*P51</f>
        <v>1.5218510278777514E-2</v>
      </c>
      <c r="W51" s="132">
        <f t="shared" ref="W51:X51" si="47">E12/SUM(E6:E13)*Q51</f>
        <v>1.344559532603397E-2</v>
      </c>
      <c r="X51" s="132">
        <f t="shared" si="47"/>
        <v>1.4338900983817031E-2</v>
      </c>
    </row>
    <row r="52" spans="3:24" x14ac:dyDescent="0.2">
      <c r="C52" s="126" t="s">
        <v>158</v>
      </c>
      <c r="D52" s="126"/>
      <c r="E52" s="126">
        <v>29955</v>
      </c>
      <c r="F52" s="126">
        <v>6086</v>
      </c>
      <c r="G52" s="126">
        <f t="shared" si="16"/>
        <v>36041</v>
      </c>
      <c r="H52" s="126"/>
      <c r="I52" s="126"/>
      <c r="J52" s="126"/>
      <c r="K52" s="126"/>
      <c r="L52" s="126"/>
      <c r="M52" s="126">
        <f t="shared" si="31"/>
        <v>36041</v>
      </c>
      <c r="N52" s="126">
        <f t="shared" si="18"/>
        <v>39645.100000000006</v>
      </c>
      <c r="O52" s="126">
        <f t="shared" si="19"/>
        <v>32436.9</v>
      </c>
      <c r="P52" s="134">
        <f>1-(AVERAGE(AB5:AB7)/$AB$19)</f>
        <v>0.7811838232063617</v>
      </c>
      <c r="Q52" s="134">
        <f>1-(AVERAGE(AC5:AC7)/$AC$19)</f>
        <v>0.78546190139049687</v>
      </c>
      <c r="R52" s="134">
        <f>1-(AVERAGE(AD5:AD7)/$AD$19)</f>
        <v>0.78259796027911965</v>
      </c>
      <c r="S52" s="125"/>
      <c r="T52" s="125"/>
      <c r="U52" s="125"/>
      <c r="V52" s="133"/>
      <c r="W52" s="133"/>
      <c r="X52" s="133"/>
    </row>
    <row r="53" spans="3:24" x14ac:dyDescent="0.2">
      <c r="C53" s="125" t="s">
        <v>159</v>
      </c>
      <c r="D53" s="125"/>
      <c r="E53" s="125">
        <v>16850</v>
      </c>
      <c r="F53" s="125">
        <v>5326</v>
      </c>
      <c r="G53" s="125">
        <f t="shared" si="16"/>
        <v>22176</v>
      </c>
      <c r="H53" s="125"/>
      <c r="I53" s="125"/>
      <c r="J53" s="125"/>
      <c r="K53" s="125"/>
      <c r="L53" s="125"/>
      <c r="M53" s="125">
        <f t="shared" si="31"/>
        <v>22176</v>
      </c>
      <c r="N53" s="125">
        <f t="shared" si="18"/>
        <v>24393.600000000002</v>
      </c>
      <c r="O53" s="125">
        <f t="shared" si="19"/>
        <v>19958.400000000001</v>
      </c>
      <c r="P53" s="133">
        <f>1-(AVERAGE(AB8:AB10)/$AB$19)</f>
        <v>0.64903057196453795</v>
      </c>
      <c r="Q53" s="133">
        <f>1-(AVERAGE(AC8:AC10)/$AC$19)</f>
        <v>0.6513507666225693</v>
      </c>
      <c r="R53" s="133">
        <f>1-(AVERAGE(AD8:AD10)/$AD$19)</f>
        <v>0.66203864734299511</v>
      </c>
      <c r="S53" s="125">
        <f>SUM(D$13)/SUM(D$6:D$13)*M48</f>
        <v>1556.6052637176085</v>
      </c>
      <c r="T53" s="125">
        <f t="shared" ref="T53:U53" si="48">SUM(E$13)/SUM(E$6:E$13)*N48</f>
        <v>2717.5942751454008</v>
      </c>
      <c r="U53" s="125">
        <f t="shared" si="48"/>
        <v>1538.1025473834977</v>
      </c>
      <c r="V53" s="133">
        <f>SUM(D$13)/SUM(D$6:D$13)*P53</f>
        <v>4.5557557929006579E-2</v>
      </c>
      <c r="W53" s="133">
        <f t="shared" ref="W53:X53" si="49">SUM(E$13)/SUM(E$6:E$13)*Q53</f>
        <v>7.2564406831507527E-2</v>
      </c>
      <c r="X53" s="133">
        <f t="shared" si="49"/>
        <v>5.1020288697720552E-2</v>
      </c>
    </row>
    <row r="54" spans="3:24" x14ac:dyDescent="0.2">
      <c r="C54" s="126" t="s">
        <v>160</v>
      </c>
      <c r="D54" s="126"/>
      <c r="E54" s="126">
        <v>11233</v>
      </c>
      <c r="F54" s="126">
        <v>4565</v>
      </c>
      <c r="G54" s="126">
        <f t="shared" si="16"/>
        <v>15798</v>
      </c>
      <c r="H54" s="126"/>
      <c r="I54" s="126">
        <v>23500</v>
      </c>
      <c r="J54" s="126"/>
      <c r="K54" s="126"/>
      <c r="L54" s="126">
        <v>8100</v>
      </c>
      <c r="M54" s="126">
        <f t="shared" si="31"/>
        <v>19649</v>
      </c>
      <c r="N54" s="126">
        <f t="shared" si="18"/>
        <v>17377.800000000003</v>
      </c>
      <c r="O54" s="126">
        <f t="shared" si="19"/>
        <v>11159.1</v>
      </c>
      <c r="P54" s="134">
        <f>1-(AVERAGE(AB11:AB13)/$AB$19)</f>
        <v>0.6218899896561173</v>
      </c>
      <c r="Q54" s="134">
        <f>1-(AVERAGE(AC11:AC13)/$AC$19)</f>
        <v>0.62000920804046178</v>
      </c>
      <c r="R54" s="134">
        <f>1-(AVERAGE(AD11:AD13)/$AD$19)</f>
        <v>0.64263703104917957</v>
      </c>
      <c r="S54" s="125">
        <f>SUM(D$13)/SUM(D$6:D$13)*M49</f>
        <v>940.51920673485915</v>
      </c>
      <c r="T54" s="125">
        <f t="shared" ref="T54:T56" si="50">SUM(E$13)/SUM(E$6:E$13)*N49</f>
        <v>2938.4901629503288</v>
      </c>
      <c r="U54" s="125">
        <f t="shared" ref="U54:U56" si="51">SUM(F$13)/SUM(F$6:F$13)*O49</f>
        <v>1095.7316036960901</v>
      </c>
      <c r="V54" s="133">
        <f t="shared" ref="V54:V56" si="52">SUM(D$13)/SUM(D$6:D$13)*P54</f>
        <v>4.3652472553751862E-2</v>
      </c>
      <c r="W54" s="133">
        <f t="shared" ref="W54:W56" si="53">SUM(E$13)/SUM(E$6:E$13)*Q54</f>
        <v>6.907276803375445E-2</v>
      </c>
      <c r="X54" s="133">
        <f t="shared" ref="X54:X56" si="54">SUM(F$13)/SUM(F$6:F$13)*R54</f>
        <v>4.9525094922424191E-2</v>
      </c>
    </row>
    <row r="55" spans="3:24" x14ac:dyDescent="0.2">
      <c r="C55" s="126" t="s">
        <v>161</v>
      </c>
      <c r="D55" s="126"/>
      <c r="E55" s="126">
        <v>7489</v>
      </c>
      <c r="F55" s="126">
        <v>3804</v>
      </c>
      <c r="G55" s="126">
        <f t="shared" si="16"/>
        <v>11293</v>
      </c>
      <c r="H55" s="126">
        <v>24000</v>
      </c>
      <c r="I55" s="126">
        <v>21300</v>
      </c>
      <c r="J55" s="126">
        <f>J56+5184</f>
        <v>31284</v>
      </c>
      <c r="K55" s="126"/>
      <c r="L55" s="126">
        <v>4400</v>
      </c>
      <c r="M55" s="126">
        <f t="shared" si="31"/>
        <v>18864.333333333332</v>
      </c>
      <c r="N55" s="126">
        <f t="shared" si="18"/>
        <v>21853.15</v>
      </c>
      <c r="O55" s="126">
        <f t="shared" si="19"/>
        <v>7281.85</v>
      </c>
      <c r="P55" s="134">
        <f>1-(AVERAGE(AB14:AB15)/$AB$19)</f>
        <v>0.41997627946951466</v>
      </c>
      <c r="Q55" s="134">
        <f>1-(AVERAGE(AC14:AC15)/$AC$19)</f>
        <v>0.41639916428192481</v>
      </c>
      <c r="R55" s="134">
        <f>1-(AVERAGE(AD14:AD15)/$AD$19)</f>
        <v>0.46646187825902119</v>
      </c>
      <c r="S55" s="125">
        <f>SUM(D$13)/SUM(D$6:D$13)*M50</f>
        <v>712.21569752483379</v>
      </c>
      <c r="T55" s="125">
        <f t="shared" si="50"/>
        <v>1750.3169395230987</v>
      </c>
      <c r="U55" s="125">
        <f t="shared" si="51"/>
        <v>783.26984431826475</v>
      </c>
      <c r="V55" s="133">
        <f t="shared" si="52"/>
        <v>2.9479495276821064E-2</v>
      </c>
      <c r="W55" s="133">
        <f t="shared" si="53"/>
        <v>4.6389380207426861E-2</v>
      </c>
      <c r="X55" s="133">
        <f t="shared" si="54"/>
        <v>3.5948082171290856E-2</v>
      </c>
    </row>
    <row r="56" spans="3:24" x14ac:dyDescent="0.2">
      <c r="C56" s="126" t="s">
        <v>162</v>
      </c>
      <c r="D56" s="126"/>
      <c r="E56" s="126">
        <v>5617</v>
      </c>
      <c r="F56" s="126">
        <v>3043</v>
      </c>
      <c r="G56" s="126">
        <f t="shared" si="16"/>
        <v>8660</v>
      </c>
      <c r="H56" s="126">
        <v>17000</v>
      </c>
      <c r="I56" s="126"/>
      <c r="J56" s="126">
        <v>26100</v>
      </c>
      <c r="K56" s="126">
        <v>16000</v>
      </c>
      <c r="L56" s="126"/>
      <c r="M56" s="126">
        <f t="shared" si="31"/>
        <v>12830</v>
      </c>
      <c r="N56" s="126">
        <f t="shared" si="18"/>
        <v>17208.666666666668</v>
      </c>
      <c r="O56" s="126">
        <f t="shared" si="19"/>
        <v>7794</v>
      </c>
      <c r="P56" s="134">
        <f>1-(AVERAGE(AB16:AB17)/$AB$19)</f>
        <v>0.21714504008878011</v>
      </c>
      <c r="Q56" s="134">
        <f>1-(AVERAGE(AC16:AC17)/$AC$19)</f>
        <v>0.21795083026999229</v>
      </c>
      <c r="R56" s="134">
        <f>1-(AVERAGE(AD16:AD17)/$AD$19)</f>
        <v>0.25707322779523334</v>
      </c>
      <c r="S56" s="125">
        <f>SUM(D$13)/SUM(D$6:D$13)*M51</f>
        <v>339.03334342334279</v>
      </c>
      <c r="T56" s="125">
        <f t="shared" si="50"/>
        <v>1061.2538971301933</v>
      </c>
      <c r="U56" s="125">
        <f t="shared" si="51"/>
        <v>600.64791036891643</v>
      </c>
      <c r="V56" s="133">
        <f t="shared" si="52"/>
        <v>1.524211365405692E-2</v>
      </c>
      <c r="W56" s="133">
        <f t="shared" si="53"/>
        <v>2.4281038001972562E-2</v>
      </c>
      <c r="X56" s="133">
        <f t="shared" si="54"/>
        <v>1.9811457157685314E-2</v>
      </c>
    </row>
    <row r="57" spans="3:24" x14ac:dyDescent="0.2">
      <c r="C57" s="128" t="s">
        <v>184</v>
      </c>
      <c r="D57" s="128"/>
      <c r="E57" s="128"/>
      <c r="F57" s="128"/>
      <c r="G57" s="128"/>
      <c r="H57" s="128"/>
      <c r="I57" s="128">
        <v>2128</v>
      </c>
      <c r="J57" s="128">
        <v>3200</v>
      </c>
      <c r="K57" s="128"/>
      <c r="L57" s="128">
        <v>2200</v>
      </c>
      <c r="M57" s="128">
        <f t="shared" si="31"/>
        <v>2128</v>
      </c>
      <c r="N57" s="128">
        <f t="shared" si="18"/>
        <v>1600</v>
      </c>
      <c r="O57" s="128">
        <f t="shared" si="19"/>
        <v>1100</v>
      </c>
      <c r="P57" s="132">
        <f>1-(AB18/$AB$19)</f>
        <v>-1.4035720286869058E-2</v>
      </c>
      <c r="Q57" s="132">
        <f>1-(AC18/$AC$19)</f>
        <v>-1.2427092022566644E-3</v>
      </c>
      <c r="R57" s="132">
        <f>1-(AD18/$AD$19)</f>
        <v>3.5765057987280247E-2</v>
      </c>
      <c r="S57" s="127">
        <f>D13/SUM(D6:D13)*M57</f>
        <v>149.37121217492202</v>
      </c>
      <c r="T57" s="127">
        <f>E13/SUM(E6:E13)*N57</f>
        <v>178.24965729669424</v>
      </c>
      <c r="U57" s="127">
        <f>F13/SUM(F6:F13)*O57</f>
        <v>84.771965794945856</v>
      </c>
      <c r="V57" s="132">
        <f>D13/SUM(D6:D13)*P57</f>
        <v>-9.8521266588241329E-4</v>
      </c>
      <c r="W57" s="132">
        <f t="shared" ref="W57:X57" si="55">E13/SUM(E6:E13)*Q57</f>
        <v>-1.3844530588856169E-4</v>
      </c>
      <c r="X57" s="132">
        <f t="shared" si="55"/>
        <v>2.7562493385017966E-3</v>
      </c>
    </row>
    <row r="59" spans="3:24" x14ac:dyDescent="0.2">
      <c r="S59" s="136">
        <f>SUM(S37,S39,S42,S46,S51,S57)</f>
        <v>9608.4735804205193</v>
      </c>
      <c r="T59" s="136">
        <f t="shared" ref="T59:U59" si="56">SUM(T37,T39,T42,T46,T51,T57)</f>
        <v>14333.869646601945</v>
      </c>
      <c r="U59" s="136">
        <f t="shared" si="56"/>
        <v>11196.414691601361</v>
      </c>
      <c r="V59" s="135">
        <f>SUM(V37,V39,V42,V46,V51,V57)</f>
        <v>0.20172336037443986</v>
      </c>
      <c r="W59" s="135">
        <f t="shared" ref="W59:X59" si="57">SUM(W37,W39,W42,W46,W51,W57)</f>
        <v>0.2000191767273756</v>
      </c>
      <c r="X59" s="135">
        <f t="shared" si="57"/>
        <v>0.21813305903885022</v>
      </c>
    </row>
    <row r="60" spans="3:24" x14ac:dyDescent="0.2">
      <c r="C60" t="s">
        <v>183</v>
      </c>
      <c r="S60" s="137">
        <f>SUM(S38,S41,S44,S48,S53,S57)</f>
        <v>20563.0239417189</v>
      </c>
      <c r="T60" s="137">
        <f t="shared" ref="T60:W60" si="58">SUM(T38,T41,T44,T48,T53,T57)</f>
        <v>22259.387557085229</v>
      </c>
      <c r="U60" s="137">
        <f t="shared" si="58"/>
        <v>15982.779351113084</v>
      </c>
      <c r="V60" s="138">
        <f t="shared" si="58"/>
        <v>0.41971707986779133</v>
      </c>
      <c r="W60" s="138">
        <f t="shared" si="58"/>
        <v>0.42725634048359507</v>
      </c>
      <c r="X60" s="138">
        <f>SUM(X38,X41,X44,X48,X53,X57)</f>
        <v>0.36362775898499861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AA20" r:id="rId1" display="http://www.seai.ie/Your_Building/BER/Your_Guide_to_Building_Energy_" xr:uid="{5807D69C-F428-4936-9796-3FEC8B37998C}"/>
    <hyperlink ref="H29" r:id="rId2" xr:uid="{55D40456-65AC-4DC1-BDA5-C642CA7C3A86}"/>
    <hyperlink ref="AA30" r:id="rId3" xr:uid="{AF869BAA-9B41-4B32-8C2B-813CEDB4E002}"/>
    <hyperlink ref="AA33" r:id="rId4" xr:uid="{E20DF966-7475-4A73-A2F1-AEF4BBC31038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2021-09-03T13:54:37Z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777279078960418</vt:r8>
  </property>
</Properties>
</file>