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0B94A012-E320-4470-BEF1-BDA037AB4BC8}" xr6:coauthVersionLast="45" xr6:coauthVersionMax="45" xr10:uidLastSave="{00000000-0000-0000-0000-000000000000}"/>
  <bookViews>
    <workbookView xWindow="-120" yWindow="-120" windowWidth="29040" windowHeight="15840" firstSheet="4" activeTab="5"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 i="65" l="1"/>
  <c r="B10" i="65"/>
  <c r="B13" i="65"/>
  <c r="D12" i="65"/>
  <c r="B12" i="65" s="1"/>
  <c r="E30" i="58" l="1"/>
  <c r="F30" i="58"/>
  <c r="G30" i="58"/>
  <c r="H30" i="58"/>
  <c r="I30" i="58"/>
  <c r="J30" i="58"/>
  <c r="K30" i="58"/>
  <c r="L30" i="58"/>
  <c r="M30" i="58"/>
  <c r="N30" i="58"/>
  <c r="O30" i="58"/>
  <c r="P30" i="58"/>
  <c r="Q30" i="58"/>
  <c r="R30" i="58"/>
  <c r="S30" i="58"/>
  <c r="T30" i="58"/>
  <c r="U30" i="58"/>
  <c r="V30" i="58"/>
  <c r="W30" i="58"/>
  <c r="X30" i="58"/>
  <c r="Y30" i="58"/>
  <c r="Z30" i="58"/>
  <c r="AA30" i="58"/>
  <c r="AB30" i="58"/>
  <c r="AC30" i="58"/>
  <c r="AD30" i="58"/>
  <c r="D30" i="58"/>
  <c r="AD26" i="58"/>
  <c r="W26" i="58"/>
  <c r="V26" i="58"/>
  <c r="O26" i="58"/>
  <c r="N26" i="58"/>
  <c r="G26" i="58"/>
  <c r="F26" i="58"/>
  <c r="AD25" i="58"/>
  <c r="AC25" i="58"/>
  <c r="AC26" i="58" s="1"/>
  <c r="AB25" i="58"/>
  <c r="AB26" i="58" s="1"/>
  <c r="AA25" i="58"/>
  <c r="AA26" i="58" s="1"/>
  <c r="Z25" i="58"/>
  <c r="Z26" i="58" s="1"/>
  <c r="Y25" i="58"/>
  <c r="Y26" i="58" s="1"/>
  <c r="X25" i="58"/>
  <c r="X26" i="58" s="1"/>
  <c r="W25" i="58"/>
  <c r="V25" i="58"/>
  <c r="U25" i="58"/>
  <c r="U26" i="58" s="1"/>
  <c r="T25" i="58"/>
  <c r="T26" i="58" s="1"/>
  <c r="S25" i="58"/>
  <c r="S26" i="58" s="1"/>
  <c r="R25" i="58"/>
  <c r="R26" i="58" s="1"/>
  <c r="Q25" i="58"/>
  <c r="Q26" i="58" s="1"/>
  <c r="P25" i="58"/>
  <c r="P26" i="58" s="1"/>
  <c r="O25" i="58"/>
  <c r="N25" i="58"/>
  <c r="M25" i="58"/>
  <c r="M26" i="58" s="1"/>
  <c r="L25" i="58"/>
  <c r="L26" i="58" s="1"/>
  <c r="K25" i="58"/>
  <c r="K26" i="58" s="1"/>
  <c r="J25" i="58"/>
  <c r="J26" i="58" s="1"/>
  <c r="I25" i="58"/>
  <c r="I26" i="58" s="1"/>
  <c r="H25" i="58"/>
  <c r="H26" i="58" s="1"/>
  <c r="G25" i="58"/>
  <c r="F25" i="58"/>
  <c r="E25" i="58"/>
  <c r="E26" i="58" s="1"/>
  <c r="D26" i="58"/>
  <c r="D25" i="58"/>
  <c r="E24" i="58"/>
  <c r="F24" i="58"/>
  <c r="G24" i="58"/>
  <c r="H24" i="58"/>
  <c r="I24" i="58"/>
  <c r="J24" i="58"/>
  <c r="K24" i="58"/>
  <c r="L24" i="58"/>
  <c r="M24" i="58"/>
  <c r="N24" i="58"/>
  <c r="O24" i="58"/>
  <c r="P24" i="58"/>
  <c r="Q24" i="58"/>
  <c r="R24" i="58"/>
  <c r="S24" i="58"/>
  <c r="T24" i="58"/>
  <c r="U24" i="58"/>
  <c r="V24" i="58"/>
  <c r="W24" i="58"/>
  <c r="X24" i="58"/>
  <c r="Y24" i="58"/>
  <c r="Z24" i="58"/>
  <c r="AA24" i="58"/>
  <c r="AB24" i="58"/>
  <c r="AC24" i="58"/>
  <c r="AD24" i="58"/>
  <c r="D24" i="58"/>
  <c r="AB23" i="58"/>
  <c r="AC23" i="58"/>
  <c r="E23" i="58"/>
  <c r="F23" i="58"/>
  <c r="G23" i="58"/>
  <c r="H23" i="58"/>
  <c r="I23" i="58"/>
  <c r="J23" i="58"/>
  <c r="K23" i="58"/>
  <c r="L23" i="58"/>
  <c r="M23" i="58"/>
  <c r="N23" i="58"/>
  <c r="O23" i="58"/>
  <c r="P23" i="58"/>
  <c r="Q23" i="58"/>
  <c r="R23" i="58"/>
  <c r="S23" i="58"/>
  <c r="T23" i="58"/>
  <c r="U23" i="58"/>
  <c r="V23" i="58"/>
  <c r="W23" i="58"/>
  <c r="X23" i="58"/>
  <c r="Y23" i="58"/>
  <c r="Z23" i="58"/>
  <c r="AA23" i="58"/>
  <c r="AD23" i="58"/>
  <c r="D23" i="58"/>
  <c r="E21" i="58"/>
  <c r="F21" i="58"/>
  <c r="F22" i="58" s="1"/>
  <c r="G21" i="58"/>
  <c r="H21" i="58"/>
  <c r="I21" i="58"/>
  <c r="J21" i="58"/>
  <c r="J22" i="58" s="1"/>
  <c r="K21" i="58"/>
  <c r="K22" i="58" s="1"/>
  <c r="L21" i="58"/>
  <c r="M21" i="58"/>
  <c r="N21" i="58"/>
  <c r="N22" i="58" s="1"/>
  <c r="O21" i="58"/>
  <c r="P21" i="58"/>
  <c r="Q21" i="58"/>
  <c r="R21" i="58"/>
  <c r="R22" i="58" s="1"/>
  <c r="S21" i="58"/>
  <c r="S22" i="58" s="1"/>
  <c r="T21" i="58"/>
  <c r="U21" i="58"/>
  <c r="V21" i="58"/>
  <c r="V22" i="58" s="1"/>
  <c r="W21" i="58"/>
  <c r="X21" i="58"/>
  <c r="Y21" i="58"/>
  <c r="Z21" i="58"/>
  <c r="AA21" i="58"/>
  <c r="AA22" i="58" s="1"/>
  <c r="AB21" i="58"/>
  <c r="AC21" i="58"/>
  <c r="AD21" i="58"/>
  <c r="AD22" i="58" s="1"/>
  <c r="E22" i="58"/>
  <c r="G22" i="58"/>
  <c r="H22" i="58"/>
  <c r="I22" i="58"/>
  <c r="L22" i="58"/>
  <c r="M22" i="58"/>
  <c r="O22" i="58"/>
  <c r="P22" i="58"/>
  <c r="Q22" i="58"/>
  <c r="T22" i="58"/>
  <c r="U22" i="58"/>
  <c r="W22" i="58"/>
  <c r="X22" i="58"/>
  <c r="Y22" i="58"/>
  <c r="Z22" i="58"/>
  <c r="AB22" i="58"/>
  <c r="AC22" i="58"/>
  <c r="D22" i="58"/>
  <c r="D21" i="58"/>
  <c r="D20" i="58"/>
  <c r="E12" i="58"/>
  <c r="E13" i="58" s="1"/>
  <c r="E14" i="58" s="1"/>
  <c r="E15" i="58" s="1"/>
  <c r="E16" i="58" s="1"/>
  <c r="E17" i="58" s="1"/>
  <c r="E18" i="58" s="1"/>
  <c r="E19" i="58" s="1"/>
  <c r="F12" i="58"/>
  <c r="G12" i="58"/>
  <c r="G13" i="58" s="1"/>
  <c r="G14" i="58" s="1"/>
  <c r="G15" i="58" s="1"/>
  <c r="G16" i="58" s="1"/>
  <c r="G17" i="58" s="1"/>
  <c r="G18" i="58" s="1"/>
  <c r="G19" i="58" s="1"/>
  <c r="H12" i="58"/>
  <c r="I12" i="58"/>
  <c r="J12" i="58"/>
  <c r="K12" i="58"/>
  <c r="L12" i="58"/>
  <c r="L13" i="58" s="1"/>
  <c r="L14" i="58" s="1"/>
  <c r="L15" i="58" s="1"/>
  <c r="L16" i="58" s="1"/>
  <c r="L17" i="58" s="1"/>
  <c r="L18" i="58" s="1"/>
  <c r="L19" i="58" s="1"/>
  <c r="M12" i="58"/>
  <c r="M13" i="58" s="1"/>
  <c r="M14" i="58" s="1"/>
  <c r="M15" i="58" s="1"/>
  <c r="M16" i="58" s="1"/>
  <c r="M17" i="58" s="1"/>
  <c r="M18" i="58" s="1"/>
  <c r="M19" i="58" s="1"/>
  <c r="N12" i="58"/>
  <c r="O12" i="58"/>
  <c r="O13" i="58" s="1"/>
  <c r="O14" i="58" s="1"/>
  <c r="O15" i="58" s="1"/>
  <c r="O16" i="58" s="1"/>
  <c r="O17" i="58" s="1"/>
  <c r="O18" i="58" s="1"/>
  <c r="O19" i="58" s="1"/>
  <c r="P12" i="58"/>
  <c r="Q12" i="58"/>
  <c r="R12" i="58"/>
  <c r="S12" i="58"/>
  <c r="T12" i="58"/>
  <c r="T13" i="58" s="1"/>
  <c r="T14" i="58" s="1"/>
  <c r="T15" i="58" s="1"/>
  <c r="T16" i="58" s="1"/>
  <c r="T17" i="58" s="1"/>
  <c r="T18" i="58" s="1"/>
  <c r="T19" i="58" s="1"/>
  <c r="U12" i="58"/>
  <c r="U13" i="58" s="1"/>
  <c r="U14" i="58" s="1"/>
  <c r="U15" i="58" s="1"/>
  <c r="U16" i="58" s="1"/>
  <c r="U17" i="58" s="1"/>
  <c r="U18" i="58" s="1"/>
  <c r="U19" i="58" s="1"/>
  <c r="V12" i="58"/>
  <c r="W12" i="58"/>
  <c r="W13" i="58" s="1"/>
  <c r="W14" i="58" s="1"/>
  <c r="W15" i="58" s="1"/>
  <c r="W16" i="58" s="1"/>
  <c r="W17" i="58" s="1"/>
  <c r="W18" i="58" s="1"/>
  <c r="W19" i="58" s="1"/>
  <c r="X12" i="58"/>
  <c r="Y12" i="58"/>
  <c r="Z12" i="58"/>
  <c r="AA12" i="58"/>
  <c r="AB12" i="58"/>
  <c r="AB13" i="58" s="1"/>
  <c r="AB14" i="58" s="1"/>
  <c r="AB15" i="58" s="1"/>
  <c r="AB16" i="58" s="1"/>
  <c r="AB17" i="58" s="1"/>
  <c r="AB18" i="58" s="1"/>
  <c r="AB19" i="58" s="1"/>
  <c r="AC12" i="58"/>
  <c r="AC13" i="58" s="1"/>
  <c r="AC14" i="58" s="1"/>
  <c r="AC15" i="58" s="1"/>
  <c r="AC16" i="58" s="1"/>
  <c r="AC17" i="58" s="1"/>
  <c r="AC18" i="58" s="1"/>
  <c r="AC19" i="58" s="1"/>
  <c r="AD12" i="58"/>
  <c r="F13" i="58"/>
  <c r="H13" i="58"/>
  <c r="I13" i="58"/>
  <c r="J13" i="58"/>
  <c r="J14" i="58" s="1"/>
  <c r="J15" i="58" s="1"/>
  <c r="J16" i="58" s="1"/>
  <c r="J17" i="58" s="1"/>
  <c r="J18" i="58" s="1"/>
  <c r="J19" i="58" s="1"/>
  <c r="K13" i="58"/>
  <c r="K14" i="58" s="1"/>
  <c r="K15" i="58" s="1"/>
  <c r="K16" i="58" s="1"/>
  <c r="K17" i="58" s="1"/>
  <c r="K18" i="58" s="1"/>
  <c r="K19" i="58" s="1"/>
  <c r="N13" i="58"/>
  <c r="P13" i="58"/>
  <c r="Q13" i="58"/>
  <c r="R13" i="58"/>
  <c r="R14" i="58" s="1"/>
  <c r="R15" i="58" s="1"/>
  <c r="R16" i="58" s="1"/>
  <c r="R17" i="58" s="1"/>
  <c r="R18" i="58" s="1"/>
  <c r="R19" i="58" s="1"/>
  <c r="S13" i="58"/>
  <c r="S14" i="58" s="1"/>
  <c r="S15" i="58" s="1"/>
  <c r="S16" i="58" s="1"/>
  <c r="S17" i="58" s="1"/>
  <c r="S18" i="58" s="1"/>
  <c r="S19" i="58" s="1"/>
  <c r="V13" i="58"/>
  <c r="X13" i="58"/>
  <c r="Y13" i="58"/>
  <c r="Z13" i="58"/>
  <c r="Z14" i="58" s="1"/>
  <c r="Z15" i="58" s="1"/>
  <c r="Z16" i="58" s="1"/>
  <c r="Z17" i="58" s="1"/>
  <c r="Z18" i="58" s="1"/>
  <c r="Z19" i="58" s="1"/>
  <c r="AA13" i="58"/>
  <c r="AA14" i="58" s="1"/>
  <c r="AA15" i="58" s="1"/>
  <c r="AA16" i="58" s="1"/>
  <c r="AA17" i="58" s="1"/>
  <c r="AA18" i="58" s="1"/>
  <c r="AA19" i="58" s="1"/>
  <c r="AD13" i="58"/>
  <c r="F14" i="58"/>
  <c r="H14" i="58"/>
  <c r="H15" i="58" s="1"/>
  <c r="H16" i="58" s="1"/>
  <c r="H17" i="58" s="1"/>
  <c r="H18" i="58" s="1"/>
  <c r="H19" i="58" s="1"/>
  <c r="I14" i="58"/>
  <c r="I15" i="58" s="1"/>
  <c r="I16" i="58" s="1"/>
  <c r="I17" i="58" s="1"/>
  <c r="I18" i="58" s="1"/>
  <c r="I19" i="58" s="1"/>
  <c r="N14" i="58"/>
  <c r="P14" i="58"/>
  <c r="P15" i="58" s="1"/>
  <c r="P16" i="58" s="1"/>
  <c r="P17" i="58" s="1"/>
  <c r="P18" i="58" s="1"/>
  <c r="P19" i="58" s="1"/>
  <c r="Q14" i="58"/>
  <c r="Q15" i="58" s="1"/>
  <c r="Q16" i="58" s="1"/>
  <c r="Q17" i="58" s="1"/>
  <c r="Q18" i="58" s="1"/>
  <c r="Q19" i="58" s="1"/>
  <c r="V14" i="58"/>
  <c r="X14" i="58"/>
  <c r="X15" i="58" s="1"/>
  <c r="X16" i="58" s="1"/>
  <c r="X17" i="58" s="1"/>
  <c r="X18" i="58" s="1"/>
  <c r="X19" i="58" s="1"/>
  <c r="Y14" i="58"/>
  <c r="Y15" i="58" s="1"/>
  <c r="Y16" i="58" s="1"/>
  <c r="Y17" i="58" s="1"/>
  <c r="Y18" i="58" s="1"/>
  <c r="Y19" i="58" s="1"/>
  <c r="AD14" i="58"/>
  <c r="F15" i="58"/>
  <c r="F16" i="58" s="1"/>
  <c r="F17" i="58" s="1"/>
  <c r="F18" i="58" s="1"/>
  <c r="F19" i="58" s="1"/>
  <c r="N15" i="58"/>
  <c r="N16" i="58" s="1"/>
  <c r="N17" i="58" s="1"/>
  <c r="N18" i="58" s="1"/>
  <c r="N19" i="58" s="1"/>
  <c r="V15" i="58"/>
  <c r="V16" i="58" s="1"/>
  <c r="V17" i="58" s="1"/>
  <c r="V18" i="58" s="1"/>
  <c r="V19" i="58" s="1"/>
  <c r="AD15" i="58"/>
  <c r="AD16" i="58" s="1"/>
  <c r="AD17" i="58" s="1"/>
  <c r="AD18" i="58" s="1"/>
  <c r="AD19" i="58" s="1"/>
  <c r="D13" i="58"/>
  <c r="D14" i="58" s="1"/>
  <c r="D15" i="58" s="1"/>
  <c r="D16" i="58" s="1"/>
  <c r="D17" i="58" s="1"/>
  <c r="D18" i="58" s="1"/>
  <c r="D19" i="58" s="1"/>
  <c r="D12" i="58"/>
  <c r="E11" i="58"/>
  <c r="F11" i="58"/>
  <c r="G11" i="58"/>
  <c r="H11" i="58"/>
  <c r="I11" i="58"/>
  <c r="J11" i="58"/>
  <c r="K11" i="58"/>
  <c r="L11" i="58"/>
  <c r="M11" i="58"/>
  <c r="N11" i="58"/>
  <c r="O11" i="58"/>
  <c r="P11" i="58"/>
  <c r="Q11" i="58"/>
  <c r="R11" i="58"/>
  <c r="S11" i="58"/>
  <c r="T11" i="58"/>
  <c r="U11" i="58"/>
  <c r="V11" i="58"/>
  <c r="W11" i="58"/>
  <c r="X11" i="58"/>
  <c r="Y11" i="58"/>
  <c r="Z11" i="58"/>
  <c r="AA11" i="58"/>
  <c r="AB11" i="58"/>
  <c r="AC11" i="58"/>
  <c r="AD11" i="58"/>
  <c r="D11" i="58"/>
  <c r="AB10" i="58"/>
  <c r="AC10" i="58"/>
  <c r="AD10" i="58"/>
  <c r="X10" i="58"/>
  <c r="Y10" i="58"/>
  <c r="Z10" i="58"/>
  <c r="AA10" i="58"/>
  <c r="V10" i="58"/>
  <c r="W10" i="58"/>
  <c r="P10" i="58"/>
  <c r="Q10" i="58"/>
  <c r="R10" i="58"/>
  <c r="S10" i="58"/>
  <c r="T10" i="58"/>
  <c r="U10" i="58"/>
  <c r="M10" i="58"/>
  <c r="N10" i="58"/>
  <c r="O10" i="58"/>
  <c r="L10" i="58"/>
  <c r="K10" i="58"/>
  <c r="J10" i="58"/>
  <c r="H10" i="58"/>
  <c r="I10" i="58"/>
  <c r="G10" i="58"/>
  <c r="F10" i="58"/>
  <c r="E10" i="58"/>
  <c r="D10" i="58"/>
  <c r="E8" i="58"/>
  <c r="F8" i="58"/>
  <c r="G8" i="58"/>
  <c r="H8" i="58"/>
  <c r="I8" i="58"/>
  <c r="J8" i="58"/>
  <c r="K8" i="58"/>
  <c r="L8" i="58"/>
  <c r="M8" i="58"/>
  <c r="N8" i="58"/>
  <c r="O8" i="58"/>
  <c r="P8" i="58"/>
  <c r="Q8" i="58"/>
  <c r="R8" i="58"/>
  <c r="S8" i="58"/>
  <c r="T8" i="58"/>
  <c r="U8" i="58"/>
  <c r="V8" i="58"/>
  <c r="W8" i="58"/>
  <c r="X8" i="58"/>
  <c r="Y8" i="58"/>
  <c r="Z8" i="58"/>
  <c r="AA8" i="58"/>
  <c r="AB8" i="58"/>
  <c r="AC8" i="58"/>
  <c r="AD8" i="58"/>
  <c r="E9" i="58"/>
  <c r="F9" i="58"/>
  <c r="G9" i="58"/>
  <c r="H9" i="58"/>
  <c r="I9" i="58"/>
  <c r="J9" i="58"/>
  <c r="K9" i="58"/>
  <c r="L9" i="58"/>
  <c r="M9" i="58"/>
  <c r="N9" i="58"/>
  <c r="O9" i="58"/>
  <c r="P9" i="58"/>
  <c r="Q9" i="58"/>
  <c r="R9" i="58"/>
  <c r="S9" i="58"/>
  <c r="T9" i="58"/>
  <c r="U9" i="58"/>
  <c r="V9" i="58"/>
  <c r="W9" i="58"/>
  <c r="X9" i="58"/>
  <c r="Y9" i="58"/>
  <c r="Z9" i="58"/>
  <c r="AA9" i="58"/>
  <c r="AB9" i="58"/>
  <c r="AC9" i="58"/>
  <c r="AD9" i="58"/>
  <c r="D9" i="58"/>
  <c r="D8" i="58"/>
  <c r="E144" i="59" l="1"/>
  <c r="F144" i="59"/>
  <c r="G144" i="59"/>
  <c r="H144" i="59"/>
  <c r="I144" i="59"/>
  <c r="J144" i="59"/>
  <c r="K144" i="59"/>
  <c r="L144" i="59"/>
  <c r="M144" i="59"/>
  <c r="N144" i="59"/>
  <c r="O144" i="59"/>
  <c r="P144" i="59"/>
  <c r="Q144" i="59"/>
  <c r="R144" i="59"/>
  <c r="S144" i="59"/>
  <c r="T144" i="59"/>
  <c r="U144" i="59"/>
  <c r="V144" i="59"/>
  <c r="W144" i="59"/>
  <c r="X144" i="59"/>
  <c r="Y144" i="59"/>
  <c r="Z144" i="59"/>
  <c r="AA144" i="59"/>
  <c r="AB144" i="59"/>
  <c r="AC144" i="59"/>
  <c r="AD144" i="59"/>
  <c r="D144" i="59"/>
  <c r="B156" i="59"/>
  <c r="A156" i="59"/>
  <c r="B144" i="59"/>
  <c r="A144" i="59"/>
  <c r="A142" i="59"/>
  <c r="D142" i="59" l="1"/>
  <c r="B154" i="59"/>
  <c r="B142" i="59"/>
  <c r="E79" i="58" l="1"/>
  <c r="F79" i="58"/>
  <c r="G79" i="58"/>
  <c r="H79" i="58"/>
  <c r="I79" i="58"/>
  <c r="J79" i="58"/>
  <c r="K79" i="58"/>
  <c r="L79" i="58"/>
  <c r="M79" i="58"/>
  <c r="N79" i="58"/>
  <c r="O79" i="58"/>
  <c r="P79" i="58"/>
  <c r="Q79" i="58"/>
  <c r="R79" i="58"/>
  <c r="S79" i="58"/>
  <c r="T79" i="58"/>
  <c r="U79" i="58"/>
  <c r="V79" i="58"/>
  <c r="W79" i="58"/>
  <c r="X79" i="58"/>
  <c r="Y79" i="58"/>
  <c r="Z79" i="58"/>
  <c r="AA79" i="58"/>
  <c r="AB79" i="58"/>
  <c r="AC79" i="58"/>
  <c r="AD79" i="58"/>
  <c r="D79" i="58"/>
  <c r="BL81" i="59"/>
  <c r="D69" i="58" s="1"/>
  <c r="D29" i="58" s="1"/>
  <c r="BM81" i="59"/>
  <c r="E69" i="58" s="1"/>
  <c r="E29" i="58" s="1"/>
  <c r="BN81" i="59"/>
  <c r="F69" i="58" s="1"/>
  <c r="F29" i="58" s="1"/>
  <c r="BO81" i="59"/>
  <c r="G69" i="58" s="1"/>
  <c r="G29" i="58" s="1"/>
  <c r="BP81" i="59"/>
  <c r="BP83" i="59" s="1"/>
  <c r="BQ81" i="59"/>
  <c r="BQ83" i="59" s="1"/>
  <c r="BR81" i="59"/>
  <c r="J68" i="58" s="1"/>
  <c r="BS81" i="59"/>
  <c r="BS83" i="59" s="1"/>
  <c r="BT81" i="59"/>
  <c r="L69" i="58" s="1"/>
  <c r="L29" i="58" s="1"/>
  <c r="BU81" i="59"/>
  <c r="BU84" i="59" s="1"/>
  <c r="BV81" i="59"/>
  <c r="N69" i="58" s="1"/>
  <c r="N29" i="58" s="1"/>
  <c r="BW81" i="59"/>
  <c r="O69" i="58" s="1"/>
  <c r="O29" i="58" s="1"/>
  <c r="BX81" i="59"/>
  <c r="BX83" i="59" s="1"/>
  <c r="BY81" i="59"/>
  <c r="BY83" i="59" s="1"/>
  <c r="BZ81" i="59"/>
  <c r="BZ83" i="59" s="1"/>
  <c r="CA81" i="59"/>
  <c r="CA83" i="59" s="1"/>
  <c r="CB81" i="59"/>
  <c r="T69" i="58" s="1"/>
  <c r="T29" i="58" s="1"/>
  <c r="CC81" i="59"/>
  <c r="CC83" i="59" s="1"/>
  <c r="CD81" i="59"/>
  <c r="V69" i="58" s="1"/>
  <c r="V29" i="58" s="1"/>
  <c r="CE81" i="59"/>
  <c r="W69" i="58" s="1"/>
  <c r="W29" i="58" s="1"/>
  <c r="CF81" i="59"/>
  <c r="CF83" i="59" s="1"/>
  <c r="CG81" i="59"/>
  <c r="CG83" i="59" s="1"/>
  <c r="CH81" i="59"/>
  <c r="CH83" i="59" s="1"/>
  <c r="CI81" i="59"/>
  <c r="CI83" i="59" s="1"/>
  <c r="CJ81" i="59"/>
  <c r="AB69" i="58" s="1"/>
  <c r="AB29" i="58" s="1"/>
  <c r="CK81" i="59"/>
  <c r="CK84" i="59" s="1"/>
  <c r="CL81" i="59"/>
  <c r="AD69" i="58" s="1"/>
  <c r="AD29" i="58" s="1"/>
  <c r="CL80" i="59"/>
  <c r="CK80" i="59"/>
  <c r="CJ80" i="59"/>
  <c r="CI80" i="59"/>
  <c r="CH80" i="59"/>
  <c r="CG80" i="59"/>
  <c r="CF80" i="59"/>
  <c r="CE80" i="59"/>
  <c r="CD80" i="59"/>
  <c r="CC80" i="59"/>
  <c r="CB80" i="59"/>
  <c r="CA80" i="59"/>
  <c r="BZ80" i="59"/>
  <c r="BY80" i="59"/>
  <c r="BX80" i="59"/>
  <c r="BW80" i="59"/>
  <c r="BV80" i="59"/>
  <c r="BU80" i="59"/>
  <c r="BT80" i="59"/>
  <c r="BS80" i="59"/>
  <c r="BR80" i="59"/>
  <c r="BQ80" i="59"/>
  <c r="BP80" i="59"/>
  <c r="BO80" i="59"/>
  <c r="BN80" i="59"/>
  <c r="BM80" i="59"/>
  <c r="BL80" i="59"/>
  <c r="BK80" i="59"/>
  <c r="BM66" i="59"/>
  <c r="BN66" i="59"/>
  <c r="BO66" i="59"/>
  <c r="BP66" i="59"/>
  <c r="BQ66" i="59"/>
  <c r="BR66" i="59"/>
  <c r="BS66" i="59"/>
  <c r="BT66" i="59"/>
  <c r="BU66" i="59"/>
  <c r="BV66" i="59"/>
  <c r="BW66" i="59"/>
  <c r="BX66" i="59"/>
  <c r="BY66" i="59"/>
  <c r="BZ66" i="59"/>
  <c r="CA66" i="59"/>
  <c r="CB66" i="59"/>
  <c r="CC66" i="59"/>
  <c r="CD66" i="59"/>
  <c r="CE66" i="59"/>
  <c r="CF66" i="59"/>
  <c r="CG66" i="59"/>
  <c r="CH66" i="59"/>
  <c r="CI66" i="59"/>
  <c r="CJ66" i="59"/>
  <c r="CK66" i="59"/>
  <c r="CL66" i="59"/>
  <c r="BL66" i="59"/>
  <c r="BM73" i="59"/>
  <c r="BM75" i="59" s="1"/>
  <c r="BN73" i="59"/>
  <c r="BN75" i="59" s="1"/>
  <c r="BO73" i="59"/>
  <c r="BO75" i="59" s="1"/>
  <c r="BP73" i="59"/>
  <c r="BQ73" i="59"/>
  <c r="BR73" i="59"/>
  <c r="BS73" i="59"/>
  <c r="BT73" i="59"/>
  <c r="BT75" i="59" s="1"/>
  <c r="BU73" i="59"/>
  <c r="BU75" i="59" s="1"/>
  <c r="BV73" i="59"/>
  <c r="BV75" i="59" s="1"/>
  <c r="BW73" i="59"/>
  <c r="BW75" i="59" s="1"/>
  <c r="BX73" i="59"/>
  <c r="BY73" i="59"/>
  <c r="BZ73" i="59"/>
  <c r="CA73" i="59"/>
  <c r="CB73" i="59"/>
  <c r="CB75" i="59" s="1"/>
  <c r="CC73" i="59"/>
  <c r="CC75" i="59" s="1"/>
  <c r="CD73" i="59"/>
  <c r="CD75" i="59" s="1"/>
  <c r="CE73" i="59"/>
  <c r="CE75" i="59" s="1"/>
  <c r="CF73" i="59"/>
  <c r="CG73" i="59"/>
  <c r="CH73" i="59"/>
  <c r="CI73" i="59"/>
  <c r="CJ73" i="59"/>
  <c r="CJ75" i="59" s="1"/>
  <c r="CK73" i="59"/>
  <c r="CK75" i="59" s="1"/>
  <c r="CL73" i="59"/>
  <c r="CL75" i="59" s="1"/>
  <c r="BM74" i="59"/>
  <c r="BN74" i="59"/>
  <c r="BO74" i="59"/>
  <c r="BP74" i="59"/>
  <c r="BQ74" i="59"/>
  <c r="BR74" i="59"/>
  <c r="BS74" i="59"/>
  <c r="BT74" i="59"/>
  <c r="BU74" i="59"/>
  <c r="BV74" i="59"/>
  <c r="BW74" i="59"/>
  <c r="BX74" i="59"/>
  <c r="BY74" i="59"/>
  <c r="BZ74" i="59"/>
  <c r="CA74" i="59"/>
  <c r="CB74" i="59"/>
  <c r="CC74" i="59"/>
  <c r="CD74" i="59"/>
  <c r="CE74" i="59"/>
  <c r="CF74" i="59"/>
  <c r="CG74" i="59"/>
  <c r="CH74" i="59"/>
  <c r="CI74" i="59"/>
  <c r="CJ74" i="59"/>
  <c r="CK74" i="59"/>
  <c r="CL74" i="59"/>
  <c r="BP75" i="59"/>
  <c r="BQ75" i="59"/>
  <c r="BR75" i="59"/>
  <c r="BS75" i="59"/>
  <c r="BX75" i="59"/>
  <c r="BY75" i="59"/>
  <c r="BZ75" i="59"/>
  <c r="CA75" i="59"/>
  <c r="CF75" i="59"/>
  <c r="CG75" i="59"/>
  <c r="CH75" i="59"/>
  <c r="CI75" i="59"/>
  <c r="BL75" i="59"/>
  <c r="BL74" i="59"/>
  <c r="BL73" i="59"/>
  <c r="CL72" i="59"/>
  <c r="CK72" i="59"/>
  <c r="CJ72" i="59"/>
  <c r="CI72" i="59"/>
  <c r="CH72" i="59"/>
  <c r="CG72" i="59"/>
  <c r="CF72" i="59"/>
  <c r="CE72" i="59"/>
  <c r="CD72" i="59"/>
  <c r="CC72" i="59"/>
  <c r="CB72" i="59"/>
  <c r="CA72" i="59"/>
  <c r="BZ72" i="59"/>
  <c r="BY72" i="59"/>
  <c r="BX72" i="59"/>
  <c r="BW72" i="59"/>
  <c r="BV72" i="59"/>
  <c r="BU72" i="59"/>
  <c r="BT72" i="59"/>
  <c r="BS72" i="59"/>
  <c r="BR72" i="59"/>
  <c r="BQ72" i="59"/>
  <c r="BP72" i="59"/>
  <c r="BO72" i="59"/>
  <c r="BN72" i="59"/>
  <c r="BM72" i="59"/>
  <c r="BL72" i="59"/>
  <c r="BK72" i="59"/>
  <c r="CL64" i="59"/>
  <c r="CK64" i="59"/>
  <c r="CJ64" i="59"/>
  <c r="CI64" i="59"/>
  <c r="CH64" i="59"/>
  <c r="CG64" i="59"/>
  <c r="CF64" i="59"/>
  <c r="CE64" i="59"/>
  <c r="CD64" i="59"/>
  <c r="CC64" i="59"/>
  <c r="CB64" i="59"/>
  <c r="CA64" i="59"/>
  <c r="BZ64" i="59"/>
  <c r="BY64" i="59"/>
  <c r="BX64" i="59"/>
  <c r="BW64" i="59"/>
  <c r="BV64" i="59"/>
  <c r="BU64" i="59"/>
  <c r="BT64" i="59"/>
  <c r="BS64" i="59"/>
  <c r="BR64" i="59"/>
  <c r="BQ64" i="59"/>
  <c r="BP64" i="59"/>
  <c r="BO64" i="59"/>
  <c r="BN64" i="59"/>
  <c r="BM64" i="59"/>
  <c r="BL64" i="59"/>
  <c r="BK64" i="59"/>
  <c r="AH78" i="59"/>
  <c r="BK58" i="59"/>
  <c r="BK59" i="59"/>
  <c r="BK57" i="59"/>
  <c r="BL56" i="59"/>
  <c r="BM56" i="59"/>
  <c r="BN56" i="59"/>
  <c r="BO56" i="59"/>
  <c r="BP56" i="59"/>
  <c r="BQ56" i="59"/>
  <c r="BR56" i="59"/>
  <c r="BS56" i="59"/>
  <c r="BT56" i="59"/>
  <c r="BU56" i="59"/>
  <c r="BV56" i="59"/>
  <c r="BW56" i="59"/>
  <c r="BX56" i="59"/>
  <c r="BY56" i="59"/>
  <c r="BZ56" i="59"/>
  <c r="CA56" i="59"/>
  <c r="CB56" i="59"/>
  <c r="CC56" i="59"/>
  <c r="CD56" i="59"/>
  <c r="CE56" i="59"/>
  <c r="CF56" i="59"/>
  <c r="CG56" i="59"/>
  <c r="CH56" i="59"/>
  <c r="CI56" i="59"/>
  <c r="CJ56" i="59"/>
  <c r="CK56" i="59"/>
  <c r="CL56" i="59"/>
  <c r="BK56" i="59"/>
  <c r="BM52" i="59"/>
  <c r="BN52" i="59"/>
  <c r="BO52" i="59"/>
  <c r="BP52" i="59"/>
  <c r="BQ52" i="59"/>
  <c r="BR52" i="59"/>
  <c r="BS52" i="59"/>
  <c r="BT52" i="59"/>
  <c r="BU52" i="59"/>
  <c r="BV52" i="59"/>
  <c r="BW52" i="59"/>
  <c r="BX52" i="59"/>
  <c r="BY52" i="59"/>
  <c r="BZ52" i="59"/>
  <c r="CA52" i="59"/>
  <c r="CB52" i="59"/>
  <c r="CC52" i="59"/>
  <c r="CD52" i="59"/>
  <c r="CE52" i="59"/>
  <c r="CF52" i="59"/>
  <c r="CG52" i="59"/>
  <c r="CH52" i="59"/>
  <c r="CI52" i="59"/>
  <c r="CJ52" i="59"/>
  <c r="CK52" i="59"/>
  <c r="CL52" i="59"/>
  <c r="BL52" i="59"/>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D23" i="61"/>
  <c r="D24" i="61"/>
  <c r="D25" i="61"/>
  <c r="AH52" i="59"/>
  <c r="BK51" i="59"/>
  <c r="BK52" i="59"/>
  <c r="BK50" i="59"/>
  <c r="BL48" i="59"/>
  <c r="BM48" i="59"/>
  <c r="BN48" i="59"/>
  <c r="BO48" i="59"/>
  <c r="BP48" i="59"/>
  <c r="BQ48" i="59"/>
  <c r="BR48" i="59"/>
  <c r="BS48" i="59"/>
  <c r="BT48" i="59"/>
  <c r="BU48" i="59"/>
  <c r="BV48" i="59"/>
  <c r="BW48" i="59"/>
  <c r="BX48" i="59"/>
  <c r="BY48" i="59"/>
  <c r="BZ48" i="59"/>
  <c r="CA48" i="59"/>
  <c r="CB48" i="59"/>
  <c r="CC48" i="59"/>
  <c r="CD48" i="59"/>
  <c r="CE48" i="59"/>
  <c r="CF48" i="59"/>
  <c r="CG48" i="59"/>
  <c r="CH48" i="59"/>
  <c r="CI48" i="59"/>
  <c r="CJ48" i="59"/>
  <c r="CK48" i="59"/>
  <c r="CL48" i="59"/>
  <c r="BR50" i="59" l="1"/>
  <c r="J28" i="58"/>
  <c r="M68" i="58"/>
  <c r="BP84" i="59"/>
  <c r="BP85" i="59" s="1"/>
  <c r="BP86" i="59" s="1"/>
  <c r="CF84" i="59"/>
  <c r="BU83" i="59"/>
  <c r="BU85" i="59" s="1"/>
  <c r="BU86" i="59" s="1"/>
  <c r="Q69" i="58"/>
  <c r="T68" i="58"/>
  <c r="T28" i="58" s="1"/>
  <c r="CH84" i="59"/>
  <c r="CH85" i="59" s="1"/>
  <c r="CH86" i="59" s="1"/>
  <c r="BR84" i="59"/>
  <c r="CB83" i="59"/>
  <c r="X69" i="58"/>
  <c r="CF85" i="59"/>
  <c r="CF86" i="59" s="1"/>
  <c r="O68" i="58"/>
  <c r="CG84" i="59"/>
  <c r="CG85" i="59" s="1"/>
  <c r="CG86" i="59" s="1"/>
  <c r="BQ84" i="59"/>
  <c r="BQ85" i="59" s="1"/>
  <c r="BQ86" i="59" s="1"/>
  <c r="BW83" i="59"/>
  <c r="U69" i="58"/>
  <c r="L68" i="58"/>
  <c r="CC84" i="59"/>
  <c r="BM84" i="59"/>
  <c r="BT83" i="59"/>
  <c r="P69" i="58"/>
  <c r="AC68" i="58"/>
  <c r="AC28" i="58" s="1"/>
  <c r="G68" i="58"/>
  <c r="BZ84" i="59"/>
  <c r="BZ85" i="59" s="1"/>
  <c r="BZ86" i="59" s="1"/>
  <c r="CK83" i="59"/>
  <c r="CK85" i="59" s="1"/>
  <c r="CK86" i="59" s="1"/>
  <c r="BO83" i="59"/>
  <c r="M69" i="58"/>
  <c r="M29" i="58" s="1"/>
  <c r="AB68" i="58"/>
  <c r="AB28" i="58" s="1"/>
  <c r="E68" i="58"/>
  <c r="BY84" i="59"/>
  <c r="BY85" i="59" s="1"/>
  <c r="BY86" i="59" s="1"/>
  <c r="CJ83" i="59"/>
  <c r="BM83" i="59"/>
  <c r="BM85" i="59" s="1"/>
  <c r="BM86" i="59" s="1"/>
  <c r="I69" i="58"/>
  <c r="W68" i="58"/>
  <c r="BL83" i="59"/>
  <c r="BX84" i="59"/>
  <c r="BX85" i="59" s="1"/>
  <c r="BX86" i="59" s="1"/>
  <c r="CE83" i="59"/>
  <c r="AC69" i="58"/>
  <c r="H69" i="58"/>
  <c r="U68" i="58"/>
  <c r="Y69" i="58"/>
  <c r="AD68" i="58"/>
  <c r="AD28" i="58" s="1"/>
  <c r="V68" i="58"/>
  <c r="N68" i="58"/>
  <c r="N28" i="58" s="1"/>
  <c r="F68" i="58"/>
  <c r="CJ84" i="59"/>
  <c r="CB84" i="59"/>
  <c r="BT84" i="59"/>
  <c r="CL83" i="59"/>
  <c r="CD83" i="59"/>
  <c r="BV83" i="59"/>
  <c r="BN83" i="59"/>
  <c r="CI84" i="59"/>
  <c r="CI85" i="59" s="1"/>
  <c r="CI86" i="59" s="1"/>
  <c r="CA84" i="59"/>
  <c r="CA85" i="59" s="1"/>
  <c r="CA86" i="59" s="1"/>
  <c r="BS84" i="59"/>
  <c r="BS85" i="59" s="1"/>
  <c r="BS86" i="59" s="1"/>
  <c r="CC85" i="59"/>
  <c r="CC86" i="59" s="1"/>
  <c r="AA69" i="58"/>
  <c r="S69" i="58"/>
  <c r="S29" i="58" s="1"/>
  <c r="K69" i="58"/>
  <c r="Z69" i="58"/>
  <c r="R69" i="58"/>
  <c r="J69" i="58"/>
  <c r="AA68" i="58"/>
  <c r="S68" i="58"/>
  <c r="K68" i="58"/>
  <c r="Z68" i="58"/>
  <c r="R68" i="58"/>
  <c r="BL84" i="59"/>
  <c r="BL85" i="59" s="1"/>
  <c r="BL86" i="59" s="1"/>
  <c r="BR83" i="59"/>
  <c r="D68" i="58"/>
  <c r="D28" i="58" s="1"/>
  <c r="Y68" i="58"/>
  <c r="Q68" i="58"/>
  <c r="I68" i="58"/>
  <c r="CE84" i="59"/>
  <c r="BW84" i="59"/>
  <c r="BO84" i="59"/>
  <c r="BO85" i="59" s="1"/>
  <c r="BO86" i="59" s="1"/>
  <c r="X68" i="58"/>
  <c r="P68" i="58"/>
  <c r="H68" i="58"/>
  <c r="CL84" i="59"/>
  <c r="CD84" i="59"/>
  <c r="BV84" i="59"/>
  <c r="BN84" i="59"/>
  <c r="BU51" i="59"/>
  <c r="CL50" i="59"/>
  <c r="BL51" i="59"/>
  <c r="CJ51" i="59"/>
  <c r="CA51" i="59"/>
  <c r="CB51" i="59"/>
  <c r="BT51" i="59"/>
  <c r="CE51" i="59"/>
  <c r="BW51" i="59"/>
  <c r="BO51" i="59"/>
  <c r="CL51" i="59"/>
  <c r="CD51" i="59"/>
  <c r="BV51" i="59"/>
  <c r="BN51" i="59"/>
  <c r="BM51" i="59"/>
  <c r="CJ50" i="59"/>
  <c r="F6" i="61"/>
  <c r="F7" i="61"/>
  <c r="F8" i="61"/>
  <c r="F9" i="61"/>
  <c r="F10" i="61"/>
  <c r="F11" i="61"/>
  <c r="F12" i="61"/>
  <c r="F13" i="61"/>
  <c r="F14" i="61"/>
  <c r="F15" i="61"/>
  <c r="F16" i="61"/>
  <c r="F17" i="61"/>
  <c r="F18" i="61"/>
  <c r="F19" i="61"/>
  <c r="F20" i="61"/>
  <c r="F21" i="61"/>
  <c r="F22" i="61"/>
  <c r="BY51" i="59" l="1"/>
  <c r="Q29" i="58"/>
  <c r="BZ51" i="59"/>
  <c r="R29" i="58"/>
  <c r="CH50" i="59"/>
  <c r="CH65" i="59" s="1"/>
  <c r="CH67" i="59" s="1"/>
  <c r="Z28" i="58"/>
  <c r="CD50" i="59"/>
  <c r="V28" i="58"/>
  <c r="BN50" i="59"/>
  <c r="F28" i="58"/>
  <c r="BZ50" i="59"/>
  <c r="BZ65" i="59" s="1"/>
  <c r="BZ67" i="59" s="1"/>
  <c r="R28" i="58"/>
  <c r="BS51" i="59"/>
  <c r="K29" i="58"/>
  <c r="BQ50" i="59"/>
  <c r="I28" i="58"/>
  <c r="BS50" i="59"/>
  <c r="K28" i="58"/>
  <c r="CI51" i="59"/>
  <c r="AA29" i="58"/>
  <c r="CE50" i="59"/>
  <c r="CE65" i="59" s="1"/>
  <c r="CE67" i="59" s="1"/>
  <c r="W28" i="58"/>
  <c r="CF51" i="59"/>
  <c r="X29" i="58"/>
  <c r="BX51" i="59"/>
  <c r="P29" i="58"/>
  <c r="CD65" i="59"/>
  <c r="CD67" i="59" s="1"/>
  <c r="BY50" i="59"/>
  <c r="BY65" i="59" s="1"/>
  <c r="BY67" i="59" s="1"/>
  <c r="Q28" i="58"/>
  <c r="CA50" i="59"/>
  <c r="CA65" i="59" s="1"/>
  <c r="CA67" i="59" s="1"/>
  <c r="S28" i="58"/>
  <c r="CG51" i="59"/>
  <c r="Y29" i="58"/>
  <c r="BQ51" i="59"/>
  <c r="BQ65" i="59" s="1"/>
  <c r="BQ67" i="59" s="1"/>
  <c r="I29" i="58"/>
  <c r="BT50" i="59"/>
  <c r="BT65" i="59" s="1"/>
  <c r="BT67" i="59" s="1"/>
  <c r="L28" i="58"/>
  <c r="BU50" i="59"/>
  <c r="BU65" i="59" s="1"/>
  <c r="BU67" i="59" s="1"/>
  <c r="M28" i="58"/>
  <c r="CK50" i="59"/>
  <c r="CH51" i="59"/>
  <c r="Z29" i="58"/>
  <c r="BM50" i="59"/>
  <c r="E28" i="58"/>
  <c r="BW50" i="59"/>
  <c r="BW65" i="59" s="1"/>
  <c r="BW67" i="59" s="1"/>
  <c r="O28" i="58"/>
  <c r="BP50" i="59"/>
  <c r="H28" i="58"/>
  <c r="CG50" i="59"/>
  <c r="CG65" i="59" s="1"/>
  <c r="CG67" i="59" s="1"/>
  <c r="Y28" i="58"/>
  <c r="CI50" i="59"/>
  <c r="CI65" i="59" s="1"/>
  <c r="CI67" i="59" s="1"/>
  <c r="AA28" i="58"/>
  <c r="BT85" i="59"/>
  <c r="BT86" i="59" s="1"/>
  <c r="CC50" i="59"/>
  <c r="U28" i="58"/>
  <c r="CC51" i="59"/>
  <c r="U29" i="58"/>
  <c r="CF50" i="59"/>
  <c r="X28" i="58"/>
  <c r="CK51" i="59"/>
  <c r="CK65" i="59" s="1"/>
  <c r="CK67" i="59" s="1"/>
  <c r="AC29" i="58"/>
  <c r="CB50" i="59"/>
  <c r="BV50" i="59"/>
  <c r="BX50" i="59"/>
  <c r="BX65" i="59" s="1"/>
  <c r="BX67" i="59" s="1"/>
  <c r="P28" i="58"/>
  <c r="BR51" i="59"/>
  <c r="BR65" i="59" s="1"/>
  <c r="BR67" i="59" s="1"/>
  <c r="J29" i="58"/>
  <c r="BP51" i="59"/>
  <c r="BP65" i="59" s="1"/>
  <c r="BP67" i="59" s="1"/>
  <c r="H29" i="58"/>
  <c r="BO50" i="59"/>
  <c r="BO65" i="59" s="1"/>
  <c r="BO67" i="59" s="1"/>
  <c r="G28" i="58"/>
  <c r="CB85" i="59"/>
  <c r="CB86" i="59" s="1"/>
  <c r="CJ85" i="59"/>
  <c r="CJ86" i="59" s="1"/>
  <c r="CE85" i="59"/>
  <c r="CE86" i="59" s="1"/>
  <c r="BR85" i="59"/>
  <c r="BR86" i="59" s="1"/>
  <c r="BV65" i="59"/>
  <c r="BV67" i="59" s="1"/>
  <c r="BN65" i="59"/>
  <c r="BN67" i="59" s="1"/>
  <c r="CF65" i="59"/>
  <c r="CF67" i="59" s="1"/>
  <c r="BS65" i="59"/>
  <c r="BS67" i="59" s="1"/>
  <c r="CD85" i="59"/>
  <c r="CD86" i="59" s="1"/>
  <c r="BW85" i="59"/>
  <c r="BW86" i="59" s="1"/>
  <c r="BN85" i="59"/>
  <c r="BN86" i="59" s="1"/>
  <c r="BV85" i="59"/>
  <c r="BV86" i="59" s="1"/>
  <c r="CL85" i="59"/>
  <c r="CL86" i="59" s="1"/>
  <c r="CC65" i="59"/>
  <c r="CC67" i="59" s="1"/>
  <c r="BL50" i="59"/>
  <c r="BL65" i="59" s="1"/>
  <c r="BL67" i="59" s="1"/>
  <c r="CL65" i="59"/>
  <c r="CL67" i="59" s="1"/>
  <c r="CJ65" i="59"/>
  <c r="CJ67" i="59" s="1"/>
  <c r="CB65" i="59"/>
  <c r="CB67" i="59" s="1"/>
  <c r="BM65" i="59"/>
  <c r="BM67" i="59" s="1"/>
  <c r="E22" i="61"/>
  <c r="AK163" i="59" l="1"/>
  <c r="AH72" i="59"/>
  <c r="AH68" i="59"/>
  <c r="AH66" i="59"/>
  <c r="AH81" i="59" s="1"/>
  <c r="AH79" i="59"/>
  <c r="AI98" i="59"/>
  <c r="AJ98" i="59"/>
  <c r="AK98" i="59"/>
  <c r="AL98" i="59"/>
  <c r="AM98" i="59"/>
  <c r="AN98" i="59"/>
  <c r="AO98" i="59"/>
  <c r="AP98" i="59"/>
  <c r="AQ98" i="59"/>
  <c r="AR98" i="59"/>
  <c r="AS98" i="59"/>
  <c r="AT98" i="59"/>
  <c r="AU98" i="59"/>
  <c r="AV98" i="59"/>
  <c r="AW98" i="59"/>
  <c r="AX98" i="59"/>
  <c r="AY98" i="59"/>
  <c r="AZ98" i="59"/>
  <c r="BA98" i="59"/>
  <c r="BB98" i="59"/>
  <c r="BC98" i="59"/>
  <c r="BD98" i="59"/>
  <c r="BE98" i="59"/>
  <c r="BF98" i="59"/>
  <c r="BG98" i="59"/>
  <c r="BH98" i="59"/>
  <c r="AH98" i="59"/>
  <c r="A29" i="58"/>
  <c r="B29" i="58"/>
  <c r="C29" i="58"/>
  <c r="A30" i="58"/>
  <c r="B30" i="58"/>
  <c r="C30" i="58"/>
  <c r="B28" i="58"/>
  <c r="C28" i="58"/>
  <c r="A28" i="58"/>
  <c r="A9" i="58"/>
  <c r="B9" i="58"/>
  <c r="C9" i="58"/>
  <c r="A10" i="58"/>
  <c r="B10" i="58"/>
  <c r="C10" i="58"/>
  <c r="A11" i="58"/>
  <c r="B11" i="58"/>
  <c r="C11" i="58"/>
  <c r="A12" i="58"/>
  <c r="B12" i="58"/>
  <c r="C12" i="58"/>
  <c r="A13" i="58"/>
  <c r="B13" i="58"/>
  <c r="C13" i="58"/>
  <c r="A14" i="58"/>
  <c r="B14" i="58"/>
  <c r="C14" i="58"/>
  <c r="A15" i="58"/>
  <c r="B15" i="58"/>
  <c r="C15" i="58"/>
  <c r="A16" i="58"/>
  <c r="B16" i="58"/>
  <c r="C16" i="58"/>
  <c r="A17" i="58"/>
  <c r="B17" i="58"/>
  <c r="C17" i="58"/>
  <c r="A18" i="58"/>
  <c r="B18" i="58"/>
  <c r="C18" i="58"/>
  <c r="A19" i="58"/>
  <c r="B19" i="58"/>
  <c r="C19" i="58"/>
  <c r="A20" i="58"/>
  <c r="B20" i="58"/>
  <c r="C20" i="58"/>
  <c r="A21" i="58"/>
  <c r="B21" i="58"/>
  <c r="C21" i="58"/>
  <c r="A22" i="58"/>
  <c r="B22" i="58"/>
  <c r="C22" i="58"/>
  <c r="A23" i="58"/>
  <c r="B23" i="58"/>
  <c r="C23" i="58"/>
  <c r="A24" i="58"/>
  <c r="B24" i="58"/>
  <c r="C24" i="58"/>
  <c r="A25" i="58"/>
  <c r="B25" i="58"/>
  <c r="C25" i="58"/>
  <c r="A26" i="58"/>
  <c r="B26" i="58"/>
  <c r="C26" i="58"/>
  <c r="B8" i="58"/>
  <c r="C8" i="58"/>
  <c r="A8" i="58"/>
  <c r="B6" i="58"/>
  <c r="C6" i="58"/>
  <c r="A6" i="58"/>
  <c r="AI87" i="59"/>
  <c r="AJ87" i="59"/>
  <c r="AK87" i="59"/>
  <c r="AL87" i="59"/>
  <c r="AM87" i="59"/>
  <c r="AN87" i="59"/>
  <c r="AO87" i="59"/>
  <c r="AP87" i="59"/>
  <c r="AQ87" i="59"/>
  <c r="AR87" i="59"/>
  <c r="AS87" i="59"/>
  <c r="AT87" i="59"/>
  <c r="AU87" i="59"/>
  <c r="AV87" i="59"/>
  <c r="AW87" i="59"/>
  <c r="AX87" i="59"/>
  <c r="AY87" i="59"/>
  <c r="AZ87" i="59"/>
  <c r="BA87" i="59"/>
  <c r="BB87" i="59"/>
  <c r="BC87" i="59"/>
  <c r="BD87" i="59"/>
  <c r="BE87" i="59"/>
  <c r="BF87" i="59"/>
  <c r="BG87" i="59"/>
  <c r="BH87" i="59"/>
  <c r="AH87" i="59"/>
  <c r="AI50" i="59" l="1"/>
  <c r="AI78" i="59" s="1"/>
  <c r="W139" i="43"/>
  <c r="C121" i="43"/>
  <c r="E6" i="61"/>
  <c r="G6" i="61"/>
  <c r="H6" i="61"/>
  <c r="I6" i="61"/>
  <c r="AM50" i="59" s="1"/>
  <c r="AM78" i="59" s="1"/>
  <c r="J6" i="61"/>
  <c r="K6" i="61"/>
  <c r="L6" i="61"/>
  <c r="M6" i="61"/>
  <c r="N6" i="61"/>
  <c r="O6" i="61"/>
  <c r="P6" i="61"/>
  <c r="Q6" i="61"/>
  <c r="R6" i="61"/>
  <c r="S6" i="61"/>
  <c r="T6" i="61"/>
  <c r="AX50" i="59" s="1"/>
  <c r="AX78" i="59" s="1"/>
  <c r="U6" i="61"/>
  <c r="V6" i="61"/>
  <c r="W6" i="61"/>
  <c r="X6" i="61"/>
  <c r="Y6" i="61"/>
  <c r="BC50" i="59" s="1"/>
  <c r="BC78" i="59" s="1"/>
  <c r="Z6" i="61"/>
  <c r="AA6" i="61"/>
  <c r="AB6" i="61"/>
  <c r="BF50" i="59" s="1"/>
  <c r="BF78" i="59" s="1"/>
  <c r="AC6" i="61"/>
  <c r="AD6" i="61"/>
  <c r="E7" i="61"/>
  <c r="G7" i="61"/>
  <c r="AK52" i="59" s="1"/>
  <c r="H7" i="61"/>
  <c r="I7" i="61"/>
  <c r="J7" i="61"/>
  <c r="AN52" i="59" s="1"/>
  <c r="K7" i="61"/>
  <c r="L7" i="61"/>
  <c r="M7" i="61"/>
  <c r="N7" i="61"/>
  <c r="O7" i="61"/>
  <c r="AS52" i="59" s="1"/>
  <c r="P7" i="61"/>
  <c r="Q7" i="61"/>
  <c r="R7" i="61"/>
  <c r="AV52" i="59" s="1"/>
  <c r="S7" i="61"/>
  <c r="T7" i="61"/>
  <c r="U7" i="61"/>
  <c r="V7" i="61"/>
  <c r="W7" i="61"/>
  <c r="BA52" i="59" s="1"/>
  <c r="X7" i="61"/>
  <c r="Y7" i="61"/>
  <c r="Z7" i="61"/>
  <c r="BD52" i="59" s="1"/>
  <c r="AA7" i="61"/>
  <c r="AB7" i="61"/>
  <c r="AC7" i="61"/>
  <c r="AD7" i="61"/>
  <c r="E8" i="61"/>
  <c r="AI53" i="59" s="1"/>
  <c r="G8" i="61"/>
  <c r="H8" i="61"/>
  <c r="I8" i="61"/>
  <c r="J8" i="61"/>
  <c r="K8" i="61"/>
  <c r="L8" i="61"/>
  <c r="M8" i="61"/>
  <c r="AQ53" i="59" s="1"/>
  <c r="N8" i="61"/>
  <c r="O8" i="61"/>
  <c r="P8" i="61"/>
  <c r="AT53" i="59" s="1"/>
  <c r="Q8" i="61"/>
  <c r="R8" i="61"/>
  <c r="S8" i="61"/>
  <c r="T8" i="61"/>
  <c r="U8" i="61"/>
  <c r="AY53" i="59" s="1"/>
  <c r="V8" i="61"/>
  <c r="W8" i="61"/>
  <c r="X8" i="61"/>
  <c r="BB53" i="59" s="1"/>
  <c r="Y8" i="61"/>
  <c r="Z8" i="61"/>
  <c r="AA8" i="61"/>
  <c r="AB8" i="61"/>
  <c r="AC8" i="61"/>
  <c r="BG53" i="59" s="1"/>
  <c r="AD8" i="61"/>
  <c r="E9" i="61"/>
  <c r="AJ54" i="59"/>
  <c r="G9" i="61"/>
  <c r="H9" i="61"/>
  <c r="I9" i="61"/>
  <c r="J9" i="61"/>
  <c r="K9" i="61"/>
  <c r="AO54" i="59" s="1"/>
  <c r="L9" i="61"/>
  <c r="M9" i="61"/>
  <c r="N9" i="61"/>
  <c r="AR54" i="59" s="1"/>
  <c r="O9" i="61"/>
  <c r="P9" i="61"/>
  <c r="Q9" i="61"/>
  <c r="R9" i="61"/>
  <c r="S9" i="61"/>
  <c r="T9" i="61"/>
  <c r="U9" i="61"/>
  <c r="V9" i="61"/>
  <c r="AZ54" i="59" s="1"/>
  <c r="W9" i="61"/>
  <c r="X9" i="61"/>
  <c r="Y9" i="61"/>
  <c r="Z9" i="61"/>
  <c r="AA9" i="61"/>
  <c r="BE54" i="59" s="1"/>
  <c r="AB9" i="61"/>
  <c r="AC9" i="61"/>
  <c r="AD9" i="61"/>
  <c r="BH54" i="59" s="1"/>
  <c r="E10" i="61"/>
  <c r="G10" i="61"/>
  <c r="H10" i="61"/>
  <c r="I10" i="61"/>
  <c r="AM55" i="59" s="1"/>
  <c r="J10" i="61"/>
  <c r="K10" i="61"/>
  <c r="L10" i="61"/>
  <c r="M10" i="61"/>
  <c r="N10" i="61"/>
  <c r="O10" i="61"/>
  <c r="P10" i="61"/>
  <c r="Q10" i="61"/>
  <c r="AU55" i="59" s="1"/>
  <c r="R10" i="61"/>
  <c r="S10" i="61"/>
  <c r="T10" i="61"/>
  <c r="AX55" i="59" s="1"/>
  <c r="U10" i="61"/>
  <c r="V10" i="61"/>
  <c r="W10" i="61"/>
  <c r="X10" i="61"/>
  <c r="Y10" i="61"/>
  <c r="BC55" i="59" s="1"/>
  <c r="Z10" i="61"/>
  <c r="AA10" i="61"/>
  <c r="AB10" i="61"/>
  <c r="BF55" i="59" s="1"/>
  <c r="AC10" i="61"/>
  <c r="AD10" i="61"/>
  <c r="E16" i="61"/>
  <c r="G16" i="61"/>
  <c r="H16" i="61"/>
  <c r="AL62" i="59" s="1"/>
  <c r="I16" i="61"/>
  <c r="J16" i="61"/>
  <c r="K16" i="61"/>
  <c r="L16" i="61"/>
  <c r="M16" i="61"/>
  <c r="AQ62" i="59" s="1"/>
  <c r="N16" i="61"/>
  <c r="O16" i="61"/>
  <c r="P16" i="61"/>
  <c r="Q16" i="61"/>
  <c r="R16" i="61"/>
  <c r="S16" i="61"/>
  <c r="T16" i="61"/>
  <c r="U16" i="61"/>
  <c r="AY62" i="59" s="1"/>
  <c r="V16" i="61"/>
  <c r="W16" i="61"/>
  <c r="X16" i="61"/>
  <c r="Y16" i="61"/>
  <c r="Z16" i="61"/>
  <c r="AA16" i="61"/>
  <c r="AB16" i="61"/>
  <c r="AC16" i="61"/>
  <c r="BG62" i="59" s="1"/>
  <c r="AD16" i="61"/>
  <c r="E17" i="61"/>
  <c r="G17" i="61"/>
  <c r="H17" i="61"/>
  <c r="I17" i="61"/>
  <c r="J17" i="61"/>
  <c r="K17" i="61"/>
  <c r="AO63" i="59" s="1"/>
  <c r="L17" i="61"/>
  <c r="M17" i="61"/>
  <c r="N17" i="61"/>
  <c r="AR63" i="59" s="1"/>
  <c r="O17" i="61"/>
  <c r="P17" i="61"/>
  <c r="Q17" i="61"/>
  <c r="R17" i="61"/>
  <c r="S17" i="61"/>
  <c r="AW63" i="59" s="1"/>
  <c r="T17" i="61"/>
  <c r="U17" i="61"/>
  <c r="V17" i="61"/>
  <c r="AZ63" i="59" s="1"/>
  <c r="W17" i="61"/>
  <c r="X17" i="61"/>
  <c r="Y17" i="61"/>
  <c r="Z17" i="61"/>
  <c r="AA17" i="61"/>
  <c r="BE63" i="59" s="1"/>
  <c r="AB17" i="61"/>
  <c r="AC17" i="61"/>
  <c r="AD17" i="61"/>
  <c r="BH63" i="59" s="1"/>
  <c r="E18" i="61"/>
  <c r="G18" i="61"/>
  <c r="H18" i="61"/>
  <c r="I18" i="61"/>
  <c r="AM64" i="59" s="1"/>
  <c r="J18" i="61"/>
  <c r="K18" i="61"/>
  <c r="L18" i="61"/>
  <c r="AP64" i="59" s="1"/>
  <c r="M18" i="61"/>
  <c r="N18" i="61"/>
  <c r="O18" i="61"/>
  <c r="P18" i="61"/>
  <c r="Q18" i="61"/>
  <c r="AU64" i="59" s="1"/>
  <c r="R18" i="61"/>
  <c r="S18" i="61"/>
  <c r="T18" i="61"/>
  <c r="AX64" i="59" s="1"/>
  <c r="U18" i="61"/>
  <c r="V18" i="61"/>
  <c r="W18" i="61"/>
  <c r="X18" i="61"/>
  <c r="Y18" i="61"/>
  <c r="Z18" i="61"/>
  <c r="AA18" i="61"/>
  <c r="AB18" i="61"/>
  <c r="BF64" i="59" s="1"/>
  <c r="AC18" i="61"/>
  <c r="AD18" i="61"/>
  <c r="E19" i="61"/>
  <c r="G19" i="61"/>
  <c r="AK66" i="59" s="1"/>
  <c r="AK81" i="59" s="1"/>
  <c r="H19" i="61"/>
  <c r="I19" i="61"/>
  <c r="J19" i="61"/>
  <c r="AN66" i="59" s="1"/>
  <c r="AN81" i="59" s="1"/>
  <c r="K19" i="61"/>
  <c r="L19" i="61"/>
  <c r="M19" i="61"/>
  <c r="N19" i="61"/>
  <c r="O19" i="61"/>
  <c r="AS66" i="59" s="1"/>
  <c r="AS81" i="59" s="1"/>
  <c r="P19" i="61"/>
  <c r="AT66" i="59" s="1"/>
  <c r="AT81" i="59" s="1"/>
  <c r="Q19" i="61"/>
  <c r="R19" i="61"/>
  <c r="AV66" i="59" s="1"/>
  <c r="AV81" i="59" s="1"/>
  <c r="S19" i="61"/>
  <c r="T19" i="61"/>
  <c r="U19" i="61"/>
  <c r="V19" i="61"/>
  <c r="W19" i="61"/>
  <c r="BA66" i="59" s="1"/>
  <c r="BA81" i="59" s="1"/>
  <c r="X19" i="61"/>
  <c r="Y19" i="61"/>
  <c r="Z19" i="61"/>
  <c r="BD66" i="59" s="1"/>
  <c r="BD81" i="59" s="1"/>
  <c r="AA19" i="61"/>
  <c r="AB19" i="61"/>
  <c r="AC19" i="61"/>
  <c r="AD19" i="61"/>
  <c r="D7" i="61"/>
  <c r="D8" i="61"/>
  <c r="D9" i="61"/>
  <c r="D10" i="61"/>
  <c r="D16" i="61"/>
  <c r="D17" i="61"/>
  <c r="D18" i="61"/>
  <c r="D19" i="61"/>
  <c r="D20" i="61"/>
  <c r="D21" i="61"/>
  <c r="D22" i="61"/>
  <c r="D6" i="61"/>
  <c r="AJ50" i="59"/>
  <c r="AJ78" i="59" s="1"/>
  <c r="AK50" i="59"/>
  <c r="AK78" i="59" s="1"/>
  <c r="AN50" i="59"/>
  <c r="AN78" i="59" s="1"/>
  <c r="AP50" i="59"/>
  <c r="AP78" i="59" s="1"/>
  <c r="AR50" i="59"/>
  <c r="AR78" i="59" s="1"/>
  <c r="AZ50" i="59"/>
  <c r="AZ78" i="59" s="1"/>
  <c r="BA50" i="59"/>
  <c r="BA78" i="59" s="1"/>
  <c r="BG50" i="59"/>
  <c r="BG78" i="59" s="1"/>
  <c r="BH50" i="59"/>
  <c r="BH78" i="59" s="1"/>
  <c r="AQ50" i="59"/>
  <c r="AQ78" i="59" s="1"/>
  <c r="AY50" i="59"/>
  <c r="AY78" i="59" s="1"/>
  <c r="AV50" i="59"/>
  <c r="AV78" i="59" s="1"/>
  <c r="BD50" i="59"/>
  <c r="BD78" i="59" s="1"/>
  <c r="AM53" i="59"/>
  <c r="AR53" i="59"/>
  <c r="AU53" i="59"/>
  <c r="AX53" i="59"/>
  <c r="BF53" i="59"/>
  <c r="AH53" i="59"/>
  <c r="AP63" i="59"/>
  <c r="AX63" i="59"/>
  <c r="BF63" i="59"/>
  <c r="AP66" i="59"/>
  <c r="AP81" i="59" s="1"/>
  <c r="AU66" i="59"/>
  <c r="AU81" i="59" s="1"/>
  <c r="AX66" i="59"/>
  <c r="AX81" i="59" s="1"/>
  <c r="BC66" i="59"/>
  <c r="BC81" i="59" s="1"/>
  <c r="BE66" i="59"/>
  <c r="BE81" i="59" s="1"/>
  <c r="BF66" i="59"/>
  <c r="BF81" i="59" s="1"/>
  <c r="AU126" i="59"/>
  <c r="AU139" i="59" s="1"/>
  <c r="AU151" i="59" s="1"/>
  <c r="AU162" i="59" s="1"/>
  <c r="AI113" i="59"/>
  <c r="AI126" i="59" s="1"/>
  <c r="AI139" i="59" s="1"/>
  <c r="AI151" i="59" s="1"/>
  <c r="AI162" i="59" s="1"/>
  <c r="AJ113" i="59"/>
  <c r="AJ126" i="59" s="1"/>
  <c r="AJ139" i="59" s="1"/>
  <c r="AJ151" i="59" s="1"/>
  <c r="AJ162" i="59" s="1"/>
  <c r="AK113" i="59"/>
  <c r="AK126" i="59" s="1"/>
  <c r="AK139" i="59" s="1"/>
  <c r="AK151" i="59" s="1"/>
  <c r="AK162" i="59" s="1"/>
  <c r="AL113" i="59"/>
  <c r="AL126" i="59" s="1"/>
  <c r="AL139" i="59" s="1"/>
  <c r="AL151" i="59" s="1"/>
  <c r="AL162" i="59" s="1"/>
  <c r="AM113" i="59"/>
  <c r="AM126" i="59" s="1"/>
  <c r="AM139" i="59" s="1"/>
  <c r="AM151" i="59" s="1"/>
  <c r="AM162" i="59" s="1"/>
  <c r="AN113" i="59"/>
  <c r="AN126" i="59" s="1"/>
  <c r="AN139" i="59" s="1"/>
  <c r="AN151" i="59" s="1"/>
  <c r="AN162" i="59" s="1"/>
  <c r="AO113" i="59"/>
  <c r="AO126" i="59" s="1"/>
  <c r="AO139" i="59" s="1"/>
  <c r="AO151" i="59" s="1"/>
  <c r="AO162" i="59" s="1"/>
  <c r="AP113" i="59"/>
  <c r="AP126" i="59" s="1"/>
  <c r="AP139" i="59" s="1"/>
  <c r="AP151" i="59" s="1"/>
  <c r="AP162" i="59" s="1"/>
  <c r="AQ113" i="59"/>
  <c r="AQ126" i="59" s="1"/>
  <c r="AQ139" i="59" s="1"/>
  <c r="AQ151" i="59" s="1"/>
  <c r="AQ162" i="59" s="1"/>
  <c r="AR113" i="59"/>
  <c r="AR126" i="59" s="1"/>
  <c r="AR139" i="59" s="1"/>
  <c r="AR151" i="59" s="1"/>
  <c r="AR162" i="59" s="1"/>
  <c r="AS113" i="59"/>
  <c r="AS126" i="59" s="1"/>
  <c r="AS139" i="59" s="1"/>
  <c r="AS151" i="59" s="1"/>
  <c r="AS162" i="59" s="1"/>
  <c r="AT113" i="59"/>
  <c r="AT126" i="59" s="1"/>
  <c r="AT139" i="59" s="1"/>
  <c r="AT151" i="59" s="1"/>
  <c r="AT162" i="59" s="1"/>
  <c r="AU113" i="59"/>
  <c r="AV113" i="59"/>
  <c r="AV126" i="59" s="1"/>
  <c r="AV139" i="59" s="1"/>
  <c r="AV151" i="59" s="1"/>
  <c r="AV162" i="59" s="1"/>
  <c r="AW113" i="59"/>
  <c r="AW126" i="59" s="1"/>
  <c r="AW139" i="59" s="1"/>
  <c r="AW151" i="59" s="1"/>
  <c r="AW162" i="59" s="1"/>
  <c r="AX113" i="59"/>
  <c r="AX126" i="59" s="1"/>
  <c r="AX139" i="59" s="1"/>
  <c r="AX151" i="59" s="1"/>
  <c r="AX162" i="59" s="1"/>
  <c r="AY113" i="59"/>
  <c r="AY126" i="59" s="1"/>
  <c r="AY139" i="59" s="1"/>
  <c r="AY151" i="59" s="1"/>
  <c r="AY162" i="59" s="1"/>
  <c r="AZ113" i="59"/>
  <c r="AZ126" i="59" s="1"/>
  <c r="AZ139" i="59" s="1"/>
  <c r="AZ151" i="59" s="1"/>
  <c r="AZ162" i="59" s="1"/>
  <c r="BA113" i="59"/>
  <c r="BA126" i="59" s="1"/>
  <c r="BA139" i="59" s="1"/>
  <c r="BA151" i="59" s="1"/>
  <c r="BA162" i="59" s="1"/>
  <c r="BB113" i="59"/>
  <c r="BB126" i="59" s="1"/>
  <c r="BB139" i="59" s="1"/>
  <c r="BB151" i="59" s="1"/>
  <c r="BB162" i="59" s="1"/>
  <c r="BC113" i="59"/>
  <c r="BC126" i="59" s="1"/>
  <c r="BC139" i="59" s="1"/>
  <c r="BC151" i="59" s="1"/>
  <c r="BC162" i="59" s="1"/>
  <c r="BD113" i="59"/>
  <c r="BD126" i="59" s="1"/>
  <c r="BD139" i="59" s="1"/>
  <c r="BD151" i="59" s="1"/>
  <c r="BD162" i="59" s="1"/>
  <c r="BE113" i="59"/>
  <c r="BE126" i="59" s="1"/>
  <c r="BE139" i="59" s="1"/>
  <c r="BE151" i="59" s="1"/>
  <c r="BE162" i="59" s="1"/>
  <c r="BF113" i="59"/>
  <c r="BF126" i="59" s="1"/>
  <c r="BF139" i="59" s="1"/>
  <c r="BF151" i="59" s="1"/>
  <c r="BF162" i="59" s="1"/>
  <c r="BG113" i="59"/>
  <c r="BG126" i="59" s="1"/>
  <c r="BG139" i="59" s="1"/>
  <c r="BG151" i="59" s="1"/>
  <c r="BG162" i="59" s="1"/>
  <c r="BH113" i="59"/>
  <c r="BH126" i="59" s="1"/>
  <c r="BH139" i="59" s="1"/>
  <c r="BH151" i="59" s="1"/>
  <c r="BH162" i="59" s="1"/>
  <c r="AH113" i="59"/>
  <c r="AH126" i="59" s="1"/>
  <c r="AH139" i="59" s="1"/>
  <c r="AH151" i="59" s="1"/>
  <c r="AH162" i="59" s="1"/>
  <c r="AI77" i="59"/>
  <c r="AJ77" i="59"/>
  <c r="AK77" i="59"/>
  <c r="AL77" i="59"/>
  <c r="AM77" i="59"/>
  <c r="AN77" i="59"/>
  <c r="AO77" i="59"/>
  <c r="AP77" i="59"/>
  <c r="AQ77" i="59"/>
  <c r="AR77" i="59"/>
  <c r="AS77" i="59"/>
  <c r="AT77" i="59"/>
  <c r="AU77" i="59"/>
  <c r="AV77" i="59"/>
  <c r="AW77" i="59"/>
  <c r="AX77" i="59"/>
  <c r="AY77" i="59"/>
  <c r="AZ77" i="59"/>
  <c r="BA77" i="59"/>
  <c r="BB77" i="59"/>
  <c r="BC77" i="59"/>
  <c r="BD77" i="59"/>
  <c r="BE77" i="59"/>
  <c r="BF77" i="59"/>
  <c r="BG77" i="59"/>
  <c r="BH77" i="59"/>
  <c r="AH77" i="59"/>
  <c r="AI72" i="59"/>
  <c r="AJ72" i="59"/>
  <c r="AK72" i="59"/>
  <c r="AL72" i="59"/>
  <c r="AM72" i="59"/>
  <c r="AN72" i="59"/>
  <c r="AO72" i="59"/>
  <c r="AP72" i="59"/>
  <c r="AQ72" i="59"/>
  <c r="AR72" i="59"/>
  <c r="AS72" i="59"/>
  <c r="AT72" i="59"/>
  <c r="AU72" i="59"/>
  <c r="AV72" i="59"/>
  <c r="AW72" i="59"/>
  <c r="AX72" i="59"/>
  <c r="AY72" i="59"/>
  <c r="AZ72" i="59"/>
  <c r="BA72" i="59"/>
  <c r="BB72" i="59"/>
  <c r="BC72" i="59"/>
  <c r="BD72" i="59"/>
  <c r="BE72" i="59"/>
  <c r="BF72" i="59"/>
  <c r="BG72" i="59"/>
  <c r="BH72" i="59"/>
  <c r="AI73" i="59"/>
  <c r="AJ73" i="59"/>
  <c r="AK73" i="59"/>
  <c r="AL73" i="59"/>
  <c r="AM73" i="59"/>
  <c r="AN73" i="59"/>
  <c r="AO73" i="59"/>
  <c r="AP73" i="59"/>
  <c r="AQ73" i="59"/>
  <c r="AR73" i="59"/>
  <c r="AS73" i="59"/>
  <c r="AT73" i="59"/>
  <c r="AU73" i="59"/>
  <c r="AV73" i="59"/>
  <c r="AW73" i="59"/>
  <c r="AX73" i="59"/>
  <c r="AY73" i="59"/>
  <c r="AZ73" i="59"/>
  <c r="BA73" i="59"/>
  <c r="BB73" i="59"/>
  <c r="BC73" i="59"/>
  <c r="BD73" i="59"/>
  <c r="BE73" i="59"/>
  <c r="BF73" i="59"/>
  <c r="BG73" i="59"/>
  <c r="BH73" i="59"/>
  <c r="AH73" i="59"/>
  <c r="AG73" i="59"/>
  <c r="AG72" i="59"/>
  <c r="AI66" i="59"/>
  <c r="AI81" i="59" s="1"/>
  <c r="AJ66" i="59"/>
  <c r="AJ81" i="59" s="1"/>
  <c r="AL66" i="59"/>
  <c r="AL81" i="59" s="1"/>
  <c r="AM66" i="59"/>
  <c r="AM81" i="59" s="1"/>
  <c r="AO66" i="59"/>
  <c r="AO81" i="59" s="1"/>
  <c r="AQ66" i="59"/>
  <c r="AQ81" i="59" s="1"/>
  <c r="AR66" i="59"/>
  <c r="AR81" i="59" s="1"/>
  <c r="AW66" i="59"/>
  <c r="AW81" i="59" s="1"/>
  <c r="AY66" i="59"/>
  <c r="AY81" i="59" s="1"/>
  <c r="AZ66" i="59"/>
  <c r="AZ81" i="59" s="1"/>
  <c r="BB66" i="59"/>
  <c r="BB81" i="59" s="1"/>
  <c r="BG66" i="59"/>
  <c r="BG81" i="59" s="1"/>
  <c r="BH66" i="59"/>
  <c r="BH81" i="59" s="1"/>
  <c r="AH70" i="59"/>
  <c r="AM62" i="59"/>
  <c r="AL50" i="59"/>
  <c r="AL78" i="59" s="1"/>
  <c r="AO50" i="59"/>
  <c r="AO78" i="59" s="1"/>
  <c r="AT50" i="59"/>
  <c r="AT78" i="59" s="1"/>
  <c r="AW50" i="59"/>
  <c r="AW78" i="59" s="1"/>
  <c r="BB50" i="59"/>
  <c r="BB78" i="59" s="1"/>
  <c r="BE50" i="59"/>
  <c r="BE78" i="59" s="1"/>
  <c r="D78" i="61"/>
  <c r="D12" i="61" s="1"/>
  <c r="AH57" i="59" s="1"/>
  <c r="E77" i="61"/>
  <c r="E11" i="61" s="1"/>
  <c r="AI56" i="59" s="1"/>
  <c r="AS50" i="59"/>
  <c r="AS78" i="59" s="1"/>
  <c r="AU50" i="59"/>
  <c r="AU78" i="59" s="1"/>
  <c r="AI52" i="59"/>
  <c r="AJ52" i="59"/>
  <c r="AL52" i="59"/>
  <c r="AQ52" i="59"/>
  <c r="AR52" i="59"/>
  <c r="AT52" i="59"/>
  <c r="BB52" i="59"/>
  <c r="AJ53" i="59"/>
  <c r="AL53" i="59"/>
  <c r="AZ53" i="59"/>
  <c r="BH53" i="59"/>
  <c r="AP54" i="59"/>
  <c r="AW54" i="59"/>
  <c r="AX54" i="59"/>
  <c r="BF54" i="59"/>
  <c r="AN55" i="59"/>
  <c r="AP55" i="59"/>
  <c r="AV55" i="59"/>
  <c r="BD55" i="59"/>
  <c r="AJ62" i="59"/>
  <c r="AK62" i="59"/>
  <c r="AN62" i="59"/>
  <c r="AO62" i="59"/>
  <c r="AP62" i="59"/>
  <c r="AR62" i="59"/>
  <c r="AS62" i="59"/>
  <c r="AT62" i="59"/>
  <c r="AU62" i="59"/>
  <c r="AV62" i="59"/>
  <c r="AW62" i="59"/>
  <c r="AX62" i="59"/>
  <c r="AZ62" i="59"/>
  <c r="BA62" i="59"/>
  <c r="BB62" i="59"/>
  <c r="BC62" i="59"/>
  <c r="BD62" i="59"/>
  <c r="BE62" i="59"/>
  <c r="BF62" i="59"/>
  <c r="BH62" i="59"/>
  <c r="AJ63" i="59"/>
  <c r="AK63" i="59"/>
  <c r="AL63" i="59"/>
  <c r="AM63" i="59"/>
  <c r="AN63" i="59"/>
  <c r="AQ63" i="59"/>
  <c r="AS63" i="59"/>
  <c r="AT63" i="59"/>
  <c r="AU63" i="59"/>
  <c r="AV63" i="59"/>
  <c r="AY63" i="59"/>
  <c r="BA63" i="59"/>
  <c r="BB63" i="59"/>
  <c r="BC63" i="59"/>
  <c r="BD63" i="59"/>
  <c r="BG63" i="59"/>
  <c r="AI64" i="59"/>
  <c r="AJ64" i="59"/>
  <c r="AK64" i="59"/>
  <c r="AL64" i="59"/>
  <c r="AN64" i="59"/>
  <c r="AO64" i="59"/>
  <c r="AQ64" i="59"/>
  <c r="AR64" i="59"/>
  <c r="AS64" i="59"/>
  <c r="AT64" i="59"/>
  <c r="AV64" i="59"/>
  <c r="AW64" i="59"/>
  <c r="AY64" i="59"/>
  <c r="AZ64" i="59"/>
  <c r="BA64" i="59"/>
  <c r="BB64" i="59"/>
  <c r="BC64" i="59"/>
  <c r="BD64" i="59"/>
  <c r="BE64" i="59"/>
  <c r="BG64" i="59"/>
  <c r="BH64" i="59"/>
  <c r="AH54" i="59"/>
  <c r="AH64" i="59"/>
  <c r="AI48" i="59"/>
  <c r="AJ48" i="59"/>
  <c r="AK48" i="59"/>
  <c r="AL48" i="59"/>
  <c r="AM48" i="59"/>
  <c r="AN48" i="59"/>
  <c r="AO48" i="59"/>
  <c r="AP48" i="59"/>
  <c r="AQ48" i="59"/>
  <c r="AR48" i="59"/>
  <c r="AS48" i="59"/>
  <c r="AT48" i="59"/>
  <c r="AU48" i="59"/>
  <c r="AV48" i="59"/>
  <c r="AW48" i="59"/>
  <c r="AX48" i="59"/>
  <c r="AY48" i="59"/>
  <c r="AZ48" i="59"/>
  <c r="BA48" i="59"/>
  <c r="BB48" i="59"/>
  <c r="BC48" i="59"/>
  <c r="BD48" i="59"/>
  <c r="BE48" i="59"/>
  <c r="BF48" i="59"/>
  <c r="BG48" i="59"/>
  <c r="BH48" i="59"/>
  <c r="AH48" i="59"/>
  <c r="AG50" i="59"/>
  <c r="AG51" i="59"/>
  <c r="AG52" i="59"/>
  <c r="AG53" i="59"/>
  <c r="AG54" i="59"/>
  <c r="AG55" i="59"/>
  <c r="AG56" i="59"/>
  <c r="AG57" i="59"/>
  <c r="AG58" i="59"/>
  <c r="AG59" i="59"/>
  <c r="AG60" i="59"/>
  <c r="AG61" i="59"/>
  <c r="AG62" i="59"/>
  <c r="AG63" i="59"/>
  <c r="AG64" i="59"/>
  <c r="AG65" i="59"/>
  <c r="AG66" i="59"/>
  <c r="AG67" i="59"/>
  <c r="AG68" i="59"/>
  <c r="AG69" i="59"/>
  <c r="AG70" i="59"/>
  <c r="AG49" i="59"/>
  <c r="AM52" i="59"/>
  <c r="AO52" i="59"/>
  <c r="AP52" i="59"/>
  <c r="AU52" i="59"/>
  <c r="AW52" i="59"/>
  <c r="AX52" i="59"/>
  <c r="AY52" i="59"/>
  <c r="AZ52" i="59"/>
  <c r="BC52" i="59"/>
  <c r="BE52" i="59"/>
  <c r="BF52" i="59"/>
  <c r="BG52" i="59"/>
  <c r="BH52" i="59"/>
  <c r="AK53" i="59"/>
  <c r="AN53" i="59"/>
  <c r="AO53" i="59"/>
  <c r="AP53" i="59"/>
  <c r="AS53" i="59"/>
  <c r="AV53" i="59"/>
  <c r="AW53" i="59"/>
  <c r="BA53" i="59"/>
  <c r="BC53" i="59"/>
  <c r="BD53" i="59"/>
  <c r="BE53" i="59"/>
  <c r="AI54" i="59"/>
  <c r="AK54" i="59"/>
  <c r="AL54" i="59"/>
  <c r="AM54" i="59"/>
  <c r="AN54" i="59"/>
  <c r="AQ54" i="59"/>
  <c r="AS54" i="59"/>
  <c r="AT54" i="59"/>
  <c r="AU54" i="59"/>
  <c r="AV54" i="59"/>
  <c r="AY54" i="59"/>
  <c r="BA54" i="59"/>
  <c r="BB54" i="59"/>
  <c r="BC54" i="59"/>
  <c r="BD54" i="59"/>
  <c r="BG54" i="59"/>
  <c r="AI55" i="59"/>
  <c r="AJ55" i="59"/>
  <c r="AK55" i="59"/>
  <c r="AL55" i="59"/>
  <c r="AO55" i="59"/>
  <c r="AQ55" i="59"/>
  <c r="AR55" i="59"/>
  <c r="AS55" i="59"/>
  <c r="AT55" i="59"/>
  <c r="AW55" i="59"/>
  <c r="AY55" i="59"/>
  <c r="AZ55" i="59"/>
  <c r="BA55" i="59"/>
  <c r="BB55" i="59"/>
  <c r="BE55" i="59"/>
  <c r="BG55" i="59"/>
  <c r="BH55" i="59"/>
  <c r="AH55" i="59"/>
  <c r="AH50" i="59" l="1"/>
  <c r="BH80" i="59"/>
  <c r="AZ80" i="59"/>
  <c r="BB80" i="59"/>
  <c r="AT80" i="59"/>
  <c r="BA80" i="59"/>
  <c r="AS80" i="59"/>
  <c r="BF80" i="59"/>
  <c r="AX80" i="59"/>
  <c r="AK80" i="59"/>
  <c r="BE80" i="59"/>
  <c r="AW80" i="59"/>
  <c r="AR80" i="59"/>
  <c r="AJ80" i="59"/>
  <c r="BD80" i="59"/>
  <c r="AV80" i="59"/>
  <c r="BC80" i="59"/>
  <c r="AU80" i="59"/>
  <c r="AP80" i="59"/>
  <c r="AY80" i="59"/>
  <c r="AO80" i="59"/>
  <c r="AN80" i="59"/>
  <c r="AQ80" i="59"/>
  <c r="AM80" i="59"/>
  <c r="BG80" i="59"/>
  <c r="AL80" i="59"/>
  <c r="B153" i="59" l="1"/>
  <c r="B151" i="59"/>
  <c r="B149" i="59"/>
  <c r="C137" i="43" l="1"/>
  <c r="E137" i="43"/>
  <c r="M15" i="68" l="1"/>
  <c r="L15" i="68"/>
  <c r="K15" i="68"/>
  <c r="J15" i="68"/>
  <c r="I15" i="68"/>
  <c r="M12" i="68"/>
  <c r="L12" i="68"/>
  <c r="K12" i="68"/>
  <c r="J12" i="68"/>
  <c r="I12" i="68"/>
  <c r="M9" i="68"/>
  <c r="L9" i="68"/>
  <c r="K9" i="68"/>
  <c r="J9" i="68"/>
  <c r="I9" i="68"/>
  <c r="J6" i="68"/>
  <c r="K6" i="68"/>
  <c r="L6" i="68"/>
  <c r="M6" i="68"/>
  <c r="I6" i="68"/>
  <c r="E16" i="68" l="1"/>
  <c r="D14" i="68"/>
  <c r="C14" i="68"/>
  <c r="D15" i="68"/>
  <c r="E142" i="59" l="1"/>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D143" i="59"/>
  <c r="E143" i="59" s="1"/>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A143" i="59"/>
  <c r="A155" i="59" s="1"/>
  <c r="B143" i="59"/>
  <c r="B155" i="59" s="1"/>
  <c r="A154" i="59"/>
  <c r="B140" i="59"/>
  <c r="A140" i="59"/>
  <c r="A152" i="59" s="1"/>
  <c r="C54" i="59"/>
  <c r="B138" i="59"/>
  <c r="B139" i="59" s="1"/>
  <c r="B136" i="59"/>
  <c r="B137" i="59" s="1"/>
  <c r="A138" i="59"/>
  <c r="A150" i="59" s="1"/>
  <c r="A136" i="59"/>
  <c r="A148" i="59" s="1"/>
  <c r="B152" i="59" l="1"/>
  <c r="B141" i="59"/>
  <c r="C55" i="59"/>
  <c r="C78" i="59"/>
  <c r="C77" i="59"/>
  <c r="C76" i="59"/>
  <c r="C74" i="59"/>
  <c r="C73" i="59"/>
  <c r="C70" i="59"/>
  <c r="C66" i="59"/>
  <c r="C63" i="59"/>
  <c r="C57" i="59"/>
  <c r="C53" i="59"/>
  <c r="C72" i="59"/>
  <c r="C64" i="59"/>
  <c r="C62" i="59"/>
  <c r="C56" i="59"/>
  <c r="C52" i="59"/>
  <c r="C50" i="59"/>
  <c r="J5" i="68"/>
  <c r="E13" i="68"/>
  <c r="D12" i="68"/>
  <c r="D11" i="68"/>
  <c r="E10" i="68"/>
  <c r="D9" i="68"/>
  <c r="D8" i="68"/>
  <c r="K8" i="68"/>
  <c r="K5" i="68"/>
  <c r="M51" i="68"/>
  <c r="N51" i="68" s="1"/>
  <c r="O51" i="68" s="1"/>
  <c r="P51" i="68" s="1"/>
  <c r="Q51" i="68" s="1"/>
  <c r="R51" i="68" s="1"/>
  <c r="S51" i="68" s="1"/>
  <c r="T51" i="68" s="1"/>
  <c r="U51" i="68" s="1"/>
  <c r="W51" i="68"/>
  <c r="X51" i="68" s="1"/>
  <c r="Y51" i="68" s="1"/>
  <c r="Z51" i="68" s="1"/>
  <c r="AA51" i="68" s="1"/>
  <c r="AB51" i="68" s="1"/>
  <c r="AC51" i="68" s="1"/>
  <c r="AD51" i="68" s="1"/>
  <c r="AE51" i="68" s="1"/>
  <c r="AF51" i="68" s="1"/>
  <c r="K51" i="68"/>
  <c r="D51" i="68"/>
  <c r="E51" i="68"/>
  <c r="F51" i="68"/>
  <c r="G51" i="68"/>
  <c r="H51" i="68"/>
  <c r="I51" i="68"/>
  <c r="J51" i="68"/>
  <c r="I5" i="68" s="1"/>
  <c r="D52" i="68"/>
  <c r="E52" i="68"/>
  <c r="F52" i="68"/>
  <c r="G52" i="68"/>
  <c r="H52" i="68"/>
  <c r="I52" i="68"/>
  <c r="J52" i="68"/>
  <c r="I8" i="68" s="1"/>
  <c r="K52" i="68"/>
  <c r="L52" i="68" s="1"/>
  <c r="M52" i="68" s="1"/>
  <c r="N52" i="68" s="1"/>
  <c r="O52" i="68" s="1"/>
  <c r="P52" i="68" s="1"/>
  <c r="Q52" i="68" s="1"/>
  <c r="R52" i="68" s="1"/>
  <c r="S52" i="68" s="1"/>
  <c r="T52" i="68" s="1"/>
  <c r="U52" i="68" s="1"/>
  <c r="C52" i="68"/>
  <c r="C51" i="68"/>
  <c r="B52" i="68"/>
  <c r="B51" i="68"/>
  <c r="B41" i="68"/>
  <c r="B39" i="68"/>
  <c r="W52" i="68"/>
  <c r="X52" i="68" s="1"/>
  <c r="Y52" i="68" s="1"/>
  <c r="Z52" i="68" s="1"/>
  <c r="AA52" i="68" s="1"/>
  <c r="AB52" i="68" s="1"/>
  <c r="AC52" i="68" s="1"/>
  <c r="AD52" i="68" s="1"/>
  <c r="AE52" i="68" s="1"/>
  <c r="AF52" i="68" s="1"/>
  <c r="AG52" i="68" s="1"/>
  <c r="AH52" i="68" s="1"/>
  <c r="AI52" i="68" s="1"/>
  <c r="AJ52" i="68" s="1"/>
  <c r="AK52" i="68" s="1"/>
  <c r="AL52" i="68" s="1"/>
  <c r="AM52" i="68" s="1"/>
  <c r="AN52" i="68" s="1"/>
  <c r="AO52" i="68" s="1"/>
  <c r="AP52" i="68" s="1"/>
  <c r="M8" i="68" s="1"/>
  <c r="E7" i="68"/>
  <c r="D6" i="68"/>
  <c r="D5" i="68"/>
  <c r="C5" i="68"/>
  <c r="B40" i="68"/>
  <c r="B38" i="68"/>
  <c r="C11" i="68"/>
  <c r="C8" i="68"/>
  <c r="AG51" i="68" l="1"/>
  <c r="AH51" i="68" s="1"/>
  <c r="AI51" i="68" s="1"/>
  <c r="AJ51" i="68" s="1"/>
  <c r="AK51" i="68" s="1"/>
  <c r="AL51" i="68" s="1"/>
  <c r="AM51" i="68" s="1"/>
  <c r="AN51" i="68" s="1"/>
  <c r="AO51" i="68" s="1"/>
  <c r="AP51" i="68" s="1"/>
  <c r="M5" i="68" s="1"/>
  <c r="L5" i="68"/>
  <c r="J8" i="68"/>
  <c r="L8" i="68"/>
  <c r="M7" i="65" l="1"/>
  <c r="M8" i="65"/>
  <c r="M9" i="65"/>
  <c r="M10" i="65"/>
  <c r="M11" i="65"/>
  <c r="M12" i="65"/>
  <c r="M13" i="65"/>
  <c r="M14" i="65"/>
  <c r="M15" i="65"/>
  <c r="M16" i="65"/>
  <c r="M17" i="65"/>
  <c r="M6" i="65"/>
  <c r="L7" i="65"/>
  <c r="L8" i="65"/>
  <c r="L9" i="65"/>
  <c r="L10" i="65"/>
  <c r="L11" i="65"/>
  <c r="L13" i="65"/>
  <c r="L14" i="65"/>
  <c r="L15" i="65"/>
  <c r="L16" i="65"/>
  <c r="L17" i="65"/>
  <c r="B17" i="65"/>
  <c r="B15" i="65"/>
  <c r="B14" i="65"/>
  <c r="B9" i="65"/>
  <c r="B8" i="65"/>
  <c r="B7" i="65"/>
  <c r="L12" i="65"/>
  <c r="B16" i="65"/>
  <c r="B6" i="65"/>
  <c r="F74" i="59" l="1"/>
  <c r="H74" i="59"/>
  <c r="I74" i="59"/>
  <c r="J74" i="59"/>
  <c r="K74" i="59"/>
  <c r="L74" i="59"/>
  <c r="N74" i="59"/>
  <c r="O74" i="59"/>
  <c r="P74" i="59"/>
  <c r="Q74" i="59"/>
  <c r="R74" i="59"/>
  <c r="S74" i="59"/>
  <c r="T74" i="59"/>
  <c r="U74" i="59"/>
  <c r="V74" i="59"/>
  <c r="X74" i="59"/>
  <c r="Y74" i="59"/>
  <c r="AA74" i="59"/>
  <c r="AB74" i="59"/>
  <c r="AC74" i="59"/>
  <c r="AD74" i="59"/>
  <c r="AE74" i="59"/>
  <c r="C8" i="43" l="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E7" i="67" l="1"/>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96" i="59" s="1"/>
  <c r="A88" i="59"/>
  <c r="A95" i="59" s="1"/>
  <c r="B86" i="59"/>
  <c r="C86" i="59"/>
  <c r="D86" i="59"/>
  <c r="A86" i="59"/>
  <c r="D296" i="43" l="1"/>
  <c r="B38" i="61"/>
  <c r="B39" i="61"/>
  <c r="B40" i="61"/>
  <c r="B64" i="61"/>
  <c r="B4" i="61" l="1"/>
  <c r="B5" i="61"/>
  <c r="A48" i="58" l="1"/>
  <c r="A4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4" i="65" l="1"/>
  <c r="C14"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A81" i="59"/>
  <c r="A80" i="59"/>
  <c r="A77" i="59"/>
  <c r="A78" i="59"/>
  <c r="A76" i="59"/>
  <c r="B63" i="61" l="1"/>
  <c r="B61" i="61"/>
  <c r="B62" i="61"/>
  <c r="B60" i="61"/>
  <c r="B58" i="61"/>
  <c r="B59" i="61"/>
  <c r="B57" i="61"/>
  <c r="B55" i="61"/>
  <c r="B56" i="61"/>
  <c r="B54" i="61"/>
  <c r="B53" i="61"/>
  <c r="B51" i="61"/>
  <c r="B52" i="61"/>
  <c r="B50" i="61"/>
  <c r="B42" i="61"/>
  <c r="B43" i="61"/>
  <c r="B44" i="61"/>
  <c r="B45" i="61"/>
  <c r="B46" i="61"/>
  <c r="B47" i="61"/>
  <c r="B48" i="61"/>
  <c r="B49" i="61"/>
  <c r="B41"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3" i="65"/>
  <c r="D15" i="65"/>
  <c r="D16" i="65"/>
  <c r="D17" i="65"/>
  <c r="D6" i="65"/>
  <c r="M31" i="64" l="1"/>
  <c r="N31" i="64"/>
  <c r="N32" i="64"/>
  <c r="N33" i="64"/>
  <c r="D31" i="64"/>
  <c r="C15" i="65" s="1"/>
  <c r="D32" i="64"/>
  <c r="C16" i="65" s="1"/>
  <c r="C17" i="65"/>
  <c r="N13" i="64"/>
  <c r="N14" i="64"/>
  <c r="N10" i="64" l="1"/>
  <c r="E114" i="61" l="1"/>
  <c r="F114" i="61"/>
  <c r="G114" i="61"/>
  <c r="H114" i="61"/>
  <c r="I114" i="61"/>
  <c r="J114" i="61"/>
  <c r="K114" i="61"/>
  <c r="L114" i="61"/>
  <c r="M114" i="61"/>
  <c r="N114" i="61"/>
  <c r="O114" i="61"/>
  <c r="P114" i="61"/>
  <c r="Q114" i="61"/>
  <c r="R114" i="61"/>
  <c r="S114" i="61"/>
  <c r="T114" i="61"/>
  <c r="U114" i="61"/>
  <c r="V114" i="61"/>
  <c r="W114" i="61"/>
  <c r="X114" i="61"/>
  <c r="Y114" i="61"/>
  <c r="Z114" i="61"/>
  <c r="AA114" i="61"/>
  <c r="AB114" i="61"/>
  <c r="AC114" i="61"/>
  <c r="AD114" i="61"/>
  <c r="D114" i="61"/>
  <c r="E101" i="61"/>
  <c r="F101" i="61"/>
  <c r="G101" i="61"/>
  <c r="H101" i="61"/>
  <c r="I101" i="61"/>
  <c r="J101" i="61"/>
  <c r="K101" i="61"/>
  <c r="L101" i="61"/>
  <c r="M101" i="61"/>
  <c r="N101" i="61"/>
  <c r="O101" i="61"/>
  <c r="P101" i="61"/>
  <c r="Q101" i="61"/>
  <c r="R101" i="61"/>
  <c r="S101" i="61"/>
  <c r="T101" i="61"/>
  <c r="U101" i="61"/>
  <c r="V101" i="61"/>
  <c r="W101" i="61"/>
  <c r="X101" i="61"/>
  <c r="Y101" i="61"/>
  <c r="Z101" i="61"/>
  <c r="AA101" i="61"/>
  <c r="AB101" i="61"/>
  <c r="AC101" i="61"/>
  <c r="AD101" i="61"/>
  <c r="E91" i="61"/>
  <c r="E88" i="61"/>
  <c r="E87" i="61"/>
  <c r="E21" i="61" s="1"/>
  <c r="E86" i="61"/>
  <c r="E20" i="61" s="1"/>
  <c r="AD81" i="61"/>
  <c r="AC81" i="61"/>
  <c r="AB81" i="61"/>
  <c r="AA81" i="61"/>
  <c r="Z81" i="61"/>
  <c r="Y81" i="61"/>
  <c r="X81" i="61"/>
  <c r="W81" i="61"/>
  <c r="V81" i="61"/>
  <c r="U81" i="61"/>
  <c r="T81" i="61"/>
  <c r="S81" i="61"/>
  <c r="R81" i="61"/>
  <c r="Q81" i="61"/>
  <c r="P81" i="61"/>
  <c r="O81" i="61"/>
  <c r="N81" i="61"/>
  <c r="M81" i="61"/>
  <c r="L81" i="61"/>
  <c r="K81" i="61"/>
  <c r="J81" i="61"/>
  <c r="I81" i="61"/>
  <c r="H81" i="61"/>
  <c r="G81" i="61"/>
  <c r="F81" i="61"/>
  <c r="E81" i="61"/>
  <c r="D81" i="61"/>
  <c r="AD80" i="61"/>
  <c r="AC80" i="61"/>
  <c r="AB80" i="61"/>
  <c r="AA80" i="61"/>
  <c r="Z80" i="61"/>
  <c r="Y80" i="61"/>
  <c r="X80" i="61"/>
  <c r="W80" i="61"/>
  <c r="V80" i="61"/>
  <c r="U80" i="61"/>
  <c r="T80" i="61"/>
  <c r="S80" i="61"/>
  <c r="R80" i="61"/>
  <c r="Q80" i="61"/>
  <c r="P80" i="61"/>
  <c r="O80" i="61"/>
  <c r="N80" i="61"/>
  <c r="M80" i="61"/>
  <c r="L80" i="61"/>
  <c r="K80" i="61"/>
  <c r="J80" i="61"/>
  <c r="I80" i="61"/>
  <c r="H80" i="61"/>
  <c r="G80" i="61"/>
  <c r="F80" i="61"/>
  <c r="E80" i="61"/>
  <c r="D80" i="6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AD77" i="61"/>
  <c r="AD11" i="61" s="1"/>
  <c r="AC77" i="61"/>
  <c r="AC11" i="61" s="1"/>
  <c r="AB77" i="61"/>
  <c r="AB11" i="61" s="1"/>
  <c r="AA77" i="61"/>
  <c r="AA11" i="61" s="1"/>
  <c r="Z77" i="61"/>
  <c r="Z11" i="61" s="1"/>
  <c r="Y77" i="61"/>
  <c r="X77" i="61"/>
  <c r="X11" i="61" s="1"/>
  <c r="W77" i="61"/>
  <c r="W11" i="61" s="1"/>
  <c r="V77" i="61"/>
  <c r="V11" i="61" s="1"/>
  <c r="U77" i="61"/>
  <c r="U11" i="61" s="1"/>
  <c r="T77" i="61"/>
  <c r="T11" i="61" s="1"/>
  <c r="S77" i="61"/>
  <c r="S11" i="61" s="1"/>
  <c r="R77" i="61"/>
  <c r="R11" i="61" s="1"/>
  <c r="Q77" i="61"/>
  <c r="Q11" i="61" s="1"/>
  <c r="P77" i="61"/>
  <c r="P11" i="61" s="1"/>
  <c r="O77" i="61"/>
  <c r="O11" i="61" s="1"/>
  <c r="N77" i="61"/>
  <c r="N11" i="61" s="1"/>
  <c r="M77" i="61"/>
  <c r="M11" i="61" s="1"/>
  <c r="L77" i="61"/>
  <c r="L11" i="61" s="1"/>
  <c r="K77" i="61"/>
  <c r="K11" i="61" s="1"/>
  <c r="J77" i="61"/>
  <c r="J11" i="61" s="1"/>
  <c r="I77" i="61"/>
  <c r="I11" i="61" s="1"/>
  <c r="H77" i="61"/>
  <c r="H11" i="61" s="1"/>
  <c r="G77" i="61"/>
  <c r="G11" i="61" s="1"/>
  <c r="F77" i="61"/>
  <c r="E79" i="61"/>
  <c r="D77" i="61"/>
  <c r="D11" i="61" s="1"/>
  <c r="Y11" i="61" l="1"/>
  <c r="BC56" i="59" s="1"/>
  <c r="D14" i="61"/>
  <c r="AH59" i="59" s="1"/>
  <c r="AB14" i="61"/>
  <c r="BF59" i="59" s="1"/>
  <c r="Y15" i="61"/>
  <c r="BC60" i="59" s="1"/>
  <c r="AL57" i="59"/>
  <c r="H12" i="61"/>
  <c r="P12" i="61"/>
  <c r="AT57" i="59" s="1"/>
  <c r="X12" i="61"/>
  <c r="BB57" i="59" s="1"/>
  <c r="E14" i="61"/>
  <c r="AI59" i="59" s="1"/>
  <c r="AQ59" i="59"/>
  <c r="M14" i="61"/>
  <c r="U14" i="61"/>
  <c r="AY59" i="59" s="1"/>
  <c r="AC14" i="61"/>
  <c r="BG59" i="59" s="1"/>
  <c r="J15" i="61"/>
  <c r="AN60" i="59" s="1"/>
  <c r="AV60" i="59"/>
  <c r="R15" i="61"/>
  <c r="Z15" i="61"/>
  <c r="BD60" i="59" s="1"/>
  <c r="I15" i="61"/>
  <c r="AM60" i="59" s="1"/>
  <c r="AJ59" i="59"/>
  <c r="AO60" i="59"/>
  <c r="K15" i="61"/>
  <c r="R12" i="61"/>
  <c r="AV57" i="59" s="1"/>
  <c r="Z12" i="61"/>
  <c r="BD57" i="59" s="1"/>
  <c r="G14" i="61"/>
  <c r="AK59" i="59" s="1"/>
  <c r="AS59" i="59"/>
  <c r="O14" i="61"/>
  <c r="W14" i="61"/>
  <c r="BA59" i="59" s="1"/>
  <c r="D15" i="61"/>
  <c r="AH60" i="59" s="1"/>
  <c r="L15" i="61"/>
  <c r="AP60" i="59" s="1"/>
  <c r="AX60" i="59"/>
  <c r="T15" i="61"/>
  <c r="AB15" i="61"/>
  <c r="BF60" i="59" s="1"/>
  <c r="G12" i="61"/>
  <c r="AK57" i="59" s="1"/>
  <c r="L14" i="61"/>
  <c r="AP59" i="59" s="1"/>
  <c r="AU60" i="59"/>
  <c r="Q15" i="61"/>
  <c r="Q12" i="61"/>
  <c r="AU57" i="59" s="1"/>
  <c r="V14" i="61"/>
  <c r="AZ59" i="59" s="1"/>
  <c r="AD14" i="61"/>
  <c r="BH59" i="59" s="1"/>
  <c r="AI58" i="59"/>
  <c r="E13" i="61"/>
  <c r="K12" i="61"/>
  <c r="AO57" i="59" s="1"/>
  <c r="S12" i="61"/>
  <c r="AW57" i="59" s="1"/>
  <c r="AA12" i="61"/>
  <c r="BE57" i="59" s="1"/>
  <c r="AL59" i="59"/>
  <c r="H14" i="61"/>
  <c r="P14" i="61"/>
  <c r="AT59" i="59" s="1"/>
  <c r="X14" i="61"/>
  <c r="BB59" i="59" s="1"/>
  <c r="E15" i="61"/>
  <c r="AI60" i="59" s="1"/>
  <c r="AQ60" i="59"/>
  <c r="M15" i="61"/>
  <c r="U15" i="61"/>
  <c r="AY60" i="59" s="1"/>
  <c r="AC15" i="61"/>
  <c r="BG60" i="59" s="1"/>
  <c r="W12" i="61"/>
  <c r="BA57" i="59" s="1"/>
  <c r="BC57" i="59"/>
  <c r="Y12" i="61"/>
  <c r="AA15" i="61"/>
  <c r="BE60" i="59" s="1"/>
  <c r="L12" i="61"/>
  <c r="AP57" i="59" s="1"/>
  <c r="T12" i="61"/>
  <c r="AX57" i="59" s="1"/>
  <c r="BF57" i="59"/>
  <c r="AB12" i="61"/>
  <c r="I14" i="61"/>
  <c r="AM59" i="59" s="1"/>
  <c r="Q14" i="61"/>
  <c r="AU59" i="59" s="1"/>
  <c r="Y14" i="61"/>
  <c r="BC59" i="59" s="1"/>
  <c r="AJ60" i="59"/>
  <c r="N15" i="61"/>
  <c r="AR60" i="59" s="1"/>
  <c r="V15" i="61"/>
  <c r="AZ60" i="59" s="1"/>
  <c r="AD15" i="61"/>
  <c r="BH60" i="59" s="1"/>
  <c r="AX59" i="59"/>
  <c r="T14" i="61"/>
  <c r="I12" i="61"/>
  <c r="AM57" i="59" s="1"/>
  <c r="S15" i="61"/>
  <c r="AW60" i="59" s="1"/>
  <c r="E12" i="61"/>
  <c r="AI57" i="59" s="1"/>
  <c r="AQ57" i="59"/>
  <c r="M12" i="61"/>
  <c r="U12" i="61"/>
  <c r="AY57" i="59" s="1"/>
  <c r="AC12" i="61"/>
  <c r="BG57" i="59" s="1"/>
  <c r="J14" i="61"/>
  <c r="AN59" i="59" s="1"/>
  <c r="AV59" i="59"/>
  <c r="R14" i="61"/>
  <c r="Z14" i="61"/>
  <c r="BD59" i="59" s="1"/>
  <c r="G15" i="61"/>
  <c r="AK60" i="59" s="1"/>
  <c r="O15" i="61"/>
  <c r="AS60" i="59" s="1"/>
  <c r="BA60" i="59"/>
  <c r="W15" i="61"/>
  <c r="O12" i="61"/>
  <c r="AS57" i="59" s="1"/>
  <c r="N14" i="61"/>
  <c r="AR59" i="59" s="1"/>
  <c r="J12" i="61"/>
  <c r="AN57" i="59" s="1"/>
  <c r="AJ57" i="59"/>
  <c r="N12" i="61"/>
  <c r="AR57" i="59" s="1"/>
  <c r="V12" i="61"/>
  <c r="AZ57" i="59" s="1"/>
  <c r="AD12" i="61"/>
  <c r="BH57" i="59" s="1"/>
  <c r="AO59" i="59"/>
  <c r="K14" i="61"/>
  <c r="S14" i="61"/>
  <c r="AW59" i="59" s="1"/>
  <c r="AA14" i="61"/>
  <c r="BE59" i="59" s="1"/>
  <c r="H15" i="61"/>
  <c r="AL60" i="59" s="1"/>
  <c r="AT60" i="59"/>
  <c r="P15" i="61"/>
  <c r="X15" i="61"/>
  <c r="BB60" i="59" s="1"/>
  <c r="F88" i="61"/>
  <c r="J79" i="61"/>
  <c r="AN56" i="59"/>
  <c r="F91" i="61"/>
  <c r="Z79" i="61"/>
  <c r="BD56" i="59"/>
  <c r="K79" i="61"/>
  <c r="AO56" i="59"/>
  <c r="S79" i="61"/>
  <c r="AW56" i="59"/>
  <c r="AA79" i="61"/>
  <c r="BE56" i="59"/>
  <c r="D79" i="61"/>
  <c r="AH56" i="59"/>
  <c r="L79" i="61"/>
  <c r="AP56" i="59"/>
  <c r="T79" i="61"/>
  <c r="AX56" i="59"/>
  <c r="AB79" i="61"/>
  <c r="BF56" i="59"/>
  <c r="I79" i="61"/>
  <c r="AM56" i="59"/>
  <c r="M79" i="61"/>
  <c r="AQ56" i="59"/>
  <c r="U79" i="61"/>
  <c r="AY56" i="59"/>
  <c r="AC79" i="61"/>
  <c r="BG56" i="59"/>
  <c r="Q79" i="61"/>
  <c r="AU56" i="59"/>
  <c r="R79" i="61"/>
  <c r="AV56" i="59"/>
  <c r="F79" i="61"/>
  <c r="AJ56" i="59"/>
  <c r="N79" i="61"/>
  <c r="AR56" i="59"/>
  <c r="V79" i="61"/>
  <c r="AZ56" i="59"/>
  <c r="AD79" i="61"/>
  <c r="BH56" i="59"/>
  <c r="G79" i="61"/>
  <c r="AK56" i="59"/>
  <c r="E115" i="61"/>
  <c r="AI68" i="59"/>
  <c r="AI82" i="59" s="1"/>
  <c r="O79" i="61"/>
  <c r="AS56" i="59"/>
  <c r="W79" i="61"/>
  <c r="BA56" i="59"/>
  <c r="H79" i="61"/>
  <c r="AL56" i="59"/>
  <c r="P79" i="61"/>
  <c r="AT56" i="59"/>
  <c r="X79" i="61"/>
  <c r="BB56" i="59"/>
  <c r="F87" i="61"/>
  <c r="B99" i="43"/>
  <c r="G88" i="61"/>
  <c r="Y79" i="61"/>
  <c r="F86" i="61"/>
  <c r="AI79" i="59" l="1"/>
  <c r="G13" i="61"/>
  <c r="AK58" i="59" s="1"/>
  <c r="AK79" i="59" s="1"/>
  <c r="AJ58" i="59"/>
  <c r="AJ79" i="59" s="1"/>
  <c r="U13" i="61"/>
  <c r="AY58" i="59" s="1"/>
  <c r="AY79" i="59" s="1"/>
  <c r="T13" i="61"/>
  <c r="AX58" i="59" s="1"/>
  <c r="AX79" i="59" s="1"/>
  <c r="S13" i="61"/>
  <c r="AW58" i="59" s="1"/>
  <c r="AW79" i="59" s="1"/>
  <c r="J13" i="61"/>
  <c r="AN58" i="59" s="1"/>
  <c r="AN79" i="59" s="1"/>
  <c r="AD13" i="61"/>
  <c r="BH58" i="59" s="1"/>
  <c r="BH79" i="59" s="1"/>
  <c r="R13" i="61"/>
  <c r="AV58" i="59" s="1"/>
  <c r="AV79" i="59" s="1"/>
  <c r="M13" i="61"/>
  <c r="AQ58" i="59" s="1"/>
  <c r="AQ79" i="59" s="1"/>
  <c r="L13" i="61"/>
  <c r="AP58" i="59" s="1"/>
  <c r="AP79" i="59" s="1"/>
  <c r="K13" i="61"/>
  <c r="AO58" i="59" s="1"/>
  <c r="AO79" i="59" s="1"/>
  <c r="W13" i="61"/>
  <c r="BA58" i="59" s="1"/>
  <c r="BA79" i="59" s="1"/>
  <c r="AS58" i="59"/>
  <c r="O13" i="61"/>
  <c r="X13" i="61"/>
  <c r="BB58" i="59" s="1"/>
  <c r="BB79" i="59" s="1"/>
  <c r="V13" i="61"/>
  <c r="AZ58" i="59" s="1"/>
  <c r="AZ79" i="59" s="1"/>
  <c r="Q13" i="61"/>
  <c r="AU58" i="59" s="1"/>
  <c r="AU79" i="59" s="1"/>
  <c r="AM58" i="59"/>
  <c r="AM79" i="59" s="1"/>
  <c r="I13" i="61"/>
  <c r="AH58" i="59"/>
  <c r="D13" i="61"/>
  <c r="Z13" i="61"/>
  <c r="BD58" i="59" s="1"/>
  <c r="BD79" i="59" s="1"/>
  <c r="P13" i="61"/>
  <c r="AT58" i="59" s="1"/>
  <c r="AT79" i="59" s="1"/>
  <c r="H13" i="61"/>
  <c r="AL58" i="59" s="1"/>
  <c r="AL79" i="59" s="1"/>
  <c r="BC58" i="59"/>
  <c r="BC79" i="59" s="1"/>
  <c r="Y13" i="61"/>
  <c r="G22" i="61"/>
  <c r="N13" i="61"/>
  <c r="AR58" i="59" s="1"/>
  <c r="AR79" i="59" s="1"/>
  <c r="AC13" i="61"/>
  <c r="BG58" i="59" s="1"/>
  <c r="BG79" i="59" s="1"/>
  <c r="BF58" i="59"/>
  <c r="BF79" i="59" s="1"/>
  <c r="AB13" i="61"/>
  <c r="AA13" i="61"/>
  <c r="BE58" i="59" s="1"/>
  <c r="BE79" i="59" s="1"/>
  <c r="G91" i="61"/>
  <c r="G87" i="61"/>
  <c r="G21" i="61" s="1"/>
  <c r="AS79" i="59"/>
  <c r="G86" i="61"/>
  <c r="H88" i="61"/>
  <c r="H22" i="61" l="1"/>
  <c r="G20" i="61"/>
  <c r="AK68" i="59" s="1"/>
  <c r="AK82" i="59" s="1"/>
  <c r="H87" i="61"/>
  <c r="H21" i="61" s="1"/>
  <c r="H91" i="61"/>
  <c r="I88" i="61"/>
  <c r="H86" i="61"/>
  <c r="G115" i="61"/>
  <c r="H20" i="61" l="1"/>
  <c r="AL68" i="59" s="1"/>
  <c r="AL82" i="59" s="1"/>
  <c r="I22" i="61"/>
  <c r="I87" i="61"/>
  <c r="I21" i="61" s="1"/>
  <c r="I91" i="61"/>
  <c r="J88" i="61"/>
  <c r="I86" i="61"/>
  <c r="H115" i="61"/>
  <c r="E25" i="60"/>
  <c r="E26" i="60"/>
  <c r="E24" i="60"/>
  <c r="F24" i="60" s="1"/>
  <c r="E66" i="58"/>
  <c r="F66" i="58" l="1"/>
  <c r="AI70" i="59"/>
  <c r="I20" i="61"/>
  <c r="AM68" i="59" s="1"/>
  <c r="AM82" i="59" s="1"/>
  <c r="J22" i="61"/>
  <c r="J91" i="61"/>
  <c r="J87" i="61"/>
  <c r="J21" i="61" s="1"/>
  <c r="G24" i="60"/>
  <c r="F25" i="60"/>
  <c r="F26" i="60"/>
  <c r="J86" i="61"/>
  <c r="I115" i="61"/>
  <c r="K88"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N9" i="64"/>
  <c r="D28" i="64"/>
  <c r="D29" i="64"/>
  <c r="N11" i="64"/>
  <c r="D30" i="64"/>
  <c r="N12" i="64"/>
  <c r="N15" i="64"/>
  <c r="N5" i="64"/>
  <c r="D23" i="64"/>
  <c r="C6" i="65" s="1"/>
  <c r="L6" i="65" s="1"/>
  <c r="G66" i="58" l="1"/>
  <c r="AJ70" i="59"/>
  <c r="K22" i="61"/>
  <c r="J20" i="61"/>
  <c r="AN68" i="59" s="1"/>
  <c r="AN82" i="59" s="1"/>
  <c r="K87" i="61"/>
  <c r="K21" i="61" s="1"/>
  <c r="K91" i="61"/>
  <c r="G26" i="60"/>
  <c r="G25" i="60"/>
  <c r="H24" i="60"/>
  <c r="L88" i="61"/>
  <c r="K86" i="61"/>
  <c r="J115"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66" i="58"/>
  <c r="G64" i="58"/>
  <c r="H64" i="58" s="1"/>
  <c r="I64" i="58" s="1"/>
  <c r="J64" i="58" s="1"/>
  <c r="K64" i="58" s="1"/>
  <c r="L64" i="58" s="1"/>
  <c r="M64" i="58" s="1"/>
  <c r="N64" i="58" s="1"/>
  <c r="O64" i="58" s="1"/>
  <c r="P64" i="58" s="1"/>
  <c r="Q64" i="58" s="1"/>
  <c r="R64" i="58" s="1"/>
  <c r="S64" i="58" s="1"/>
  <c r="T64" i="58" s="1"/>
  <c r="U64" i="58" s="1"/>
  <c r="V64" i="58" s="1"/>
  <c r="W64" i="58" s="1"/>
  <c r="X64" i="58" s="1"/>
  <c r="Y64" i="58" s="1"/>
  <c r="Z64" i="58" s="1"/>
  <c r="AA64" i="58" s="1"/>
  <c r="AB64" i="58" s="1"/>
  <c r="AC64" i="58" s="1"/>
  <c r="AD64" i="58" s="1"/>
  <c r="B107" i="58"/>
  <c r="B108" i="58"/>
  <c r="C149" i="43"/>
  <c r="A65" i="58"/>
  <c r="A6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H66" i="58" l="1"/>
  <c r="AK70" i="59"/>
  <c r="L22" i="61"/>
  <c r="K20" i="61"/>
  <c r="AO68" i="59" s="1"/>
  <c r="AO82" i="59" s="1"/>
  <c r="L91" i="61"/>
  <c r="L87" i="61"/>
  <c r="L21" i="61" s="1"/>
  <c r="B109" i="58"/>
  <c r="D64" i="58" s="1"/>
  <c r="H25" i="60"/>
  <c r="I24" i="60"/>
  <c r="H26" i="60"/>
  <c r="L86" i="61"/>
  <c r="K115" i="61"/>
  <c r="M88" i="61"/>
  <c r="E129" i="43"/>
  <c r="E130" i="43" s="1"/>
  <c r="D696" i="60"/>
  <c r="D698" i="60" s="1"/>
  <c r="G699" i="60"/>
  <c r="G700" i="60" s="1"/>
  <c r="F699" i="60"/>
  <c r="F700" i="60" s="1"/>
  <c r="E699" i="60"/>
  <c r="E700" i="60" s="1"/>
  <c r="C699" i="60"/>
  <c r="C700" i="60" s="1"/>
  <c r="D695" i="60"/>
  <c r="D697" i="60" s="1"/>
  <c r="F64" i="58" l="1"/>
  <c r="AJ68" i="59" s="1"/>
  <c r="AJ82" i="59" s="1"/>
  <c r="AH82" i="59"/>
  <c r="I66" i="58"/>
  <c r="AL70" i="59"/>
  <c r="M22" i="61"/>
  <c r="L20" i="61"/>
  <c r="AP68" i="59" s="1"/>
  <c r="AP82" i="59" s="1"/>
  <c r="M87" i="61"/>
  <c r="M21" i="61" s="1"/>
  <c r="M91" i="61"/>
  <c r="D65" i="58"/>
  <c r="I26" i="60"/>
  <c r="J24" i="60"/>
  <c r="I25" i="60"/>
  <c r="N88" i="61"/>
  <c r="M86" i="61"/>
  <c r="L115"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J66" i="58" l="1"/>
  <c r="AM70" i="59"/>
  <c r="E65" i="58"/>
  <c r="E116" i="61" s="1"/>
  <c r="AH69" i="59"/>
  <c r="AH83" i="59" s="1"/>
  <c r="M20" i="61"/>
  <c r="AQ68" i="59" s="1"/>
  <c r="AQ82" i="59" s="1"/>
  <c r="N22" i="61"/>
  <c r="N87" i="61"/>
  <c r="N21" i="61" s="1"/>
  <c r="N91" i="61"/>
  <c r="F623" i="43"/>
  <c r="X603" i="43" s="1"/>
  <c r="X12" i="43" s="1"/>
  <c r="J25" i="60"/>
  <c r="K24" i="60"/>
  <c r="J26" i="60"/>
  <c r="N86" i="61"/>
  <c r="M115" i="61"/>
  <c r="O88"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F65" i="58" l="1"/>
  <c r="AI69" i="59"/>
  <c r="AI83" i="59" s="1"/>
  <c r="K66" i="58"/>
  <c r="AN70" i="59"/>
  <c r="O22" i="61"/>
  <c r="N20" i="61"/>
  <c r="AR68" i="59" s="1"/>
  <c r="AR82" i="59" s="1"/>
  <c r="O87" i="61"/>
  <c r="O21" i="61" s="1"/>
  <c r="O91" i="61"/>
  <c r="K26" i="60"/>
  <c r="L24" i="60"/>
  <c r="K25" i="60"/>
  <c r="P88" i="61"/>
  <c r="O86" i="61"/>
  <c r="N115"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A10" i="43"/>
  <c r="A9" i="43"/>
  <c r="C36" i="59"/>
  <c r="C37" i="59"/>
  <c r="C38" i="59"/>
  <c r="B37" i="59"/>
  <c r="B38" i="59"/>
  <c r="B36" i="59"/>
  <c r="L66" i="58" l="1"/>
  <c r="AO70" i="59"/>
  <c r="G65" i="58"/>
  <c r="AJ69" i="59"/>
  <c r="AJ83" i="59" s="1"/>
  <c r="AJ84" i="59" s="1"/>
  <c r="O20" i="61"/>
  <c r="AS68" i="59" s="1"/>
  <c r="AS82" i="59" s="1"/>
  <c r="P22" i="61"/>
  <c r="P91" i="61"/>
  <c r="P87" i="61"/>
  <c r="P21" i="61" s="1"/>
  <c r="L25" i="60"/>
  <c r="M24" i="60"/>
  <c r="L26" i="60"/>
  <c r="P86" i="61"/>
  <c r="O115" i="61"/>
  <c r="Q88"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69" i="58"/>
  <c r="A70" i="58"/>
  <c r="A68" i="58"/>
  <c r="E70" i="58"/>
  <c r="F70" i="58" s="1"/>
  <c r="G70" i="58" s="1"/>
  <c r="H70" i="58" s="1"/>
  <c r="I70" i="58" s="1"/>
  <c r="J70" i="58" s="1"/>
  <c r="K70" i="58" s="1"/>
  <c r="L70" i="58" s="1"/>
  <c r="M70" i="58" s="1"/>
  <c r="N70" i="58" s="1"/>
  <c r="O70" i="58" s="1"/>
  <c r="P70" i="58" s="1"/>
  <c r="Q70" i="58" s="1"/>
  <c r="R70" i="58" s="1"/>
  <c r="S70" i="58" s="1"/>
  <c r="T70" i="58" s="1"/>
  <c r="U70" i="58" s="1"/>
  <c r="V70" i="58" s="1"/>
  <c r="W70" i="58" s="1"/>
  <c r="X70" i="58" s="1"/>
  <c r="Y70" i="58" s="1"/>
  <c r="Z70" i="58" s="1"/>
  <c r="AA70" i="58" s="1"/>
  <c r="AB70" i="58" s="1"/>
  <c r="AC70" i="58" s="1"/>
  <c r="AD70" i="58" s="1"/>
  <c r="AK69" i="59" l="1"/>
  <c r="AK83" i="59" s="1"/>
  <c r="AK84" i="59" s="1"/>
  <c r="G116" i="61"/>
  <c r="H65" i="58"/>
  <c r="M66" i="58"/>
  <c r="AP70" i="59"/>
  <c r="P20" i="61"/>
  <c r="AT68" i="59" s="1"/>
  <c r="AT82" i="59" s="1"/>
  <c r="Q22" i="61"/>
  <c r="Q87" i="61"/>
  <c r="Q21" i="61" s="1"/>
  <c r="Q91" i="61"/>
  <c r="N24" i="60"/>
  <c r="M26" i="60"/>
  <c r="M25" i="60"/>
  <c r="R88" i="61"/>
  <c r="Q86" i="61"/>
  <c r="P115"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AL69" i="59" l="1"/>
  <c r="AL83" i="59" s="1"/>
  <c r="AL84" i="59" s="1"/>
  <c r="H116" i="61"/>
  <c r="I65" i="58"/>
  <c r="N66" i="58"/>
  <c r="AQ70" i="59"/>
  <c r="R22" i="61"/>
  <c r="Q20" i="61"/>
  <c r="AU68" i="59" s="1"/>
  <c r="AU82" i="59" s="1"/>
  <c r="R91" i="61"/>
  <c r="R87" i="61"/>
  <c r="R21" i="61" s="1"/>
  <c r="N25" i="60"/>
  <c r="N26" i="60"/>
  <c r="O24" i="60"/>
  <c r="R86" i="61"/>
  <c r="Q115" i="61"/>
  <c r="S88" i="61"/>
  <c r="F280" i="59"/>
  <c r="F283" i="59"/>
  <c r="F282" i="59"/>
  <c r="F281" i="59"/>
  <c r="D294" i="59"/>
  <c r="C294" i="59"/>
  <c r="B294" i="59"/>
  <c r="A294" i="59"/>
  <c r="E294" i="59" s="1"/>
  <c r="O66" i="58" l="1"/>
  <c r="AR70" i="59"/>
  <c r="AM69" i="59"/>
  <c r="AM83" i="59" s="1"/>
  <c r="AM84" i="59" s="1"/>
  <c r="I116" i="61"/>
  <c r="J65" i="58"/>
  <c r="S22" i="61"/>
  <c r="R20" i="61"/>
  <c r="AV68" i="59" s="1"/>
  <c r="AV82" i="59" s="1"/>
  <c r="S87" i="61"/>
  <c r="S21" i="61" s="1"/>
  <c r="S91" i="61"/>
  <c r="P24" i="60"/>
  <c r="O26" i="60"/>
  <c r="O25" i="60"/>
  <c r="B90" i="61"/>
  <c r="B119" i="61"/>
  <c r="T88" i="61"/>
  <c r="B91" i="61"/>
  <c r="B120" i="61"/>
  <c r="B89" i="61"/>
  <c r="B118" i="61"/>
  <c r="S86" i="61"/>
  <c r="R115" i="61"/>
  <c r="B110" i="43"/>
  <c r="D74" i="59"/>
  <c r="C34" i="59"/>
  <c r="B34" i="59"/>
  <c r="C180" i="59"/>
  <c r="C181" i="59"/>
  <c r="A74" i="59"/>
  <c r="A122" i="59" s="1"/>
  <c r="AN69" i="59" l="1"/>
  <c r="AN83" i="59" s="1"/>
  <c r="AN84" i="59" s="1"/>
  <c r="K65" i="58"/>
  <c r="J116" i="61"/>
  <c r="P66" i="58"/>
  <c r="AS70" i="59"/>
  <c r="S20" i="61"/>
  <c r="AW68" i="59" s="1"/>
  <c r="AW82" i="59" s="1"/>
  <c r="T22" i="61"/>
  <c r="T91" i="61"/>
  <c r="T87" i="61"/>
  <c r="T21" i="61" s="1"/>
  <c r="P26" i="60"/>
  <c r="P25" i="60"/>
  <c r="Q24" i="60"/>
  <c r="T86" i="61"/>
  <c r="S115" i="61"/>
  <c r="U88" i="61"/>
  <c r="E295" i="59"/>
  <c r="C184" i="59"/>
  <c r="A295" i="59"/>
  <c r="X8" i="43" s="1"/>
  <c r="D295" i="59"/>
  <c r="K8" i="43" s="1"/>
  <c r="B295" i="59"/>
  <c r="E8" i="43" s="1"/>
  <c r="C295" i="59"/>
  <c r="U8" i="43" s="1"/>
  <c r="D73" i="59"/>
  <c r="D72" i="59"/>
  <c r="C32" i="59"/>
  <c r="C33" i="59"/>
  <c r="B33" i="59"/>
  <c r="B32" i="59"/>
  <c r="A73" i="59"/>
  <c r="A121" i="59" s="1"/>
  <c r="A72" i="59"/>
  <c r="A120" i="59" s="1"/>
  <c r="D183" i="59"/>
  <c r="F73" i="59" s="1"/>
  <c r="E183" i="59"/>
  <c r="G73" i="59" s="1"/>
  <c r="F183" i="59"/>
  <c r="H73" i="59" s="1"/>
  <c r="G183" i="59"/>
  <c r="I73" i="59" s="1"/>
  <c r="H183" i="59"/>
  <c r="J73" i="59" s="1"/>
  <c r="I183" i="59"/>
  <c r="K73" i="59" s="1"/>
  <c r="J183" i="59"/>
  <c r="L73" i="59" s="1"/>
  <c r="K183" i="59"/>
  <c r="M73" i="59" s="1"/>
  <c r="L183" i="59"/>
  <c r="N73" i="59" s="1"/>
  <c r="M183" i="59"/>
  <c r="O73" i="59" s="1"/>
  <c r="N183" i="59"/>
  <c r="P73" i="59" s="1"/>
  <c r="O183" i="59"/>
  <c r="Q73" i="59" s="1"/>
  <c r="P183" i="59"/>
  <c r="R73" i="59" s="1"/>
  <c r="Q183" i="59"/>
  <c r="S73" i="59" s="1"/>
  <c r="R183" i="59"/>
  <c r="T73" i="59" s="1"/>
  <c r="S183" i="59"/>
  <c r="U73" i="59" s="1"/>
  <c r="T183" i="59"/>
  <c r="V73" i="59" s="1"/>
  <c r="U183" i="59"/>
  <c r="W73" i="59" s="1"/>
  <c r="V183" i="59"/>
  <c r="X73" i="59" s="1"/>
  <c r="W183" i="59"/>
  <c r="Y73" i="59" s="1"/>
  <c r="X183" i="59"/>
  <c r="Z73" i="59" s="1"/>
  <c r="Y183" i="59"/>
  <c r="AA73" i="59" s="1"/>
  <c r="Z183" i="59"/>
  <c r="AB73" i="59" s="1"/>
  <c r="AA183" i="59"/>
  <c r="AC73" i="59" s="1"/>
  <c r="AB183" i="59"/>
  <c r="AD73" i="59" s="1"/>
  <c r="AC183" i="59"/>
  <c r="AE73" i="59" s="1"/>
  <c r="D182" i="59"/>
  <c r="F72" i="59" s="1"/>
  <c r="E182" i="59"/>
  <c r="G72" i="59" s="1"/>
  <c r="F182" i="59"/>
  <c r="H72" i="59" s="1"/>
  <c r="G182" i="59"/>
  <c r="I72" i="59" s="1"/>
  <c r="H182" i="59"/>
  <c r="J72" i="59" s="1"/>
  <c r="I182" i="59"/>
  <c r="K72" i="59" s="1"/>
  <c r="J182" i="59"/>
  <c r="L72" i="59" s="1"/>
  <c r="K182" i="59"/>
  <c r="M72" i="59" s="1"/>
  <c r="L182" i="59"/>
  <c r="N72" i="59" s="1"/>
  <c r="M182" i="59"/>
  <c r="O72" i="59" s="1"/>
  <c r="N182" i="59"/>
  <c r="P72" i="59" s="1"/>
  <c r="O182" i="59"/>
  <c r="Q72" i="59" s="1"/>
  <c r="P182" i="59"/>
  <c r="R72" i="59" s="1"/>
  <c r="Q182" i="59"/>
  <c r="S72" i="59" s="1"/>
  <c r="R182" i="59"/>
  <c r="T72" i="59" s="1"/>
  <c r="S182" i="59"/>
  <c r="U72" i="59" s="1"/>
  <c r="T182" i="59"/>
  <c r="V72" i="59" s="1"/>
  <c r="U182" i="59"/>
  <c r="W72" i="59" s="1"/>
  <c r="V182" i="59"/>
  <c r="X72" i="59" s="1"/>
  <c r="W182" i="59"/>
  <c r="Y72" i="59" s="1"/>
  <c r="X182" i="59"/>
  <c r="Z72" i="59" s="1"/>
  <c r="Y182" i="59"/>
  <c r="AA72" i="59" s="1"/>
  <c r="Z182" i="59"/>
  <c r="AB72" i="59" s="1"/>
  <c r="AA182" i="59"/>
  <c r="AC72" i="59" s="1"/>
  <c r="AB182" i="59"/>
  <c r="AD72" i="59" s="1"/>
  <c r="AC182"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Q66" i="58" l="1"/>
  <c r="AT70" i="59"/>
  <c r="AO69" i="59"/>
  <c r="AO83" i="59" s="1"/>
  <c r="AO84" i="59" s="1"/>
  <c r="L65" i="58"/>
  <c r="K116" i="61"/>
  <c r="T20" i="61"/>
  <c r="AX68" i="59" s="1"/>
  <c r="AX82" i="59" s="1"/>
  <c r="U22" i="61"/>
  <c r="U87" i="61"/>
  <c r="U21" i="61" s="1"/>
  <c r="U91" i="61"/>
  <c r="E74" i="59"/>
  <c r="X184" i="59"/>
  <c r="Z74" i="59" s="1"/>
  <c r="U184" i="59"/>
  <c r="W74" i="59" s="1"/>
  <c r="K184" i="59"/>
  <c r="M74" i="59" s="1"/>
  <c r="E184" i="59"/>
  <c r="G74" i="59" s="1"/>
  <c r="E73" i="59"/>
  <c r="B87" i="43" s="1"/>
  <c r="C183" i="59"/>
  <c r="E72" i="59"/>
  <c r="Q25" i="60"/>
  <c r="R24" i="60"/>
  <c r="Q26" i="60"/>
  <c r="V88" i="61"/>
  <c r="U86" i="61"/>
  <c r="T115"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82"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65" i="59"/>
  <c r="AP69" i="59" l="1"/>
  <c r="AP83" i="59" s="1"/>
  <c r="AP84" i="59" s="1"/>
  <c r="M65" i="58"/>
  <c r="L116" i="61"/>
  <c r="R66" i="58"/>
  <c r="AU70" i="59"/>
  <c r="V22" i="61"/>
  <c r="U20" i="61"/>
  <c r="AY68" i="59" s="1"/>
  <c r="AY82" i="59" s="1"/>
  <c r="V91" i="61"/>
  <c r="V87" i="61"/>
  <c r="V21" i="61" s="1"/>
  <c r="R26" i="60"/>
  <c r="S24" i="60"/>
  <c r="R25" i="60"/>
  <c r="V86" i="61"/>
  <c r="U115" i="61"/>
  <c r="W88" i="61"/>
  <c r="B86" i="43"/>
  <c r="C570" i="43"/>
  <c r="C472" i="43"/>
  <c r="C468" i="43"/>
  <c r="H168" i="59"/>
  <c r="J54" i="59" s="1"/>
  <c r="AQ69" i="59" l="1"/>
  <c r="AQ83" i="59" s="1"/>
  <c r="AQ84" i="59" s="1"/>
  <c r="N65" i="58"/>
  <c r="M116" i="61"/>
  <c r="S66" i="58"/>
  <c r="AV70" i="59"/>
  <c r="V20" i="61"/>
  <c r="AZ68" i="59" s="1"/>
  <c r="AZ82" i="59" s="1"/>
  <c r="W22" i="61"/>
  <c r="W87" i="61"/>
  <c r="W21" i="61" s="1"/>
  <c r="W91" i="61"/>
  <c r="T24" i="60"/>
  <c r="S25" i="60"/>
  <c r="S26" i="60"/>
  <c r="X88" i="61"/>
  <c r="W86" i="61"/>
  <c r="V115" i="61"/>
  <c r="AC626" i="60"/>
  <c r="AC636" i="60" s="1"/>
  <c r="AB626" i="60"/>
  <c r="AB177" i="59" s="1"/>
  <c r="AD64" i="59" s="1"/>
  <c r="AA626" i="60"/>
  <c r="AA638" i="60" s="1"/>
  <c r="Z626" i="60"/>
  <c r="Z638" i="60" s="1"/>
  <c r="Y626" i="60"/>
  <c r="Y635" i="60" s="1"/>
  <c r="X626" i="60"/>
  <c r="X177" i="59" s="1"/>
  <c r="Z64" i="59" s="1"/>
  <c r="W626" i="60"/>
  <c r="W177" i="59" s="1"/>
  <c r="Y64" i="59" s="1"/>
  <c r="V626" i="60"/>
  <c r="V177" i="59" s="1"/>
  <c r="X64" i="59" s="1"/>
  <c r="U626" i="60"/>
  <c r="U636" i="60" s="1"/>
  <c r="T626" i="60"/>
  <c r="T637" i="60" s="1"/>
  <c r="S626" i="60"/>
  <c r="S177" i="59" s="1"/>
  <c r="U64" i="59" s="1"/>
  <c r="R626" i="60"/>
  <c r="R634" i="60" s="1"/>
  <c r="Q626" i="60"/>
  <c r="Q635" i="60" s="1"/>
  <c r="P626" i="60"/>
  <c r="P177" i="59" s="1"/>
  <c r="R64" i="59" s="1"/>
  <c r="O626" i="60"/>
  <c r="O177" i="59" s="1"/>
  <c r="Q64" i="59" s="1"/>
  <c r="N626" i="60"/>
  <c r="N177" i="59" s="1"/>
  <c r="P64" i="59" s="1"/>
  <c r="M626" i="60"/>
  <c r="M177" i="59" s="1"/>
  <c r="O64" i="59" s="1"/>
  <c r="L626" i="60"/>
  <c r="L177" i="59" s="1"/>
  <c r="N64" i="59" s="1"/>
  <c r="K626" i="60"/>
  <c r="K177" i="59" s="1"/>
  <c r="M64" i="59" s="1"/>
  <c r="J626" i="60"/>
  <c r="J638" i="60" s="1"/>
  <c r="I626" i="60"/>
  <c r="I639" i="60" s="1"/>
  <c r="H626" i="60"/>
  <c r="H177" i="59" s="1"/>
  <c r="J64" i="59" s="1"/>
  <c r="G626" i="60"/>
  <c r="G634" i="60" s="1"/>
  <c r="F626" i="60"/>
  <c r="F177" i="59" s="1"/>
  <c r="H64" i="59" s="1"/>
  <c r="E626" i="60"/>
  <c r="E177" i="59" s="1"/>
  <c r="G64" i="59" s="1"/>
  <c r="D626" i="60"/>
  <c r="D177" i="59" s="1"/>
  <c r="F64" i="59" s="1"/>
  <c r="C625" i="60"/>
  <c r="C624" i="60"/>
  <c r="C623" i="60"/>
  <c r="C622" i="60"/>
  <c r="C621" i="60"/>
  <c r="C620" i="60"/>
  <c r="C619" i="60"/>
  <c r="AC578" i="60"/>
  <c r="AC176" i="59" s="1"/>
  <c r="AE63" i="59" s="1"/>
  <c r="AB578" i="60"/>
  <c r="AB176" i="59" s="1"/>
  <c r="AD63" i="59" s="1"/>
  <c r="AA578" i="60"/>
  <c r="AA176" i="59" s="1"/>
  <c r="AC63" i="59" s="1"/>
  <c r="Z578" i="60"/>
  <c r="Y578" i="60"/>
  <c r="Y590" i="60" s="1"/>
  <c r="X578" i="60"/>
  <c r="X176" i="59" s="1"/>
  <c r="Z63" i="59" s="1"/>
  <c r="W578" i="60"/>
  <c r="W176" i="59" s="1"/>
  <c r="Y63" i="59" s="1"/>
  <c r="V578" i="60"/>
  <c r="V176" i="59" s="1"/>
  <c r="X63" i="59" s="1"/>
  <c r="U578" i="60"/>
  <c r="U176" i="59" s="1"/>
  <c r="W63" i="59" s="1"/>
  <c r="T578" i="60"/>
  <c r="T176" i="59" s="1"/>
  <c r="V63" i="59" s="1"/>
  <c r="S578" i="60"/>
  <c r="S176" i="59" s="1"/>
  <c r="U63" i="59" s="1"/>
  <c r="R578" i="60"/>
  <c r="R590" i="60" s="1"/>
  <c r="Q578" i="60"/>
  <c r="P578" i="60"/>
  <c r="P176" i="59" s="1"/>
  <c r="R63" i="59" s="1"/>
  <c r="O578" i="60"/>
  <c r="O176" i="59" s="1"/>
  <c r="Q63" i="59" s="1"/>
  <c r="N578" i="60"/>
  <c r="N176" i="59" s="1"/>
  <c r="P63" i="59" s="1"/>
  <c r="M578" i="60"/>
  <c r="M176" i="59" s="1"/>
  <c r="O63" i="59" s="1"/>
  <c r="L578" i="60"/>
  <c r="L176" i="59" s="1"/>
  <c r="N63" i="59" s="1"/>
  <c r="K578" i="60"/>
  <c r="K176" i="59" s="1"/>
  <c r="M63" i="59" s="1"/>
  <c r="J578" i="60"/>
  <c r="J590" i="60" s="1"/>
  <c r="I578" i="60"/>
  <c r="H578" i="60"/>
  <c r="H176" i="59" s="1"/>
  <c r="J63" i="59" s="1"/>
  <c r="G578" i="60"/>
  <c r="G176" i="59" s="1"/>
  <c r="I63" i="59" s="1"/>
  <c r="F578" i="60"/>
  <c r="F176" i="59" s="1"/>
  <c r="H63" i="59" s="1"/>
  <c r="E578" i="60"/>
  <c r="E176" i="59" s="1"/>
  <c r="G63" i="59" s="1"/>
  <c r="D578" i="60"/>
  <c r="D176" i="59" s="1"/>
  <c r="F63" i="59" s="1"/>
  <c r="AI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74"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74"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72" i="59" s="1"/>
  <c r="X58" i="59" s="1"/>
  <c r="L386" i="60"/>
  <c r="L172" i="59" s="1"/>
  <c r="N58" i="59" s="1"/>
  <c r="D386" i="60"/>
  <c r="D172" i="59" s="1"/>
  <c r="F58" i="59" s="1"/>
  <c r="AC386" i="60"/>
  <c r="AC172" i="59" s="1"/>
  <c r="AE58" i="59" s="1"/>
  <c r="AB386" i="60"/>
  <c r="AB172" i="59" s="1"/>
  <c r="AD58" i="59" s="1"/>
  <c r="AA386" i="60"/>
  <c r="Z386" i="60"/>
  <c r="Z172" i="59" s="1"/>
  <c r="AB58" i="59" s="1"/>
  <c r="Y386" i="60"/>
  <c r="Y172" i="59" s="1"/>
  <c r="AA58" i="59" s="1"/>
  <c r="X386" i="60"/>
  <c r="X172" i="59" s="1"/>
  <c r="Z58" i="59" s="1"/>
  <c r="W386" i="60"/>
  <c r="W172" i="59" s="1"/>
  <c r="Y58" i="59" s="1"/>
  <c r="U386" i="60"/>
  <c r="U172" i="59" s="1"/>
  <c r="W58" i="59" s="1"/>
  <c r="T386" i="60"/>
  <c r="T172" i="59" s="1"/>
  <c r="V58" i="59" s="1"/>
  <c r="S386" i="60"/>
  <c r="S172" i="59" s="1"/>
  <c r="U58" i="59" s="1"/>
  <c r="R386" i="60"/>
  <c r="Q386" i="60"/>
  <c r="Q172" i="59" s="1"/>
  <c r="S58" i="59" s="1"/>
  <c r="P386" i="60"/>
  <c r="P172" i="59" s="1"/>
  <c r="R58" i="59" s="1"/>
  <c r="O386" i="60"/>
  <c r="O172" i="59" s="1"/>
  <c r="Q58" i="59" s="1"/>
  <c r="M386" i="60"/>
  <c r="M172" i="59" s="1"/>
  <c r="O58" i="59" s="1"/>
  <c r="K386" i="60"/>
  <c r="K172" i="59" s="1"/>
  <c r="M58" i="59" s="1"/>
  <c r="J386" i="60"/>
  <c r="J172" i="59" s="1"/>
  <c r="L58" i="59" s="1"/>
  <c r="I386" i="60"/>
  <c r="I172" i="59" s="1"/>
  <c r="K58" i="59" s="1"/>
  <c r="H386" i="60"/>
  <c r="G386" i="60"/>
  <c r="G172" i="59" s="1"/>
  <c r="I58" i="59" s="1"/>
  <c r="E386" i="60"/>
  <c r="E172" i="59" s="1"/>
  <c r="G58" i="59" s="1"/>
  <c r="C384" i="60"/>
  <c r="C383" i="60"/>
  <c r="C382" i="60"/>
  <c r="C381" i="60"/>
  <c r="C380" i="60"/>
  <c r="C379" i="60"/>
  <c r="H206" i="60"/>
  <c r="A56" i="58"/>
  <c r="B150" i="59"/>
  <c r="A57" i="59"/>
  <c r="A105" i="59" s="1"/>
  <c r="C335" i="60"/>
  <c r="D338" i="60"/>
  <c r="D290" i="60"/>
  <c r="D170"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70" i="59" s="1"/>
  <c r="AD56" i="59" s="1"/>
  <c r="AA290" i="60"/>
  <c r="Z290" i="60"/>
  <c r="Z299" i="60" s="1"/>
  <c r="Y290" i="60"/>
  <c r="X290" i="60"/>
  <c r="W290" i="60"/>
  <c r="U290" i="60"/>
  <c r="U302" i="60" s="1"/>
  <c r="T290" i="60"/>
  <c r="T170" i="59" s="1"/>
  <c r="V56" i="59" s="1"/>
  <c r="S290" i="60"/>
  <c r="S303" i="60" s="1"/>
  <c r="R290" i="60"/>
  <c r="Q290" i="60"/>
  <c r="P290" i="60"/>
  <c r="P300" i="60" s="1"/>
  <c r="O290" i="60"/>
  <c r="M290" i="60"/>
  <c r="M302" i="60" s="1"/>
  <c r="L290" i="60"/>
  <c r="L170"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66" i="58" l="1"/>
  <c r="AW70" i="59"/>
  <c r="AR69" i="59"/>
  <c r="AR83" i="59" s="1"/>
  <c r="AR84" i="59" s="1"/>
  <c r="O65" i="58"/>
  <c r="N116" i="61"/>
  <c r="X22" i="61"/>
  <c r="W20" i="61"/>
  <c r="BA68" i="59" s="1"/>
  <c r="BA82" i="59" s="1"/>
  <c r="X91" i="61"/>
  <c r="X87" i="61"/>
  <c r="X21" i="61" s="1"/>
  <c r="T26" i="60"/>
  <c r="T25" i="60"/>
  <c r="U24" i="60"/>
  <c r="B107" i="61"/>
  <c r="B78" i="61"/>
  <c r="X86" i="61"/>
  <c r="W115" i="61"/>
  <c r="Y88"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72" i="59"/>
  <c r="J58" i="59" s="1"/>
  <c r="H394" i="60"/>
  <c r="H398" i="60"/>
  <c r="H395" i="60"/>
  <c r="H399" i="60"/>
  <c r="H393" i="60"/>
  <c r="H397" i="60"/>
  <c r="R172" i="59"/>
  <c r="T58" i="59" s="1"/>
  <c r="R393" i="60"/>
  <c r="R397" i="60"/>
  <c r="R394" i="60"/>
  <c r="R398" i="60"/>
  <c r="R396" i="60"/>
  <c r="AA172" i="59"/>
  <c r="AC58" i="59" s="1"/>
  <c r="AA393" i="60"/>
  <c r="AA397" i="60"/>
  <c r="AA395" i="60"/>
  <c r="AA399" i="60"/>
  <c r="AA396" i="60"/>
  <c r="AA394" i="60"/>
  <c r="AA398" i="60"/>
  <c r="R395" i="60"/>
  <c r="Z205" i="60"/>
  <c r="Z168" i="59"/>
  <c r="AB54" i="59" s="1"/>
  <c r="R205" i="60"/>
  <c r="R168" i="59"/>
  <c r="T54" i="59" s="1"/>
  <c r="J205" i="60"/>
  <c r="J168" i="59"/>
  <c r="L54" i="59" s="1"/>
  <c r="AA249" i="60"/>
  <c r="AA169" i="59"/>
  <c r="AC55" i="59" s="1"/>
  <c r="C290" i="60"/>
  <c r="C170" i="59" s="1"/>
  <c r="H396" i="60"/>
  <c r="P202" i="60"/>
  <c r="P168" i="59"/>
  <c r="R54" i="59" s="1"/>
  <c r="Y250" i="60"/>
  <c r="Y169" i="59"/>
  <c r="AA55" i="59" s="1"/>
  <c r="I250" i="60"/>
  <c r="I169" i="59"/>
  <c r="K55" i="59" s="1"/>
  <c r="I300" i="60"/>
  <c r="I170" i="59"/>
  <c r="K56" i="59" s="1"/>
  <c r="R300" i="60"/>
  <c r="R170" i="59"/>
  <c r="T56" i="59" s="1"/>
  <c r="AA299" i="60"/>
  <c r="AA170" i="59"/>
  <c r="AC56" i="59" s="1"/>
  <c r="X202" i="60"/>
  <c r="X168" i="59"/>
  <c r="Z54" i="59" s="1"/>
  <c r="Q250" i="60"/>
  <c r="Q169" i="59"/>
  <c r="S55" i="59" s="1"/>
  <c r="AC345" i="60"/>
  <c r="AC171" i="59"/>
  <c r="AC351" i="60"/>
  <c r="U345" i="60"/>
  <c r="U171" i="59"/>
  <c r="U351" i="60"/>
  <c r="M345" i="60"/>
  <c r="M171" i="59"/>
  <c r="E345" i="60"/>
  <c r="E171" i="59"/>
  <c r="E351" i="60"/>
  <c r="R399" i="60"/>
  <c r="AB173" i="59"/>
  <c r="AD59" i="59" s="1"/>
  <c r="AB441" i="60"/>
  <c r="L493" i="60"/>
  <c r="L174" i="59"/>
  <c r="N60" i="59" s="1"/>
  <c r="L489" i="60"/>
  <c r="Q176" i="59"/>
  <c r="S63" i="59" s="1"/>
  <c r="Q587" i="60"/>
  <c r="Q591" i="60"/>
  <c r="Q588" i="60"/>
  <c r="Q585" i="60"/>
  <c r="Q589" i="60"/>
  <c r="I399" i="60"/>
  <c r="E393" i="60"/>
  <c r="K173" i="59"/>
  <c r="M59" i="59" s="1"/>
  <c r="K444" i="60"/>
  <c r="K441" i="60"/>
  <c r="K445" i="60"/>
  <c r="K442" i="60"/>
  <c r="AC442" i="60"/>
  <c r="U204" i="60"/>
  <c r="U168" i="59"/>
  <c r="W54" i="59" s="1"/>
  <c r="V251" i="60"/>
  <c r="V169" i="59"/>
  <c r="X55" i="59" s="1"/>
  <c r="F302" i="60"/>
  <c r="F170" i="59"/>
  <c r="H56" i="59" s="1"/>
  <c r="R347" i="60"/>
  <c r="R171" i="59"/>
  <c r="AA205" i="60"/>
  <c r="AA168" i="59"/>
  <c r="AC54" i="59" s="1"/>
  <c r="S205" i="60"/>
  <c r="S168" i="59"/>
  <c r="U54" i="59" s="1"/>
  <c r="K205" i="60"/>
  <c r="K168" i="59"/>
  <c r="M54" i="59" s="1"/>
  <c r="AB252" i="60"/>
  <c r="AB169" i="59"/>
  <c r="AD55" i="59" s="1"/>
  <c r="T252" i="60"/>
  <c r="T169" i="59"/>
  <c r="V55" i="59" s="1"/>
  <c r="L252" i="60"/>
  <c r="L169" i="59"/>
  <c r="N55" i="59" s="1"/>
  <c r="D252" i="60"/>
  <c r="D169" i="59"/>
  <c r="F55" i="59" s="1"/>
  <c r="E298" i="60"/>
  <c r="E170" i="59"/>
  <c r="G56" i="59" s="1"/>
  <c r="O297" i="60"/>
  <c r="O170" i="59"/>
  <c r="Q56" i="59" s="1"/>
  <c r="X301" i="60"/>
  <c r="X170" i="59"/>
  <c r="Z56" i="59" s="1"/>
  <c r="V302" i="60"/>
  <c r="V170" i="59"/>
  <c r="X56" i="59" s="1"/>
  <c r="T298" i="60"/>
  <c r="X349" i="60"/>
  <c r="X171" i="59"/>
  <c r="P349" i="60"/>
  <c r="P171" i="59"/>
  <c r="H349" i="60"/>
  <c r="H171"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73" i="59"/>
  <c r="I59" i="59" s="1"/>
  <c r="G442" i="60"/>
  <c r="G443" i="60"/>
  <c r="G444" i="60"/>
  <c r="P173" i="59"/>
  <c r="R59" i="59" s="1"/>
  <c r="P443" i="60"/>
  <c r="Y173" i="59"/>
  <c r="AA59" i="59" s="1"/>
  <c r="Y441" i="60"/>
  <c r="Y448" i="60" s="1"/>
  <c r="Y442" i="60"/>
  <c r="Y443" i="60"/>
  <c r="Y447" i="60"/>
  <c r="Q447" i="60"/>
  <c r="AA446" i="60"/>
  <c r="S446" i="60"/>
  <c r="K446" i="60"/>
  <c r="AC445" i="60"/>
  <c r="U445" i="60"/>
  <c r="G445" i="60"/>
  <c r="K443" i="60"/>
  <c r="R586" i="60"/>
  <c r="Q639" i="60"/>
  <c r="S249" i="60"/>
  <c r="S169" i="59"/>
  <c r="U55" i="59" s="1"/>
  <c r="K249" i="60"/>
  <c r="K169" i="59"/>
  <c r="M55" i="59" s="1"/>
  <c r="G297" i="60"/>
  <c r="G170" i="59"/>
  <c r="I56" i="59" s="1"/>
  <c r="P297" i="60"/>
  <c r="P170" i="59"/>
  <c r="R56" i="59" s="1"/>
  <c r="Y300" i="60"/>
  <c r="Y170" i="59"/>
  <c r="AA56" i="59" s="1"/>
  <c r="W350" i="60"/>
  <c r="W171" i="59"/>
  <c r="O350" i="60"/>
  <c r="O171" i="59"/>
  <c r="G350" i="60"/>
  <c r="G171" i="59"/>
  <c r="O349" i="60"/>
  <c r="P397" i="60"/>
  <c r="P393" i="60"/>
  <c r="H173" i="59"/>
  <c r="J59" i="59" s="1"/>
  <c r="H443" i="60"/>
  <c r="Q173" i="59"/>
  <c r="S59" i="59" s="1"/>
  <c r="Q441" i="60"/>
  <c r="Q445" i="60"/>
  <c r="Q442" i="60"/>
  <c r="Q443" i="60"/>
  <c r="Z173" i="59"/>
  <c r="AB59" i="59" s="1"/>
  <c r="Z442" i="60"/>
  <c r="H447" i="60"/>
  <c r="Z446" i="60"/>
  <c r="J446" i="60"/>
  <c r="AB445" i="60"/>
  <c r="Z443" i="60"/>
  <c r="J443" i="60"/>
  <c r="J489" i="60"/>
  <c r="J174" i="59"/>
  <c r="L60" i="59" s="1"/>
  <c r="J491" i="60"/>
  <c r="S489" i="60"/>
  <c r="S174" i="59"/>
  <c r="U60" i="59" s="1"/>
  <c r="S490" i="60"/>
  <c r="AC489" i="60"/>
  <c r="AC174" i="59"/>
  <c r="AE60" i="59" s="1"/>
  <c r="J540" i="60"/>
  <c r="J175" i="59"/>
  <c r="L62" i="59" s="1"/>
  <c r="J543" i="60"/>
  <c r="R540" i="60"/>
  <c r="R175" i="59"/>
  <c r="T62" i="59" s="1"/>
  <c r="R543" i="60"/>
  <c r="Z540" i="60"/>
  <c r="Z175" i="59"/>
  <c r="AB62" i="59" s="1"/>
  <c r="Z543" i="60"/>
  <c r="Q586" i="60"/>
  <c r="Y206" i="60"/>
  <c r="Y168" i="59"/>
  <c r="AA54" i="59" s="1"/>
  <c r="Q206" i="60"/>
  <c r="Q168" i="59"/>
  <c r="S54" i="59" s="1"/>
  <c r="I206" i="60"/>
  <c r="I168" i="59"/>
  <c r="K54" i="59" s="1"/>
  <c r="Z249" i="60"/>
  <c r="Z169" i="59"/>
  <c r="AB55" i="59" s="1"/>
  <c r="R249" i="60"/>
  <c r="R169" i="59"/>
  <c r="T55" i="59" s="1"/>
  <c r="J249" i="60"/>
  <c r="J169" i="59"/>
  <c r="L55" i="59" s="1"/>
  <c r="H297" i="60"/>
  <c r="H170" i="59"/>
  <c r="J56" i="59" s="1"/>
  <c r="Q300" i="60"/>
  <c r="Q170" i="59"/>
  <c r="S56" i="59" s="1"/>
  <c r="Z300" i="60"/>
  <c r="Z170" i="59"/>
  <c r="AB56" i="59" s="1"/>
  <c r="X300" i="60"/>
  <c r="V348" i="60"/>
  <c r="V171" i="59"/>
  <c r="N351" i="60"/>
  <c r="N171" i="59"/>
  <c r="F351" i="60"/>
  <c r="F171"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73" i="59"/>
  <c r="K59" i="59" s="1"/>
  <c r="I441" i="60"/>
  <c r="I445" i="60"/>
  <c r="I442" i="60"/>
  <c r="I443" i="60"/>
  <c r="R173" i="59"/>
  <c r="T59" i="59" s="1"/>
  <c r="R442" i="60"/>
  <c r="AA173" i="59"/>
  <c r="AC59" i="59" s="1"/>
  <c r="AA444" i="60"/>
  <c r="AA441" i="60"/>
  <c r="AA448" i="60" s="1"/>
  <c r="AA442" i="60"/>
  <c r="Q446" i="60"/>
  <c r="I446" i="60"/>
  <c r="AA445" i="60"/>
  <c r="R445" i="60"/>
  <c r="AB444" i="60"/>
  <c r="P442" i="60"/>
  <c r="Z441" i="60"/>
  <c r="K491" i="60"/>
  <c r="K174" i="59"/>
  <c r="M60" i="59" s="1"/>
  <c r="T494" i="60"/>
  <c r="T174" i="59"/>
  <c r="V60" i="59" s="1"/>
  <c r="T489" i="60"/>
  <c r="X494" i="60"/>
  <c r="X174" i="59"/>
  <c r="Z60" i="59" s="1"/>
  <c r="X493" i="60"/>
  <c r="K539" i="60"/>
  <c r="K175" i="59"/>
  <c r="M62" i="59" s="1"/>
  <c r="S539" i="60"/>
  <c r="S175" i="59"/>
  <c r="U62" i="59" s="1"/>
  <c r="AA539" i="60"/>
  <c r="AA175" i="59"/>
  <c r="AC62" i="59" s="1"/>
  <c r="Q590" i="60"/>
  <c r="J586" i="60"/>
  <c r="Z176" i="59"/>
  <c r="AB63" i="59" s="1"/>
  <c r="Z587" i="60"/>
  <c r="Z591" i="60"/>
  <c r="Z588" i="60"/>
  <c r="Z585" i="60"/>
  <c r="Z589" i="60"/>
  <c r="V204" i="60"/>
  <c r="V168" i="59"/>
  <c r="X54" i="59" s="1"/>
  <c r="N200" i="60"/>
  <c r="N168" i="59"/>
  <c r="P54" i="59" s="1"/>
  <c r="F200" i="60"/>
  <c r="F168" i="59"/>
  <c r="H54" i="59" s="1"/>
  <c r="W255" i="60"/>
  <c r="W169" i="59"/>
  <c r="Y55" i="59" s="1"/>
  <c r="O255" i="60"/>
  <c r="O169" i="59"/>
  <c r="Q55" i="59" s="1"/>
  <c r="G255" i="60"/>
  <c r="G169" i="59"/>
  <c r="I55" i="59" s="1"/>
  <c r="K299" i="60"/>
  <c r="K170" i="59"/>
  <c r="M56" i="59" s="1"/>
  <c r="AC298" i="60"/>
  <c r="AC170" i="59"/>
  <c r="AE56" i="59" s="1"/>
  <c r="AA346" i="60"/>
  <c r="AA171" i="59"/>
  <c r="S346" i="60"/>
  <c r="S171" i="59"/>
  <c r="K346" i="60"/>
  <c r="K171" i="59"/>
  <c r="AA348" i="60"/>
  <c r="R346" i="60"/>
  <c r="O345" i="60"/>
  <c r="P399" i="60"/>
  <c r="J398" i="60"/>
  <c r="AB397" i="60"/>
  <c r="T397" i="60"/>
  <c r="L397" i="60"/>
  <c r="D397" i="60"/>
  <c r="V396" i="60"/>
  <c r="X395" i="60"/>
  <c r="P395" i="60"/>
  <c r="Z394" i="60"/>
  <c r="J394" i="60"/>
  <c r="AB393" i="60"/>
  <c r="T393" i="60"/>
  <c r="L393" i="60"/>
  <c r="D393" i="60"/>
  <c r="L173" i="59"/>
  <c r="N59" i="59" s="1"/>
  <c r="L441" i="60"/>
  <c r="L448" i="60" s="1"/>
  <c r="L445" i="60"/>
  <c r="U173" i="59"/>
  <c r="W59" i="59" s="1"/>
  <c r="U443" i="60"/>
  <c r="U444" i="60"/>
  <c r="U441" i="60"/>
  <c r="AB447" i="60"/>
  <c r="L447" i="60"/>
  <c r="H444" i="60"/>
  <c r="R443" i="60"/>
  <c r="AB442" i="60"/>
  <c r="L442" i="60"/>
  <c r="Z590" i="60"/>
  <c r="J173" i="59"/>
  <c r="L59" i="59" s="1"/>
  <c r="J442" i="60"/>
  <c r="U489" i="60"/>
  <c r="U174" i="59"/>
  <c r="W60" i="59" s="1"/>
  <c r="I176" i="59"/>
  <c r="K63" i="59" s="1"/>
  <c r="I587" i="60"/>
  <c r="I591" i="60"/>
  <c r="I588" i="60"/>
  <c r="I585" i="60"/>
  <c r="I589" i="60"/>
  <c r="W203" i="60"/>
  <c r="W168" i="59"/>
  <c r="Y54" i="59" s="1"/>
  <c r="G203" i="60"/>
  <c r="G168" i="59"/>
  <c r="I54" i="59" s="1"/>
  <c r="P250" i="60"/>
  <c r="P169" i="59"/>
  <c r="R55" i="59" s="1"/>
  <c r="J300" i="60"/>
  <c r="J170" i="59"/>
  <c r="L56" i="59" s="1"/>
  <c r="T348" i="60"/>
  <c r="T171" i="59"/>
  <c r="Y399" i="60"/>
  <c r="E397" i="60"/>
  <c r="S394" i="60"/>
  <c r="T173" i="59"/>
  <c r="V59" i="59" s="1"/>
  <c r="T441" i="60"/>
  <c r="AC447" i="60"/>
  <c r="R176" i="59"/>
  <c r="T63" i="59" s="1"/>
  <c r="R587" i="60"/>
  <c r="R591" i="60"/>
  <c r="R588" i="60"/>
  <c r="R585" i="60"/>
  <c r="R589" i="60"/>
  <c r="E204" i="60"/>
  <c r="E168" i="59"/>
  <c r="G54" i="59" s="1"/>
  <c r="Z347" i="60"/>
  <c r="Z171" i="59"/>
  <c r="D345" i="60"/>
  <c r="D171" i="59"/>
  <c r="Z350" i="60"/>
  <c r="W349" i="60"/>
  <c r="Y398" i="60"/>
  <c r="I398" i="60"/>
  <c r="S397" i="60"/>
  <c r="K397" i="60"/>
  <c r="U396" i="60"/>
  <c r="E396" i="60"/>
  <c r="Y394" i="60"/>
  <c r="I394" i="60"/>
  <c r="S393" i="60"/>
  <c r="K393" i="60"/>
  <c r="D173" i="59"/>
  <c r="F59" i="59" s="1"/>
  <c r="D441" i="60"/>
  <c r="D448" i="60" s="1"/>
  <c r="D445" i="60"/>
  <c r="M173" i="59"/>
  <c r="O59" i="59" s="1"/>
  <c r="M443" i="60"/>
  <c r="M444" i="60"/>
  <c r="M441" i="60"/>
  <c r="M445" i="60"/>
  <c r="W173" i="59"/>
  <c r="Y59" i="59" s="1"/>
  <c r="W442" i="60"/>
  <c r="W443" i="60"/>
  <c r="W444" i="60"/>
  <c r="K447" i="60"/>
  <c r="M446" i="60"/>
  <c r="W445" i="60"/>
  <c r="J445" i="60"/>
  <c r="T444" i="60"/>
  <c r="D444" i="60"/>
  <c r="H442" i="60"/>
  <c r="I590" i="60"/>
  <c r="Z586" i="60"/>
  <c r="I177" i="59"/>
  <c r="K64" i="59" s="1"/>
  <c r="I636" i="60"/>
  <c r="I633" i="60"/>
  <c r="I637" i="60"/>
  <c r="I634" i="60"/>
  <c r="I638" i="60"/>
  <c r="Q177" i="59"/>
  <c r="S64" i="59" s="1"/>
  <c r="Q636" i="60"/>
  <c r="Q633" i="60"/>
  <c r="Q637" i="60"/>
  <c r="Q634" i="60"/>
  <c r="Q638" i="60"/>
  <c r="Y177" i="59"/>
  <c r="AA64" i="59" s="1"/>
  <c r="Y636" i="60"/>
  <c r="Y633" i="60"/>
  <c r="Y640" i="60" s="1"/>
  <c r="Y637" i="60"/>
  <c r="Y634" i="60"/>
  <c r="Y638" i="60"/>
  <c r="Y639" i="60"/>
  <c r="S173" i="59"/>
  <c r="U59" i="59" s="1"/>
  <c r="S444" i="60"/>
  <c r="S441" i="60"/>
  <c r="S445" i="60"/>
  <c r="S442" i="60"/>
  <c r="J444" i="60"/>
  <c r="H494" i="60"/>
  <c r="H174" i="59"/>
  <c r="J60" i="59" s="1"/>
  <c r="H495" i="60"/>
  <c r="Y176" i="59"/>
  <c r="AA63" i="59" s="1"/>
  <c r="Y587" i="60"/>
  <c r="Y591" i="60"/>
  <c r="Y588" i="60"/>
  <c r="Y585" i="60"/>
  <c r="Y589" i="60"/>
  <c r="I586" i="60"/>
  <c r="O203" i="60"/>
  <c r="O168" i="59"/>
  <c r="Q54" i="59" s="1"/>
  <c r="X250" i="60"/>
  <c r="X169" i="59"/>
  <c r="Z55" i="59" s="1"/>
  <c r="H250" i="60"/>
  <c r="H169" i="59"/>
  <c r="J55" i="59" s="1"/>
  <c r="S299" i="60"/>
  <c r="S170" i="59"/>
  <c r="U56" i="59" s="1"/>
  <c r="AB348" i="60"/>
  <c r="AB171" i="59"/>
  <c r="L345" i="60"/>
  <c r="L171" i="59"/>
  <c r="G349" i="60"/>
  <c r="S398" i="60"/>
  <c r="Y395" i="60"/>
  <c r="I395" i="60"/>
  <c r="AC173" i="59"/>
  <c r="AE59" i="59" s="1"/>
  <c r="AC443" i="60"/>
  <c r="AC444" i="60"/>
  <c r="AC441" i="60"/>
  <c r="S443" i="60"/>
  <c r="J176" i="59"/>
  <c r="L63" i="59" s="1"/>
  <c r="J587" i="60"/>
  <c r="J591" i="60"/>
  <c r="J588" i="60"/>
  <c r="J585" i="60"/>
  <c r="J589" i="60"/>
  <c r="AC204" i="60"/>
  <c r="AC168" i="59"/>
  <c r="AE54" i="59" s="1"/>
  <c r="M204" i="60"/>
  <c r="M168" i="59"/>
  <c r="O54" i="59" s="1"/>
  <c r="N251" i="60"/>
  <c r="N169" i="59"/>
  <c r="P55" i="59" s="1"/>
  <c r="F251" i="60"/>
  <c r="F169" i="59"/>
  <c r="H55" i="59" s="1"/>
  <c r="U298" i="60"/>
  <c r="U170" i="59"/>
  <c r="W56" i="59" s="1"/>
  <c r="J347" i="60"/>
  <c r="J171" i="59"/>
  <c r="AB200" i="60"/>
  <c r="AB168" i="59"/>
  <c r="AD54" i="59" s="1"/>
  <c r="T200" i="60"/>
  <c r="T168" i="59"/>
  <c r="V54" i="59" s="1"/>
  <c r="L200" i="60"/>
  <c r="L168" i="59"/>
  <c r="N54" i="59" s="1"/>
  <c r="D200" i="60"/>
  <c r="D168" i="59"/>
  <c r="F54" i="59" s="1"/>
  <c r="AC249" i="60"/>
  <c r="AC169" i="59"/>
  <c r="AE55" i="59" s="1"/>
  <c r="U249" i="60"/>
  <c r="U169" i="59"/>
  <c r="W55" i="59" s="1"/>
  <c r="M249" i="60"/>
  <c r="M169" i="59"/>
  <c r="O55" i="59" s="1"/>
  <c r="E255" i="60"/>
  <c r="E169" i="59"/>
  <c r="G55" i="59" s="1"/>
  <c r="M298" i="60"/>
  <c r="M170" i="59"/>
  <c r="O56" i="59" s="1"/>
  <c r="W297" i="60"/>
  <c r="W170" i="59"/>
  <c r="Y56" i="59" s="1"/>
  <c r="N302" i="60"/>
  <c r="N170" i="59"/>
  <c r="P56" i="59" s="1"/>
  <c r="W301" i="60"/>
  <c r="AB298" i="60"/>
  <c r="Y348" i="60"/>
  <c r="Y171" i="59"/>
  <c r="Q348" i="60"/>
  <c r="Q171" i="59"/>
  <c r="I348" i="60"/>
  <c r="I171" i="59"/>
  <c r="V350" i="60"/>
  <c r="S349" i="60"/>
  <c r="S348" i="60"/>
  <c r="J346" i="60"/>
  <c r="K345" i="60"/>
  <c r="V399" i="60"/>
  <c r="X398" i="60"/>
  <c r="P398" i="60"/>
  <c r="Z397" i="60"/>
  <c r="J397" i="60"/>
  <c r="AB396" i="60"/>
  <c r="T396" i="60"/>
  <c r="L396" i="60"/>
  <c r="D396" i="60"/>
  <c r="V395" i="60"/>
  <c r="X394" i="60"/>
  <c r="P394" i="60"/>
  <c r="Z393" i="60"/>
  <c r="J393" i="60"/>
  <c r="E173" i="59"/>
  <c r="G59" i="59" s="1"/>
  <c r="E443" i="60"/>
  <c r="E444" i="60"/>
  <c r="E441" i="60"/>
  <c r="E445" i="60"/>
  <c r="O173" i="59"/>
  <c r="Q59" i="59" s="1"/>
  <c r="O442" i="60"/>
  <c r="O443" i="60"/>
  <c r="O444" i="60"/>
  <c r="X173" i="59"/>
  <c r="Z59" i="59" s="1"/>
  <c r="X443" i="60"/>
  <c r="Z447" i="60"/>
  <c r="R447" i="60"/>
  <c r="J447" i="60"/>
  <c r="AB446" i="60"/>
  <c r="T446" i="60"/>
  <c r="L446" i="60"/>
  <c r="D446" i="60"/>
  <c r="H445" i="60"/>
  <c r="R444" i="60"/>
  <c r="AB443" i="60"/>
  <c r="L443" i="60"/>
  <c r="P441" i="60"/>
  <c r="Y586" i="60"/>
  <c r="J177" i="59"/>
  <c r="L64" i="59" s="1"/>
  <c r="J635" i="60"/>
  <c r="J639" i="60"/>
  <c r="J636" i="60"/>
  <c r="J633" i="60"/>
  <c r="J637" i="60"/>
  <c r="R177" i="59"/>
  <c r="T64" i="59" s="1"/>
  <c r="R635" i="60"/>
  <c r="R639" i="60"/>
  <c r="R636" i="60"/>
  <c r="R633" i="60"/>
  <c r="R637" i="60"/>
  <c r="Z177" i="59"/>
  <c r="AB64" i="59" s="1"/>
  <c r="Z635" i="60"/>
  <c r="Z639" i="60"/>
  <c r="Z636" i="60"/>
  <c r="Z633" i="60"/>
  <c r="Z637" i="60"/>
  <c r="R638" i="60"/>
  <c r="Z634" i="60"/>
  <c r="M489" i="60"/>
  <c r="M174" i="59"/>
  <c r="O60" i="59" s="1"/>
  <c r="W489" i="60"/>
  <c r="W174" i="59"/>
  <c r="Y60" i="59" s="1"/>
  <c r="P494" i="60"/>
  <c r="P174" i="59"/>
  <c r="R60" i="59" s="1"/>
  <c r="D539" i="60"/>
  <c r="D175" i="59"/>
  <c r="F62" i="59" s="1"/>
  <c r="AI62" i="59" s="1"/>
  <c r="AI80" i="59" s="1"/>
  <c r="AI84" i="59" s="1"/>
  <c r="L538" i="60"/>
  <c r="L175" i="59"/>
  <c r="N62" i="59" s="1"/>
  <c r="T538" i="60"/>
  <c r="T175" i="59"/>
  <c r="V62" i="59" s="1"/>
  <c r="AB538" i="60"/>
  <c r="AB175" i="59"/>
  <c r="AD62" i="59" s="1"/>
  <c r="L541" i="60"/>
  <c r="V591" i="60"/>
  <c r="N591" i="60"/>
  <c r="F591" i="60"/>
  <c r="X590" i="60"/>
  <c r="P590" i="60"/>
  <c r="H590" i="60"/>
  <c r="AB588" i="60"/>
  <c r="T588" i="60"/>
  <c r="L588" i="60"/>
  <c r="D588" i="60"/>
  <c r="V587" i="60"/>
  <c r="N587" i="60"/>
  <c r="F587" i="60"/>
  <c r="X586" i="60"/>
  <c r="P586" i="60"/>
  <c r="H586" i="60"/>
  <c r="AA177" i="59"/>
  <c r="AC64" i="59" s="1"/>
  <c r="W639" i="60"/>
  <c r="O639" i="60"/>
  <c r="G639" i="60"/>
  <c r="AA637" i="60"/>
  <c r="S637" i="60"/>
  <c r="K637" i="60"/>
  <c r="M636" i="60"/>
  <c r="E636" i="60"/>
  <c r="W635" i="60"/>
  <c r="O635" i="60"/>
  <c r="G635" i="60"/>
  <c r="AA633" i="60"/>
  <c r="S633" i="60"/>
  <c r="K633" i="60"/>
  <c r="D489" i="60"/>
  <c r="D174" i="59"/>
  <c r="F60" i="59" s="1"/>
  <c r="N489" i="60"/>
  <c r="N174" i="59"/>
  <c r="P60" i="59" s="1"/>
  <c r="Y493" i="60"/>
  <c r="Y174" i="59"/>
  <c r="AA60" i="59" s="1"/>
  <c r="N495" i="60"/>
  <c r="E539" i="60"/>
  <c r="E175" i="59"/>
  <c r="G62" i="59" s="1"/>
  <c r="M537" i="60"/>
  <c r="M175" i="59"/>
  <c r="O62" i="59" s="1"/>
  <c r="U537" i="60"/>
  <c r="U175" i="59"/>
  <c r="W62" i="59" s="1"/>
  <c r="AC537" i="60"/>
  <c r="AC175" i="59"/>
  <c r="AE62" i="59" s="1"/>
  <c r="AC540" i="60"/>
  <c r="AC591" i="60"/>
  <c r="U591" i="60"/>
  <c r="M591" i="60"/>
  <c r="E591" i="60"/>
  <c r="W590" i="60"/>
  <c r="O590" i="60"/>
  <c r="G590" i="60"/>
  <c r="AA588" i="60"/>
  <c r="S588" i="60"/>
  <c r="K588" i="60"/>
  <c r="AC587" i="60"/>
  <c r="U587" i="60"/>
  <c r="M587" i="60"/>
  <c r="E587" i="60"/>
  <c r="W586" i="60"/>
  <c r="O586" i="60"/>
  <c r="G586" i="60"/>
  <c r="T177" i="59"/>
  <c r="V64" i="59" s="1"/>
  <c r="V639" i="60"/>
  <c r="N639" i="60"/>
  <c r="F639" i="60"/>
  <c r="X638" i="60"/>
  <c r="P638" i="60"/>
  <c r="H638" i="60"/>
  <c r="AB636" i="60"/>
  <c r="T636" i="60"/>
  <c r="L636" i="60"/>
  <c r="D636" i="60"/>
  <c r="V635" i="60"/>
  <c r="N635" i="60"/>
  <c r="F635" i="60"/>
  <c r="X634" i="60"/>
  <c r="P634" i="60"/>
  <c r="H634" i="60"/>
  <c r="E492" i="60"/>
  <c r="E174" i="59"/>
  <c r="G60" i="59" s="1"/>
  <c r="O491" i="60"/>
  <c r="O174" i="59"/>
  <c r="Q60" i="59" s="1"/>
  <c r="Z492" i="60"/>
  <c r="Z174" i="59"/>
  <c r="AB60" i="59" s="1"/>
  <c r="F537" i="60"/>
  <c r="F175" i="59"/>
  <c r="H62" i="59" s="1"/>
  <c r="N537" i="60"/>
  <c r="N175" i="59"/>
  <c r="P62" i="59" s="1"/>
  <c r="V537" i="60"/>
  <c r="V175"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7" i="59"/>
  <c r="W64" i="59" s="1"/>
  <c r="AC177" i="59"/>
  <c r="AE64" i="59" s="1"/>
  <c r="AC639" i="60"/>
  <c r="U639" i="60"/>
  <c r="M639" i="60"/>
  <c r="E639" i="60"/>
  <c r="W638" i="60"/>
  <c r="O638" i="60"/>
  <c r="G638" i="60"/>
  <c r="AA636" i="60"/>
  <c r="S636" i="60"/>
  <c r="K636" i="60"/>
  <c r="AC635" i="60"/>
  <c r="U635" i="60"/>
  <c r="M635" i="60"/>
  <c r="E635" i="60"/>
  <c r="W634" i="60"/>
  <c r="O634" i="60"/>
  <c r="Q493" i="60"/>
  <c r="Q174" i="59"/>
  <c r="S60" i="59" s="1"/>
  <c r="AA491" i="60"/>
  <c r="AA174" i="59"/>
  <c r="AC60" i="59" s="1"/>
  <c r="G543" i="60"/>
  <c r="G175" i="59"/>
  <c r="I62" i="59" s="1"/>
  <c r="O543" i="60"/>
  <c r="O175" i="59"/>
  <c r="Q62" i="59" s="1"/>
  <c r="W543" i="60"/>
  <c r="W175"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74" i="59"/>
  <c r="K60" i="59" s="1"/>
  <c r="R492" i="60"/>
  <c r="R174" i="59"/>
  <c r="T60" i="59" s="1"/>
  <c r="G494" i="60"/>
  <c r="AA490" i="60"/>
  <c r="H542" i="60"/>
  <c r="H175" i="59"/>
  <c r="J62" i="59" s="1"/>
  <c r="P542" i="60"/>
  <c r="P175" i="59"/>
  <c r="R62" i="59" s="1"/>
  <c r="X542" i="60"/>
  <c r="X175" i="59"/>
  <c r="Z62" i="59" s="1"/>
  <c r="E540" i="60"/>
  <c r="P537" i="60"/>
  <c r="AB590" i="60"/>
  <c r="T590" i="60"/>
  <c r="L590" i="60"/>
  <c r="D590" i="60"/>
  <c r="V589" i="60"/>
  <c r="N589" i="60"/>
  <c r="F589" i="60"/>
  <c r="X588" i="60"/>
  <c r="P588" i="60"/>
  <c r="H588" i="60"/>
  <c r="AB586" i="60"/>
  <c r="T586" i="60"/>
  <c r="L586" i="60"/>
  <c r="D586" i="60"/>
  <c r="V585" i="60"/>
  <c r="N585" i="60"/>
  <c r="F585" i="60"/>
  <c r="G177"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75" i="59"/>
  <c r="K62" i="59" s="1"/>
  <c r="Q541" i="60"/>
  <c r="Q175" i="59"/>
  <c r="S62" i="59" s="1"/>
  <c r="Y541" i="60"/>
  <c r="Y175"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74" i="59" s="1"/>
  <c r="H60" i="59" s="1"/>
  <c r="V482" i="60"/>
  <c r="V174" i="59" s="1"/>
  <c r="X60" i="59" s="1"/>
  <c r="C482" i="60"/>
  <c r="C174" i="59" s="1"/>
  <c r="F434" i="60"/>
  <c r="N434" i="60"/>
  <c r="V434" i="60"/>
  <c r="G448" i="60"/>
  <c r="W448" i="60"/>
  <c r="M448" i="60"/>
  <c r="U448" i="60"/>
  <c r="J448" i="60"/>
  <c r="R448" i="60"/>
  <c r="C434" i="60"/>
  <c r="S448" i="60"/>
  <c r="F386" i="60"/>
  <c r="C385" i="60"/>
  <c r="N386" i="60"/>
  <c r="C338" i="60"/>
  <c r="C171"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AS69" i="59" l="1"/>
  <c r="AS83" i="59" s="1"/>
  <c r="AS84" i="59" s="1"/>
  <c r="P65" i="58"/>
  <c r="O116" i="61"/>
  <c r="U66" i="58"/>
  <c r="AX70" i="59"/>
  <c r="Y22" i="61"/>
  <c r="X20" i="61"/>
  <c r="BB68" i="59" s="1"/>
  <c r="BB82" i="59" s="1"/>
  <c r="Y87" i="61"/>
  <c r="Y21" i="61" s="1"/>
  <c r="Y91" i="61"/>
  <c r="V24" i="60"/>
  <c r="U25" i="60"/>
  <c r="U26" i="60"/>
  <c r="AA57" i="59"/>
  <c r="Z107" i="61" s="1"/>
  <c r="Q57" i="59"/>
  <c r="P107" i="61" s="1"/>
  <c r="H57" i="59"/>
  <c r="G107" i="61" s="1"/>
  <c r="Z57" i="59"/>
  <c r="Y107" i="61" s="1"/>
  <c r="O57" i="59"/>
  <c r="N107" i="61" s="1"/>
  <c r="M57" i="59"/>
  <c r="L107" i="61" s="1"/>
  <c r="P57" i="59"/>
  <c r="O107" i="61" s="1"/>
  <c r="K57" i="59"/>
  <c r="J107" i="61" s="1"/>
  <c r="W57" i="59"/>
  <c r="V107" i="61" s="1"/>
  <c r="N57" i="59"/>
  <c r="M107" i="61" s="1"/>
  <c r="F57" i="59"/>
  <c r="E107" i="61" s="1"/>
  <c r="U57" i="59"/>
  <c r="T107" i="61" s="1"/>
  <c r="X57" i="59"/>
  <c r="W107" i="61" s="1"/>
  <c r="J57" i="59"/>
  <c r="I107" i="61" s="1"/>
  <c r="L57" i="59"/>
  <c r="K107" i="61" s="1"/>
  <c r="Y57" i="59"/>
  <c r="X107" i="61" s="1"/>
  <c r="T57" i="59"/>
  <c r="S107" i="61" s="1"/>
  <c r="S57" i="59"/>
  <c r="R107" i="61" s="1"/>
  <c r="I57" i="59"/>
  <c r="H107" i="61" s="1"/>
  <c r="AD57" i="59"/>
  <c r="AC107" i="61" s="1"/>
  <c r="AB57" i="59"/>
  <c r="AA107" i="61" s="1"/>
  <c r="V57" i="59"/>
  <c r="U107" i="61" s="1"/>
  <c r="AC57" i="59"/>
  <c r="AB107" i="61" s="1"/>
  <c r="R57" i="59"/>
  <c r="Q107" i="61" s="1"/>
  <c r="G57" i="59"/>
  <c r="F107" i="61" s="1"/>
  <c r="AE57" i="59"/>
  <c r="AD107" i="61" s="1"/>
  <c r="Z88" i="61"/>
  <c r="Y86" i="61"/>
  <c r="X115"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7" i="59"/>
  <c r="H53" i="59" s="1"/>
  <c r="V156" i="60"/>
  <c r="V167" i="59"/>
  <c r="X53" i="59" s="1"/>
  <c r="G156" i="60"/>
  <c r="G167" i="59"/>
  <c r="I53" i="59" s="1"/>
  <c r="Q275" i="60"/>
  <c r="Q276" i="60" s="1"/>
  <c r="R11" i="60" s="1"/>
  <c r="R44" i="60" s="1"/>
  <c r="N496" i="60"/>
  <c r="G659" i="60"/>
  <c r="G660" i="60" s="1"/>
  <c r="H19" i="60" s="1"/>
  <c r="H52" i="60" s="1"/>
  <c r="D155" i="60"/>
  <c r="D167" i="59"/>
  <c r="F53" i="59" s="1"/>
  <c r="L154" i="60"/>
  <c r="L167" i="59"/>
  <c r="N53" i="59" s="1"/>
  <c r="T154" i="60"/>
  <c r="T167" i="59"/>
  <c r="V53" i="59" s="1"/>
  <c r="AB154" i="60"/>
  <c r="AB167"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7" i="59"/>
  <c r="P53" i="59" s="1"/>
  <c r="Q323" i="60"/>
  <c r="Q324" i="60" s="1"/>
  <c r="R12" i="60" s="1"/>
  <c r="R45" i="60" s="1"/>
  <c r="P419" i="60"/>
  <c r="P420" i="60" s="1"/>
  <c r="Q14" i="60" s="1"/>
  <c r="Q47" i="60" s="1"/>
  <c r="E153" i="60"/>
  <c r="E167" i="59"/>
  <c r="G53" i="59" s="1"/>
  <c r="M153" i="60"/>
  <c r="M167" i="59"/>
  <c r="O53" i="59" s="1"/>
  <c r="U153" i="60"/>
  <c r="U167" i="59"/>
  <c r="W53" i="59" s="1"/>
  <c r="AC153" i="60"/>
  <c r="AC167"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72"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7" i="59"/>
  <c r="Y53" i="59" s="1"/>
  <c r="AC323" i="60"/>
  <c r="AC324" i="60" s="1"/>
  <c r="AD12" i="60" s="1"/>
  <c r="AD45" i="60" s="1"/>
  <c r="O400" i="60"/>
  <c r="Q640" i="60"/>
  <c r="C638" i="60"/>
  <c r="C635" i="60"/>
  <c r="H153" i="60"/>
  <c r="H167" i="59"/>
  <c r="J53" i="59" s="1"/>
  <c r="P153" i="60"/>
  <c r="P167" i="59"/>
  <c r="R53" i="59" s="1"/>
  <c r="X153" i="60"/>
  <c r="X167"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73"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7" i="59"/>
  <c r="Q53" i="59" s="1"/>
  <c r="F275" i="60"/>
  <c r="F276" i="60" s="1"/>
  <c r="G11" i="60" s="1"/>
  <c r="G44" i="60" s="1"/>
  <c r="C175" i="59"/>
  <c r="C538" i="60"/>
  <c r="N611" i="60"/>
  <c r="N612" i="60" s="1"/>
  <c r="O18" i="60" s="1"/>
  <c r="O51" i="60" s="1"/>
  <c r="C639" i="60"/>
  <c r="I155" i="60"/>
  <c r="I167" i="59"/>
  <c r="K53" i="59" s="1"/>
  <c r="Q155" i="60"/>
  <c r="Q167" i="59"/>
  <c r="S53" i="59" s="1"/>
  <c r="Y155" i="60"/>
  <c r="Y167"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73"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7" i="59"/>
  <c r="L53" i="59" s="1"/>
  <c r="R156" i="60"/>
  <c r="R167" i="59"/>
  <c r="T53" i="59" s="1"/>
  <c r="Z156" i="60"/>
  <c r="Z167"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73" i="59"/>
  <c r="P59" i="59" s="1"/>
  <c r="N444" i="60"/>
  <c r="N443" i="60"/>
  <c r="N442" i="60"/>
  <c r="N447" i="60"/>
  <c r="N445" i="60"/>
  <c r="N446" i="60"/>
  <c r="N441" i="60"/>
  <c r="AB496" i="60"/>
  <c r="E515" i="60"/>
  <c r="E516" i="60" s="1"/>
  <c r="F16" i="60" s="1"/>
  <c r="F49" i="60" s="1"/>
  <c r="S496" i="60"/>
  <c r="P515" i="60"/>
  <c r="P516" i="60" s="1"/>
  <c r="Q16" i="60" s="1"/>
  <c r="Q49" i="60" s="1"/>
  <c r="I496" i="60"/>
  <c r="H544" i="60"/>
  <c r="C176" i="59"/>
  <c r="C585" i="60"/>
  <c r="C588" i="60"/>
  <c r="V659" i="60"/>
  <c r="V660" i="60" s="1"/>
  <c r="W19" i="60" s="1"/>
  <c r="W52" i="60" s="1"/>
  <c r="C591" i="60"/>
  <c r="C541" i="60"/>
  <c r="D371" i="60"/>
  <c r="D372" i="60" s="1"/>
  <c r="E13" i="60" s="1"/>
  <c r="E46" i="60" s="1"/>
  <c r="F172" i="59"/>
  <c r="H58" i="59" s="1"/>
  <c r="F395" i="60"/>
  <c r="F399" i="60"/>
  <c r="F393" i="60"/>
  <c r="F396" i="60"/>
  <c r="F394" i="60"/>
  <c r="F398" i="60"/>
  <c r="F397" i="60"/>
  <c r="C177" i="59"/>
  <c r="C636" i="60"/>
  <c r="C637" i="60"/>
  <c r="K155" i="60"/>
  <c r="K167" i="59"/>
  <c r="M53" i="59" s="1"/>
  <c r="S155" i="60"/>
  <c r="S167" i="59"/>
  <c r="U53" i="59" s="1"/>
  <c r="AA155" i="60"/>
  <c r="AA167" i="59"/>
  <c r="AC53" i="59" s="1"/>
  <c r="L275" i="60"/>
  <c r="L276" i="60" s="1"/>
  <c r="M11" i="60" s="1"/>
  <c r="M44" i="60" s="1"/>
  <c r="U275" i="60"/>
  <c r="U276" i="60" s="1"/>
  <c r="V11" i="60" s="1"/>
  <c r="V44" i="60" s="1"/>
  <c r="C251" i="60"/>
  <c r="C169"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73" i="59"/>
  <c r="H59" i="59" s="1"/>
  <c r="F444" i="60"/>
  <c r="F442" i="60"/>
  <c r="F447" i="60"/>
  <c r="F441" i="60"/>
  <c r="F446" i="60"/>
  <c r="F443" i="60"/>
  <c r="F445" i="60"/>
  <c r="S515" i="60"/>
  <c r="S516" i="60" s="1"/>
  <c r="T16" i="60" s="1"/>
  <c r="T49" i="60" s="1"/>
  <c r="M496" i="60"/>
  <c r="J496" i="60"/>
  <c r="K659" i="60"/>
  <c r="K660" i="60" s="1"/>
  <c r="L19" i="60" s="1"/>
  <c r="L52" i="60" s="1"/>
  <c r="C445" i="60"/>
  <c r="C443" i="60"/>
  <c r="C201" i="60"/>
  <c r="C168" i="59"/>
  <c r="G106" i="60"/>
  <c r="G166" i="59"/>
  <c r="I52" i="59" s="1"/>
  <c r="W106" i="60"/>
  <c r="W166" i="59"/>
  <c r="Y52" i="59" s="1"/>
  <c r="V106" i="60"/>
  <c r="V166" i="59"/>
  <c r="X52" i="59" s="1"/>
  <c r="N106" i="60"/>
  <c r="N166" i="59"/>
  <c r="P52" i="59" s="1"/>
  <c r="F106" i="60"/>
  <c r="F166" i="59"/>
  <c r="H52" i="59" s="1"/>
  <c r="AC107" i="60"/>
  <c r="AC166" i="59"/>
  <c r="AE52" i="59" s="1"/>
  <c r="U107" i="60"/>
  <c r="U166" i="59"/>
  <c r="W52" i="59" s="1"/>
  <c r="M107" i="60"/>
  <c r="M166" i="59"/>
  <c r="O52" i="59" s="1"/>
  <c r="E107" i="60"/>
  <c r="E166" i="59"/>
  <c r="G52" i="59" s="1"/>
  <c r="AB107" i="60"/>
  <c r="AB166" i="59"/>
  <c r="AD52" i="59" s="1"/>
  <c r="T107" i="60"/>
  <c r="T166" i="59"/>
  <c r="V52" i="59" s="1"/>
  <c r="L107" i="60"/>
  <c r="L166" i="59"/>
  <c r="N52" i="59" s="1"/>
  <c r="AA106" i="60"/>
  <c r="AA166" i="59"/>
  <c r="AC52" i="59" s="1"/>
  <c r="S106" i="60"/>
  <c r="S166" i="59"/>
  <c r="U52" i="59" s="1"/>
  <c r="K106" i="60"/>
  <c r="K166" i="59"/>
  <c r="M52" i="59" s="1"/>
  <c r="O106" i="60"/>
  <c r="O166" i="59"/>
  <c r="Q52" i="59" s="1"/>
  <c r="D107" i="60"/>
  <c r="D166" i="59"/>
  <c r="F52" i="59" s="1"/>
  <c r="Z107" i="60"/>
  <c r="Z166" i="59"/>
  <c r="AB52" i="59" s="1"/>
  <c r="R107" i="60"/>
  <c r="R166" i="59"/>
  <c r="T52" i="59" s="1"/>
  <c r="J107" i="60"/>
  <c r="J166" i="59"/>
  <c r="L52" i="59" s="1"/>
  <c r="Y107" i="60"/>
  <c r="Y166" i="59"/>
  <c r="AA52" i="59" s="1"/>
  <c r="Q107" i="60"/>
  <c r="Q166" i="59"/>
  <c r="S52" i="59" s="1"/>
  <c r="I107" i="60"/>
  <c r="I166" i="59"/>
  <c r="K52" i="59" s="1"/>
  <c r="X109" i="60"/>
  <c r="X166" i="59"/>
  <c r="Z52" i="59" s="1"/>
  <c r="P109" i="60"/>
  <c r="P166" i="59"/>
  <c r="R52" i="59" s="1"/>
  <c r="H109" i="60"/>
  <c r="H166"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80" i="59"/>
  <c r="G69" i="59" s="1"/>
  <c r="E69" i="59" s="1"/>
  <c r="V66" i="58" l="1"/>
  <c r="AY70" i="59"/>
  <c r="AT69" i="59"/>
  <c r="AT83" i="59" s="1"/>
  <c r="AT84" i="59" s="1"/>
  <c r="Q65" i="58"/>
  <c r="P116" i="61"/>
  <c r="Y20" i="61"/>
  <c r="BC68" i="59" s="1"/>
  <c r="BC82" i="59" s="1"/>
  <c r="Z22" i="61"/>
  <c r="Z91" i="61"/>
  <c r="Z87" i="61"/>
  <c r="Z21" i="61" s="1"/>
  <c r="V26" i="60"/>
  <c r="V25" i="60"/>
  <c r="W24" i="60"/>
  <c r="E57" i="59"/>
  <c r="Z86" i="61"/>
  <c r="Y115" i="61"/>
  <c r="AA88"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7" i="59"/>
  <c r="F400" i="60"/>
  <c r="C563" i="60"/>
  <c r="C467" i="60"/>
  <c r="C468" i="60" s="1"/>
  <c r="D15" i="60" s="1"/>
  <c r="D48" i="60" s="1"/>
  <c r="F496" i="60"/>
  <c r="C172" i="59"/>
  <c r="C395" i="60"/>
  <c r="C397" i="60"/>
  <c r="C398" i="60"/>
  <c r="C393" i="60"/>
  <c r="C394" i="60"/>
  <c r="C396" i="60"/>
  <c r="V515" i="60"/>
  <c r="V516" i="60" s="1"/>
  <c r="W16" i="60" s="1"/>
  <c r="W49" i="60" s="1"/>
  <c r="C448" i="60"/>
  <c r="C659" i="60"/>
  <c r="N400" i="60"/>
  <c r="C611" i="60"/>
  <c r="C592" i="60"/>
  <c r="N448" i="60"/>
  <c r="C106" i="60"/>
  <c r="C166"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AU69" i="59" l="1"/>
  <c r="AU83" i="59" s="1"/>
  <c r="AU84" i="59" s="1"/>
  <c r="R65" i="58"/>
  <c r="Q116" i="61"/>
  <c r="W66" i="58"/>
  <c r="AZ70" i="59"/>
  <c r="AA22" i="61"/>
  <c r="Z20" i="61"/>
  <c r="BD68" i="59" s="1"/>
  <c r="BD82" i="59" s="1"/>
  <c r="AA87" i="61"/>
  <c r="AA21" i="61" s="1"/>
  <c r="AA91" i="61"/>
  <c r="X24" i="60"/>
  <c r="W25" i="60"/>
  <c r="W26" i="60"/>
  <c r="D107" i="61"/>
  <c r="AB88" i="61"/>
  <c r="AA86" i="61"/>
  <c r="Z115"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8" i="59"/>
  <c r="B209" i="59"/>
  <c r="B210" i="59"/>
  <c r="B211" i="59"/>
  <c r="B148"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E23" i="60"/>
  <c r="A22" i="60"/>
  <c r="A55" i="60" s="1"/>
  <c r="A23" i="60"/>
  <c r="A56" i="60" s="1"/>
  <c r="A21" i="60"/>
  <c r="A54" i="60" s="1"/>
  <c r="F116" i="61"/>
  <c r="D116" i="61"/>
  <c r="E179" i="59"/>
  <c r="E48" i="59"/>
  <c r="D46" i="58" s="1"/>
  <c r="D6" i="58" s="1"/>
  <c r="C69" i="59"/>
  <c r="C68" i="59"/>
  <c r="A69" i="59"/>
  <c r="A117" i="59" s="1"/>
  <c r="A70" i="59"/>
  <c r="A118" i="59" s="1"/>
  <c r="A68" i="59"/>
  <c r="A116" i="59" s="1"/>
  <c r="X66" i="58" l="1"/>
  <c r="BA70" i="59"/>
  <c r="AV69" i="59"/>
  <c r="AV83" i="59" s="1"/>
  <c r="AV84" i="59" s="1"/>
  <c r="S65" i="58"/>
  <c r="R116" i="61"/>
  <c r="AB22" i="61"/>
  <c r="AA20" i="61"/>
  <c r="BE68" i="59" s="1"/>
  <c r="BE82" i="59" s="1"/>
  <c r="AB91" i="61"/>
  <c r="AB87" i="61"/>
  <c r="AB21" i="61" s="1"/>
  <c r="G68" i="59"/>
  <c r="E68" i="59" s="1"/>
  <c r="X26" i="60"/>
  <c r="F23" i="60"/>
  <c r="X25" i="60"/>
  <c r="Y24" i="60"/>
  <c r="B75" i="43"/>
  <c r="B116" i="61"/>
  <c r="B87" i="61"/>
  <c r="B117" i="61"/>
  <c r="B88" i="61"/>
  <c r="AB86" i="61"/>
  <c r="AA115" i="61"/>
  <c r="B115" i="61"/>
  <c r="B86" i="61"/>
  <c r="AC88" i="61"/>
  <c r="C179"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64" i="59"/>
  <c r="E164" i="59"/>
  <c r="F164" i="59"/>
  <c r="G164" i="59"/>
  <c r="H164" i="59"/>
  <c r="I164" i="59"/>
  <c r="J164" i="59"/>
  <c r="K164" i="59"/>
  <c r="L164" i="59"/>
  <c r="M164" i="59"/>
  <c r="N164" i="59"/>
  <c r="O164" i="59"/>
  <c r="P164" i="59"/>
  <c r="Q164" i="59"/>
  <c r="R164" i="59"/>
  <c r="S164" i="59"/>
  <c r="T164" i="59"/>
  <c r="U164" i="59"/>
  <c r="V164" i="59"/>
  <c r="W164" i="59"/>
  <c r="X164" i="59"/>
  <c r="Y164" i="59"/>
  <c r="Z164" i="59"/>
  <c r="AA164" i="59"/>
  <c r="AB164" i="59"/>
  <c r="AC164" i="59"/>
  <c r="C164" i="59"/>
  <c r="C122" i="43"/>
  <c r="C123" i="43"/>
  <c r="C124" i="43"/>
  <c r="C125" i="43"/>
  <c r="C126" i="43"/>
  <c r="C127" i="43"/>
  <c r="C148" i="43"/>
  <c r="E307" i="43" s="1"/>
  <c r="C139" i="43"/>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AW69" i="59" l="1"/>
  <c r="AW83" i="59" s="1"/>
  <c r="AW84" i="59" s="1"/>
  <c r="T65" i="58"/>
  <c r="S116" i="61"/>
  <c r="Y66" i="58"/>
  <c r="BB70" i="59"/>
  <c r="AB20" i="61"/>
  <c r="BF68" i="59" s="1"/>
  <c r="BF82" i="59" s="1"/>
  <c r="AC22" i="61"/>
  <c r="AC87" i="61"/>
  <c r="AC21" i="61" s="1"/>
  <c r="AC91" i="61"/>
  <c r="E304" i="43"/>
  <c r="E305" i="43"/>
  <c r="E306" i="43"/>
  <c r="E314" i="43"/>
  <c r="C340" i="43" s="1"/>
  <c r="C372" i="43" s="1"/>
  <c r="E313" i="43"/>
  <c r="C339" i="43" s="1"/>
  <c r="W339" i="43" s="1"/>
  <c r="W358" i="43" s="1"/>
  <c r="F115" i="61"/>
  <c r="V46" i="58"/>
  <c r="V6" i="58" s="1"/>
  <c r="AB46" i="58"/>
  <c r="AB6" i="58" s="1"/>
  <c r="T46" i="58"/>
  <c r="T6" i="58" s="1"/>
  <c r="L46" i="58"/>
  <c r="L6" i="58" s="1"/>
  <c r="AA46" i="58"/>
  <c r="AA6" i="58" s="1"/>
  <c r="S46" i="58"/>
  <c r="S6" i="58" s="1"/>
  <c r="K46" i="58"/>
  <c r="K6" i="58" s="1"/>
  <c r="U46" i="58"/>
  <c r="U6" i="58" s="1"/>
  <c r="Z46" i="58"/>
  <c r="Z6" i="58" s="1"/>
  <c r="R46" i="58"/>
  <c r="R6" i="58" s="1"/>
  <c r="J46" i="58"/>
  <c r="J6" i="58" s="1"/>
  <c r="F46" i="58"/>
  <c r="F6" i="58" s="1"/>
  <c r="AC46" i="58"/>
  <c r="AC6" i="58" s="1"/>
  <c r="Y46" i="58"/>
  <c r="Y6" i="58" s="1"/>
  <c r="Q46" i="58"/>
  <c r="Q6" i="58" s="1"/>
  <c r="I46" i="58"/>
  <c r="I6" i="58" s="1"/>
  <c r="X46" i="58"/>
  <c r="X6" i="58" s="1"/>
  <c r="P46" i="58"/>
  <c r="P6" i="58" s="1"/>
  <c r="H46" i="58"/>
  <c r="H6" i="58" s="1"/>
  <c r="AD46" i="58"/>
  <c r="AD6" i="58" s="1"/>
  <c r="N46" i="58"/>
  <c r="N6" i="58" s="1"/>
  <c r="M46" i="58"/>
  <c r="M6" i="58" s="1"/>
  <c r="E46" i="58"/>
  <c r="E6" i="58" s="1"/>
  <c r="W46" i="58"/>
  <c r="W6" i="58" s="1"/>
  <c r="O46" i="58"/>
  <c r="O6" i="58" s="1"/>
  <c r="G46" i="58"/>
  <c r="G6" i="58" s="1"/>
  <c r="Z24" i="60"/>
  <c r="Y26" i="60"/>
  <c r="Y25" i="60"/>
  <c r="G23" i="60"/>
  <c r="D115" i="61"/>
  <c r="AD88" i="61"/>
  <c r="AC86" i="61"/>
  <c r="AB115" i="61"/>
  <c r="C130" i="43"/>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8" i="59"/>
  <c r="D235" i="59" s="1"/>
  <c r="A66" i="59"/>
  <c r="A114" i="59" s="1"/>
  <c r="AD113" i="61"/>
  <c r="AC113" i="61"/>
  <c r="AB113" i="61"/>
  <c r="AA113" i="61"/>
  <c r="Z113" i="61"/>
  <c r="Y113" i="61"/>
  <c r="X113" i="61"/>
  <c r="W113" i="61"/>
  <c r="V113" i="61"/>
  <c r="U113" i="61"/>
  <c r="T113" i="61"/>
  <c r="S113" i="61"/>
  <c r="R113" i="61"/>
  <c r="Q113" i="61"/>
  <c r="P113" i="61"/>
  <c r="O113" i="61"/>
  <c r="N113" i="61"/>
  <c r="M113" i="61"/>
  <c r="L113" i="61"/>
  <c r="K113" i="61"/>
  <c r="J113" i="61"/>
  <c r="I113" i="61"/>
  <c r="H113" i="61"/>
  <c r="G113" i="61"/>
  <c r="F113" i="61"/>
  <c r="E113" i="61"/>
  <c r="A64" i="59"/>
  <c r="A112" i="59" s="1"/>
  <c r="AD112" i="61"/>
  <c r="AC112" i="61"/>
  <c r="AB112" i="61"/>
  <c r="AA112" i="61"/>
  <c r="Z112" i="61"/>
  <c r="Y112" i="61"/>
  <c r="X112" i="61"/>
  <c r="W112" i="61"/>
  <c r="V112" i="61"/>
  <c r="U112" i="61"/>
  <c r="T112" i="61"/>
  <c r="S112" i="61"/>
  <c r="R112" i="61"/>
  <c r="Q112" i="61"/>
  <c r="P112" i="61"/>
  <c r="O112" i="61"/>
  <c r="N112" i="61"/>
  <c r="M112" i="61"/>
  <c r="L112" i="61"/>
  <c r="K112" i="61"/>
  <c r="J112" i="61"/>
  <c r="I112" i="61"/>
  <c r="H112" i="61"/>
  <c r="G112" i="61"/>
  <c r="F112" i="61"/>
  <c r="E112" i="61"/>
  <c r="A63" i="59"/>
  <c r="A111" i="59" s="1"/>
  <c r="AD111" i="61"/>
  <c r="AC111" i="61"/>
  <c r="AB111" i="61"/>
  <c r="AA111" i="61"/>
  <c r="Z111" i="61"/>
  <c r="Y111" i="61"/>
  <c r="X111" i="61"/>
  <c r="W111" i="61"/>
  <c r="V111" i="61"/>
  <c r="U111" i="61"/>
  <c r="T111" i="61"/>
  <c r="S111" i="61"/>
  <c r="R111" i="61"/>
  <c r="Q111" i="61"/>
  <c r="P111" i="61"/>
  <c r="O111" i="61"/>
  <c r="N111" i="61"/>
  <c r="M111" i="61"/>
  <c r="L111" i="61"/>
  <c r="K111" i="61"/>
  <c r="J111" i="61"/>
  <c r="I111" i="61"/>
  <c r="H111" i="61"/>
  <c r="G111" i="61"/>
  <c r="F111" i="61"/>
  <c r="E111" i="61"/>
  <c r="A62" i="59"/>
  <c r="A110" i="59" s="1"/>
  <c r="C60" i="59"/>
  <c r="A60" i="59"/>
  <c r="A108" i="59" s="1"/>
  <c r="C59" i="59"/>
  <c r="A59" i="59"/>
  <c r="A107" i="59" s="1"/>
  <c r="C58" i="59"/>
  <c r="A58" i="59"/>
  <c r="A106" i="59" s="1"/>
  <c r="A56" i="59"/>
  <c r="A104" i="59" s="1"/>
  <c r="A55" i="59"/>
  <c r="A103" i="59" s="1"/>
  <c r="A54" i="59"/>
  <c r="A102" i="59" s="1"/>
  <c r="AD103" i="61"/>
  <c r="AC103" i="61"/>
  <c r="AB103" i="61"/>
  <c r="AA103" i="61"/>
  <c r="Z103" i="61"/>
  <c r="Y103" i="61"/>
  <c r="X103" i="61"/>
  <c r="W103" i="61"/>
  <c r="V103" i="61"/>
  <c r="U103" i="61"/>
  <c r="T103" i="61"/>
  <c r="S103" i="61"/>
  <c r="R103" i="61"/>
  <c r="Q103" i="61"/>
  <c r="P103" i="61"/>
  <c r="O103" i="61"/>
  <c r="N103" i="61"/>
  <c r="M103" i="61"/>
  <c r="L103" i="61"/>
  <c r="K103" i="61"/>
  <c r="J103" i="61"/>
  <c r="I103" i="61"/>
  <c r="H103" i="61"/>
  <c r="G103" i="61"/>
  <c r="F103" i="61"/>
  <c r="E103" i="61"/>
  <c r="A53" i="59"/>
  <c r="A101" i="59" s="1"/>
  <c r="AD102" i="61"/>
  <c r="AC102" i="61"/>
  <c r="AB102" i="61"/>
  <c r="AA102" i="61"/>
  <c r="Z102" i="61"/>
  <c r="Y102" i="61"/>
  <c r="X102" i="61"/>
  <c r="W102" i="61"/>
  <c r="V102" i="61"/>
  <c r="U102" i="61"/>
  <c r="T102" i="61"/>
  <c r="S102" i="61"/>
  <c r="R102" i="61"/>
  <c r="Q102" i="61"/>
  <c r="P102" i="61"/>
  <c r="O102" i="61"/>
  <c r="N102" i="61"/>
  <c r="M102" i="61"/>
  <c r="L102" i="61"/>
  <c r="K102" i="61"/>
  <c r="J102" i="61"/>
  <c r="I102" i="61"/>
  <c r="H102" i="61"/>
  <c r="G102" i="61"/>
  <c r="F102" i="61"/>
  <c r="E102" i="61"/>
  <c r="A52" i="59"/>
  <c r="A100" i="59" s="1"/>
  <c r="A50" i="59"/>
  <c r="A98" i="59" s="1"/>
  <c r="C9" i="59"/>
  <c r="B9" i="59"/>
  <c r="AA110" i="61"/>
  <c r="M90" i="58"/>
  <c r="Z66" i="58" l="1"/>
  <c r="BC70" i="59"/>
  <c r="AX69" i="59"/>
  <c r="AX83" i="59" s="1"/>
  <c r="AX84" i="59" s="1"/>
  <c r="U65" i="58"/>
  <c r="T116" i="61"/>
  <c r="AC20" i="61"/>
  <c r="BG68" i="59" s="1"/>
  <c r="BG82" i="59" s="1"/>
  <c r="AD22" i="61"/>
  <c r="C358" i="43"/>
  <c r="AD91" i="61"/>
  <c r="AD87" i="61"/>
  <c r="F306" i="43"/>
  <c r="C349" i="43"/>
  <c r="C389" i="43" s="1"/>
  <c r="F305" i="43"/>
  <c r="C348" i="43"/>
  <c r="C375" i="43" s="1"/>
  <c r="F304" i="43"/>
  <c r="C347" i="43"/>
  <c r="C361" i="43" s="1"/>
  <c r="C341" i="43"/>
  <c r="F313" i="43"/>
  <c r="F314" i="43"/>
  <c r="F22" i="60"/>
  <c r="E55" i="60"/>
  <c r="H23" i="60"/>
  <c r="F20" i="60"/>
  <c r="E53" i="60"/>
  <c r="Z25" i="60"/>
  <c r="F21" i="60"/>
  <c r="E54" i="60"/>
  <c r="Z26" i="60"/>
  <c r="AA24" i="60"/>
  <c r="D3" i="61"/>
  <c r="D37" i="60"/>
  <c r="B108" i="61"/>
  <c r="B79" i="61"/>
  <c r="B85" i="61"/>
  <c r="B114" i="61"/>
  <c r="B84" i="61"/>
  <c r="B113" i="61"/>
  <c r="B83" i="61"/>
  <c r="B112" i="61"/>
  <c r="B77" i="61"/>
  <c r="B106" i="61"/>
  <c r="B76" i="61"/>
  <c r="B105" i="61"/>
  <c r="AD86" i="61"/>
  <c r="AC115" i="61"/>
  <c r="B110" i="61"/>
  <c r="B81" i="61"/>
  <c r="B109" i="61"/>
  <c r="B80" i="61"/>
  <c r="B75" i="61"/>
  <c r="B104" i="61"/>
  <c r="B72" i="61"/>
  <c r="B101" i="61"/>
  <c r="B74" i="61"/>
  <c r="B103" i="61"/>
  <c r="B102" i="61"/>
  <c r="B73" i="61"/>
  <c r="B82" i="61"/>
  <c r="B111"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101" i="61"/>
  <c r="E53" i="59"/>
  <c r="B71" i="43" s="1"/>
  <c r="E64" i="59"/>
  <c r="B98" i="43" s="1"/>
  <c r="E52" i="59"/>
  <c r="B70" i="43" s="1"/>
  <c r="E62" i="59"/>
  <c r="E63" i="59"/>
  <c r="D230" i="59"/>
  <c r="D236" i="59"/>
  <c r="D237" i="59"/>
  <c r="F104" i="61"/>
  <c r="D228" i="59"/>
  <c r="E110" i="61"/>
  <c r="D229" i="59"/>
  <c r="D231" i="59"/>
  <c r="D232" i="59"/>
  <c r="D233" i="59"/>
  <c r="D234" i="59"/>
  <c r="W104" i="61"/>
  <c r="AB104" i="61"/>
  <c r="AC105" i="61"/>
  <c r="M110" i="61"/>
  <c r="J105" i="61"/>
  <c r="K106" i="61"/>
  <c r="AA106" i="61"/>
  <c r="O109" i="61"/>
  <c r="W109" i="61"/>
  <c r="G104" i="61"/>
  <c r="M105" i="61"/>
  <c r="I108" i="61"/>
  <c r="U110" i="61"/>
  <c r="L104" i="61"/>
  <c r="R105" i="61"/>
  <c r="Q108" i="61"/>
  <c r="AC110" i="61"/>
  <c r="O104" i="61"/>
  <c r="U105" i="61"/>
  <c r="Y108" i="61"/>
  <c r="T104" i="61"/>
  <c r="Z105" i="61"/>
  <c r="G109" i="61"/>
  <c r="E105" i="61"/>
  <c r="S106" i="61"/>
  <c r="N104" i="61"/>
  <c r="V104" i="61"/>
  <c r="AD104" i="61"/>
  <c r="L105" i="61"/>
  <c r="T105" i="61"/>
  <c r="AB105" i="61"/>
  <c r="J106" i="61"/>
  <c r="R106" i="61"/>
  <c r="Z106" i="61"/>
  <c r="H108" i="61"/>
  <c r="P108" i="61"/>
  <c r="X108" i="61"/>
  <c r="F109" i="61"/>
  <c r="N109" i="61"/>
  <c r="V109" i="61"/>
  <c r="AD109" i="61"/>
  <c r="L110" i="61"/>
  <c r="T110" i="61"/>
  <c r="AB110" i="61"/>
  <c r="H104" i="61"/>
  <c r="P104" i="61"/>
  <c r="X104" i="61"/>
  <c r="F105" i="61"/>
  <c r="N105" i="61"/>
  <c r="V105" i="61"/>
  <c r="AD105" i="61"/>
  <c r="L106" i="61"/>
  <c r="T106" i="61"/>
  <c r="AB106" i="61"/>
  <c r="J108" i="61"/>
  <c r="R108" i="61"/>
  <c r="Z108" i="61"/>
  <c r="H109" i="61"/>
  <c r="P109" i="61"/>
  <c r="X109" i="61"/>
  <c r="F110" i="61"/>
  <c r="N110" i="61"/>
  <c r="V110" i="61"/>
  <c r="AD110" i="61"/>
  <c r="I104" i="61"/>
  <c r="Q104" i="61"/>
  <c r="Y104" i="61"/>
  <c r="G105" i="61"/>
  <c r="O105" i="61"/>
  <c r="W105" i="61"/>
  <c r="E106" i="61"/>
  <c r="M106" i="61"/>
  <c r="U106" i="61"/>
  <c r="AC106" i="61"/>
  <c r="K108" i="61"/>
  <c r="S108" i="61"/>
  <c r="AA108" i="61"/>
  <c r="I109" i="61"/>
  <c r="Q109" i="61"/>
  <c r="Y109" i="61"/>
  <c r="G110" i="61"/>
  <c r="O110" i="61"/>
  <c r="W110" i="61"/>
  <c r="J104" i="61"/>
  <c r="R104" i="61"/>
  <c r="Z104" i="61"/>
  <c r="H105" i="61"/>
  <c r="P105" i="61"/>
  <c r="X105" i="61"/>
  <c r="F106" i="61"/>
  <c r="N106" i="61"/>
  <c r="V106" i="61"/>
  <c r="AD106" i="61"/>
  <c r="L108" i="61"/>
  <c r="T108" i="61"/>
  <c r="AB108" i="61"/>
  <c r="J109" i="61"/>
  <c r="R109" i="61"/>
  <c r="Z109" i="61"/>
  <c r="H110" i="61"/>
  <c r="P110" i="61"/>
  <c r="X110" i="61"/>
  <c r="K104" i="61"/>
  <c r="S104" i="61"/>
  <c r="AA104" i="61"/>
  <c r="I105" i="61"/>
  <c r="Q105" i="61"/>
  <c r="Y105" i="61"/>
  <c r="G106" i="61"/>
  <c r="O106" i="61"/>
  <c r="W106" i="61"/>
  <c r="E108" i="61"/>
  <c r="M108" i="61"/>
  <c r="U108" i="61"/>
  <c r="AC108" i="61"/>
  <c r="K109" i="61"/>
  <c r="S109" i="61"/>
  <c r="AA109" i="61"/>
  <c r="I110" i="61"/>
  <c r="Q110" i="61"/>
  <c r="Y110" i="61"/>
  <c r="H106" i="61"/>
  <c r="P106" i="61"/>
  <c r="X106" i="61"/>
  <c r="F108" i="61"/>
  <c r="N108" i="61"/>
  <c r="V108" i="61"/>
  <c r="AD108" i="61"/>
  <c r="L109" i="61"/>
  <c r="T109" i="61"/>
  <c r="AB109" i="61"/>
  <c r="J110" i="61"/>
  <c r="R110" i="61"/>
  <c r="Z110" i="61"/>
  <c r="E104" i="61"/>
  <c r="M104" i="61"/>
  <c r="U104" i="61"/>
  <c r="AC104" i="61"/>
  <c r="K105" i="61"/>
  <c r="S105" i="61"/>
  <c r="AA105" i="61"/>
  <c r="I106" i="61"/>
  <c r="Q106" i="61"/>
  <c r="Y106" i="61"/>
  <c r="G108" i="61"/>
  <c r="O108" i="61"/>
  <c r="W108" i="61"/>
  <c r="E109" i="61"/>
  <c r="M109" i="61"/>
  <c r="U109" i="61"/>
  <c r="AC109" i="61"/>
  <c r="K110" i="61"/>
  <c r="S110" i="61"/>
  <c r="E63" i="58"/>
  <c r="E50" i="58"/>
  <c r="D139" i="43" s="1"/>
  <c r="D339" i="43" s="1"/>
  <c r="D358" i="43" s="1"/>
  <c r="B97" i="43" l="1"/>
  <c r="AH63" i="59"/>
  <c r="B96" i="43"/>
  <c r="AH62" i="59"/>
  <c r="AH80" i="59" s="1"/>
  <c r="AH84" i="59" s="1"/>
  <c r="AY69" i="59"/>
  <c r="AY83" i="59" s="1"/>
  <c r="AY84" i="59" s="1"/>
  <c r="V65" i="58"/>
  <c r="U116" i="61"/>
  <c r="AA66" i="58"/>
  <c r="BD70" i="59"/>
  <c r="AD21" i="61"/>
  <c r="AD20" i="61"/>
  <c r="BH68" i="59" s="1"/>
  <c r="BH82" i="59" s="1"/>
  <c r="F307" i="43"/>
  <c r="D347" i="43"/>
  <c r="D361" i="43" s="1"/>
  <c r="D348" i="43"/>
  <c r="D375" i="43" s="1"/>
  <c r="D349" i="43"/>
  <c r="D340" i="43"/>
  <c r="D372" i="43" s="1"/>
  <c r="D100" i="61"/>
  <c r="D37" i="61"/>
  <c r="D71" i="61"/>
  <c r="AA25" i="60"/>
  <c r="AB24" i="60"/>
  <c r="G20" i="60"/>
  <c r="F53" i="60"/>
  <c r="AA26" i="60"/>
  <c r="I23" i="60"/>
  <c r="G21" i="60"/>
  <c r="F54" i="60"/>
  <c r="G22" i="60"/>
  <c r="F55" i="60"/>
  <c r="D102" i="61"/>
  <c r="D103" i="61"/>
  <c r="D113" i="61"/>
  <c r="D112" i="61"/>
  <c r="D111" i="61"/>
  <c r="AD115"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63" i="58"/>
  <c r="E59" i="59"/>
  <c r="B77" i="43" s="1"/>
  <c r="E60" i="59"/>
  <c r="B78" i="43" s="1"/>
  <c r="E55" i="59"/>
  <c r="B73" i="43" s="1"/>
  <c r="E56" i="59"/>
  <c r="B74" i="43" s="1"/>
  <c r="E58" i="59"/>
  <c r="B76" i="43" s="1"/>
  <c r="E54" i="59"/>
  <c r="B72" i="43" s="1"/>
  <c r="F50" i="58"/>
  <c r="E139" i="43" s="1"/>
  <c r="J98" i="58"/>
  <c r="I98" i="58"/>
  <c r="H98" i="58"/>
  <c r="G98" i="58"/>
  <c r="F98" i="58"/>
  <c r="E98" i="58"/>
  <c r="D98" i="58"/>
  <c r="C98" i="58"/>
  <c r="A63" i="58"/>
  <c r="A61" i="58"/>
  <c r="A62" i="58"/>
  <c r="A60" i="58"/>
  <c r="A59" i="58"/>
  <c r="A58" i="58"/>
  <c r="A52" i="58"/>
  <c r="A53" i="58"/>
  <c r="A54" i="58"/>
  <c r="A55" i="58"/>
  <c r="A57" i="58"/>
  <c r="A51" i="58"/>
  <c r="A50" i="58"/>
  <c r="AB66" i="58" l="1"/>
  <c r="BE70" i="59"/>
  <c r="AZ69" i="59"/>
  <c r="AZ83" i="59" s="1"/>
  <c r="AZ84" i="59" s="1"/>
  <c r="W65" i="58"/>
  <c r="V116" i="61"/>
  <c r="E340" i="43"/>
  <c r="E372" i="43" s="1"/>
  <c r="E339" i="43"/>
  <c r="E358" i="43" s="1"/>
  <c r="AB26" i="60"/>
  <c r="H22" i="60"/>
  <c r="G55" i="60"/>
  <c r="H20" i="60"/>
  <c r="G53" i="60"/>
  <c r="H21" i="60"/>
  <c r="G54" i="60"/>
  <c r="AC24" i="60"/>
  <c r="J23" i="60"/>
  <c r="AB25" i="60"/>
  <c r="B100" i="43"/>
  <c r="D96" i="43" s="1"/>
  <c r="D104" i="61"/>
  <c r="D108" i="61"/>
  <c r="D105" i="61"/>
  <c r="D106" i="61"/>
  <c r="D110" i="61"/>
  <c r="D109" i="61"/>
  <c r="K118" i="61"/>
  <c r="K119" i="61"/>
  <c r="H119" i="61"/>
  <c r="H118" i="61"/>
  <c r="G118" i="61"/>
  <c r="G119" i="61"/>
  <c r="AD119" i="61"/>
  <c r="AD118" i="61"/>
  <c r="U118" i="61"/>
  <c r="U119" i="61"/>
  <c r="J118" i="61"/>
  <c r="J119" i="61"/>
  <c r="F119" i="61"/>
  <c r="F118" i="61"/>
  <c r="E118" i="61"/>
  <c r="E119" i="61"/>
  <c r="AB118" i="61"/>
  <c r="AB119" i="61"/>
  <c r="W119" i="61"/>
  <c r="W118" i="61"/>
  <c r="O118" i="61"/>
  <c r="O119" i="61"/>
  <c r="Y119" i="61"/>
  <c r="Y118" i="61"/>
  <c r="P119" i="61"/>
  <c r="P118" i="61"/>
  <c r="Q119" i="61"/>
  <c r="Q118" i="61"/>
  <c r="R118" i="61"/>
  <c r="R119" i="61"/>
  <c r="AA118" i="61"/>
  <c r="AA119" i="61"/>
  <c r="S118" i="61"/>
  <c r="S119" i="61"/>
  <c r="Z118" i="61"/>
  <c r="Z119" i="61"/>
  <c r="L118" i="61"/>
  <c r="L119" i="61"/>
  <c r="X119" i="61"/>
  <c r="X118" i="61"/>
  <c r="V118" i="61"/>
  <c r="V119" i="61"/>
  <c r="N118" i="61"/>
  <c r="N119" i="61"/>
  <c r="M118" i="61"/>
  <c r="M119" i="61"/>
  <c r="I119" i="61"/>
  <c r="I118" i="61"/>
  <c r="T118" i="61"/>
  <c r="T119" i="61"/>
  <c r="AC118" i="61"/>
  <c r="AC119" i="61"/>
  <c r="C580" i="43"/>
  <c r="C581" i="43" s="1"/>
  <c r="D471" i="43"/>
  <c r="M91" i="58"/>
  <c r="D6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63" i="58"/>
  <c r="E148" i="43"/>
  <c r="G50" i="58"/>
  <c r="F139" i="43" s="1"/>
  <c r="BA69" i="59" l="1"/>
  <c r="BA83" i="59" s="1"/>
  <c r="BA84" i="59" s="1"/>
  <c r="W116" i="61"/>
  <c r="X65" i="58"/>
  <c r="AC66" i="58"/>
  <c r="BF70" i="59"/>
  <c r="E347" i="43"/>
  <c r="E361" i="43" s="1"/>
  <c r="E348" i="43"/>
  <c r="E375" i="43" s="1"/>
  <c r="E349" i="43"/>
  <c r="F340" i="43"/>
  <c r="F372" i="43" s="1"/>
  <c r="F339" i="43"/>
  <c r="F358" i="43" s="1"/>
  <c r="I21" i="60"/>
  <c r="H54" i="60"/>
  <c r="AC25" i="60"/>
  <c r="I20" i="60"/>
  <c r="H53" i="60"/>
  <c r="K23" i="60"/>
  <c r="I22" i="60"/>
  <c r="H55" i="60"/>
  <c r="AD24" i="60"/>
  <c r="AC26" i="60"/>
  <c r="B79" i="43"/>
  <c r="D70" i="43" s="1"/>
  <c r="D118" i="61"/>
  <c r="D119" i="61"/>
  <c r="C471" i="43"/>
  <c r="D59" i="58"/>
  <c r="E59" i="58" s="1"/>
  <c r="F59" i="58" s="1"/>
  <c r="G59" i="58" s="1"/>
  <c r="H59" i="58" s="1"/>
  <c r="I59" i="58" s="1"/>
  <c r="J59" i="58" s="1"/>
  <c r="K59" i="58" s="1"/>
  <c r="L59" i="58" s="1"/>
  <c r="M59" i="58" s="1"/>
  <c r="N59" i="58" s="1"/>
  <c r="O59" i="58" s="1"/>
  <c r="P59" i="58" s="1"/>
  <c r="Q59" i="58" s="1"/>
  <c r="R59" i="58" s="1"/>
  <c r="S59" i="58" s="1"/>
  <c r="T59" i="58" s="1"/>
  <c r="U59" i="58" s="1"/>
  <c r="V59" i="58" s="1"/>
  <c r="W59" i="58" s="1"/>
  <c r="X59" i="58" s="1"/>
  <c r="Y59" i="58" s="1"/>
  <c r="Z59" i="58" s="1"/>
  <c r="AA59" i="58" s="1"/>
  <c r="AB59" i="58" s="1"/>
  <c r="AC59" i="58" s="1"/>
  <c r="AD59" i="58" s="1"/>
  <c r="D56" i="58"/>
  <c r="E56" i="58" s="1"/>
  <c r="F56" i="58" s="1"/>
  <c r="G56" i="58" s="1"/>
  <c r="H56" i="58" s="1"/>
  <c r="I56" i="58" s="1"/>
  <c r="J56" i="58" s="1"/>
  <c r="K56" i="58" s="1"/>
  <c r="L56" i="58" s="1"/>
  <c r="M56" i="58" s="1"/>
  <c r="N56" i="58" s="1"/>
  <c r="O56" i="58" s="1"/>
  <c r="P56" i="58" s="1"/>
  <c r="Q56" i="58" s="1"/>
  <c r="R56" i="58" s="1"/>
  <c r="S56" i="58" s="1"/>
  <c r="T56" i="58" s="1"/>
  <c r="U56" i="58" s="1"/>
  <c r="V56" i="58" s="1"/>
  <c r="W56" i="58" s="1"/>
  <c r="X56" i="58" s="1"/>
  <c r="Y56" i="58" s="1"/>
  <c r="Z56" i="58" s="1"/>
  <c r="AA56" i="58" s="1"/>
  <c r="AB56" i="58" s="1"/>
  <c r="AC56" i="58" s="1"/>
  <c r="AD56" i="58" s="1"/>
  <c r="D55" i="58"/>
  <c r="E55" i="58" s="1"/>
  <c r="F55" i="58" s="1"/>
  <c r="G55" i="58" s="1"/>
  <c r="H55" i="58" s="1"/>
  <c r="I55" i="58" s="1"/>
  <c r="J55" i="58" s="1"/>
  <c r="K55" i="58" s="1"/>
  <c r="L55" i="58" s="1"/>
  <c r="M55" i="58" s="1"/>
  <c r="N55" i="58" s="1"/>
  <c r="O55" i="58" s="1"/>
  <c r="P55" i="58" s="1"/>
  <c r="Q55" i="58" s="1"/>
  <c r="R55" i="58" s="1"/>
  <c r="S55" i="58" s="1"/>
  <c r="T55" i="58" s="1"/>
  <c r="U55" i="58" s="1"/>
  <c r="V55" i="58" s="1"/>
  <c r="W55" i="58" s="1"/>
  <c r="X55" i="58" s="1"/>
  <c r="Y55" i="58" s="1"/>
  <c r="Z55" i="58" s="1"/>
  <c r="AA55" i="58" s="1"/>
  <c r="AB55" i="58" s="1"/>
  <c r="AC55" i="58" s="1"/>
  <c r="AD55" i="58" s="1"/>
  <c r="D52" i="58"/>
  <c r="E52" i="58" s="1"/>
  <c r="D51" i="58"/>
  <c r="E51" i="58" s="1"/>
  <c r="D60" i="58"/>
  <c r="C144" i="43" s="1"/>
  <c r="D57" i="58"/>
  <c r="E57" i="58" s="1"/>
  <c r="F57" i="58" s="1"/>
  <c r="G57" i="58" s="1"/>
  <c r="H57" i="58" s="1"/>
  <c r="I57" i="58" s="1"/>
  <c r="J57" i="58" s="1"/>
  <c r="K57" i="58" s="1"/>
  <c r="L57" i="58" s="1"/>
  <c r="M57" i="58" s="1"/>
  <c r="N57" i="58" s="1"/>
  <c r="O57" i="58" s="1"/>
  <c r="P57" i="58" s="1"/>
  <c r="Q57" i="58" s="1"/>
  <c r="R57" i="58" s="1"/>
  <c r="S57" i="58" s="1"/>
  <c r="T57" i="58" s="1"/>
  <c r="U57" i="58" s="1"/>
  <c r="V57" i="58" s="1"/>
  <c r="W57" i="58" s="1"/>
  <c r="X57" i="58" s="1"/>
  <c r="Y57" i="58" s="1"/>
  <c r="Z57" i="58" s="1"/>
  <c r="AA57" i="58" s="1"/>
  <c r="AB57" i="58" s="1"/>
  <c r="AC57" i="58" s="1"/>
  <c r="AD57" i="58" s="1"/>
  <c r="D54" i="58"/>
  <c r="E54" i="58" s="1"/>
  <c r="F54" i="58" s="1"/>
  <c r="G54" i="58" s="1"/>
  <c r="H54" i="58" s="1"/>
  <c r="I54" i="58" s="1"/>
  <c r="J54" i="58" s="1"/>
  <c r="K54" i="58" s="1"/>
  <c r="L54" i="58" s="1"/>
  <c r="M54" i="58" s="1"/>
  <c r="N54" i="58" s="1"/>
  <c r="O54" i="58" s="1"/>
  <c r="P54" i="58" s="1"/>
  <c r="Q54" i="58" s="1"/>
  <c r="R54" i="58" s="1"/>
  <c r="S54" i="58" s="1"/>
  <c r="T54" i="58" s="1"/>
  <c r="U54" i="58" s="1"/>
  <c r="V54" i="58" s="1"/>
  <c r="W54" i="58" s="1"/>
  <c r="X54" i="58" s="1"/>
  <c r="Y54" i="58" s="1"/>
  <c r="Z54" i="58" s="1"/>
  <c r="AA54" i="58" s="1"/>
  <c r="AB54" i="58" s="1"/>
  <c r="AC54" i="58" s="1"/>
  <c r="AD54" i="58" s="1"/>
  <c r="D61" i="58"/>
  <c r="C145" i="43" s="1"/>
  <c r="D53" i="58"/>
  <c r="E53" i="58" s="1"/>
  <c r="D142" i="43" s="1"/>
  <c r="D143" i="43" s="1"/>
  <c r="D58" i="58"/>
  <c r="E58" i="58" s="1"/>
  <c r="F58" i="58" s="1"/>
  <c r="G58" i="58" s="1"/>
  <c r="H58" i="58" s="1"/>
  <c r="I58" i="58" s="1"/>
  <c r="J58" i="58" s="1"/>
  <c r="K58" i="58" s="1"/>
  <c r="L58" i="58" s="1"/>
  <c r="M58" i="58" s="1"/>
  <c r="N58" i="58" s="1"/>
  <c r="O58" i="58" s="1"/>
  <c r="P58" i="58" s="1"/>
  <c r="Q58" i="58" s="1"/>
  <c r="R58" i="58" s="1"/>
  <c r="S58" i="58" s="1"/>
  <c r="T58" i="58" s="1"/>
  <c r="U58" i="58" s="1"/>
  <c r="V58" i="58" s="1"/>
  <c r="W58" i="58" s="1"/>
  <c r="X58" i="58" s="1"/>
  <c r="Y58" i="58" s="1"/>
  <c r="Z58" i="58" s="1"/>
  <c r="AA58" i="58" s="1"/>
  <c r="AB58" i="58" s="1"/>
  <c r="AC58" i="58" s="1"/>
  <c r="AD58" i="58" s="1"/>
  <c r="H63" i="58"/>
  <c r="F148" i="43"/>
  <c r="H50" i="58"/>
  <c r="G139" i="43" s="1"/>
  <c r="E62" i="58"/>
  <c r="E60" i="58"/>
  <c r="D144" i="43" s="1"/>
  <c r="AD66" i="58" l="1"/>
  <c r="BH70" i="59" s="1"/>
  <c r="BG70" i="59"/>
  <c r="BB69" i="59"/>
  <c r="BB83" i="59" s="1"/>
  <c r="BB84" i="59" s="1"/>
  <c r="Y65" i="58"/>
  <c r="X116" i="61"/>
  <c r="F347" i="43"/>
  <c r="F361" i="43" s="1"/>
  <c r="F349" i="43"/>
  <c r="F348" i="43"/>
  <c r="F375" i="43" s="1"/>
  <c r="G340" i="43"/>
  <c r="G372" i="43" s="1"/>
  <c r="G339" i="43"/>
  <c r="G358" i="43" s="1"/>
  <c r="J20" i="60"/>
  <c r="I53" i="60"/>
  <c r="AD25" i="60"/>
  <c r="L23" i="60"/>
  <c r="AD26" i="60"/>
  <c r="J22" i="60"/>
  <c r="I55" i="60"/>
  <c r="J21" i="60"/>
  <c r="I54" i="60"/>
  <c r="F52" i="58"/>
  <c r="E141" i="43" s="1"/>
  <c r="C147" i="43"/>
  <c r="E298" i="43" s="1"/>
  <c r="E295" i="43" s="1"/>
  <c r="F53" i="58"/>
  <c r="E142" i="43" s="1"/>
  <c r="E61" i="58"/>
  <c r="D145" i="43" s="1"/>
  <c r="F51" i="58"/>
  <c r="G51" i="58" s="1"/>
  <c r="F140" i="43" s="1"/>
  <c r="G53" i="58"/>
  <c r="F142" i="43" s="1"/>
  <c r="F60" i="58"/>
  <c r="E144" i="43" s="1"/>
  <c r="I63" i="58"/>
  <c r="G148" i="43"/>
  <c r="F62" i="58"/>
  <c r="E146" i="43" s="1"/>
  <c r="D146" i="43"/>
  <c r="I50" i="58"/>
  <c r="H139" i="43" s="1"/>
  <c r="H203" i="43"/>
  <c r="BC69" i="59" l="1"/>
  <c r="BC83" i="59" s="1"/>
  <c r="BC84" i="59" s="1"/>
  <c r="Z65" i="58"/>
  <c r="Y116" i="61"/>
  <c r="G348" i="43"/>
  <c r="G375" i="43" s="1"/>
  <c r="G347" i="43"/>
  <c r="G361" i="43" s="1"/>
  <c r="G349" i="43"/>
  <c r="H339" i="43"/>
  <c r="H358" i="43" s="1"/>
  <c r="H340" i="43"/>
  <c r="H372" i="43" s="1"/>
  <c r="E297" i="43"/>
  <c r="C330" i="43"/>
  <c r="C360" i="43" s="1"/>
  <c r="E296" i="43"/>
  <c r="M23" i="60"/>
  <c r="K21" i="60"/>
  <c r="J54" i="60"/>
  <c r="K22" i="60"/>
  <c r="J55" i="60"/>
  <c r="K20" i="60"/>
  <c r="J53" i="60"/>
  <c r="G52" i="58"/>
  <c r="F141" i="43" s="1"/>
  <c r="F143" i="43" s="1"/>
  <c r="D147" i="43"/>
  <c r="F61" i="58"/>
  <c r="E145" i="43" s="1"/>
  <c r="E147" i="43" s="1"/>
  <c r="G60" i="58"/>
  <c r="F144" i="43" s="1"/>
  <c r="E140" i="43"/>
  <c r="E143" i="43" s="1"/>
  <c r="H53" i="58"/>
  <c r="G142" i="43" s="1"/>
  <c r="G62" i="58"/>
  <c r="F146" i="43" s="1"/>
  <c r="H51" i="58"/>
  <c r="G140" i="43" s="1"/>
  <c r="J63" i="58"/>
  <c r="H148" i="43"/>
  <c r="J50" i="58"/>
  <c r="I139" i="43" s="1"/>
  <c r="BD69" i="59" l="1"/>
  <c r="BD83" i="59" s="1"/>
  <c r="BD84" i="59" s="1"/>
  <c r="AA65" i="58"/>
  <c r="Z116" i="61"/>
  <c r="H347" i="43"/>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G61" i="58"/>
  <c r="F145" i="43" s="1"/>
  <c r="F147" i="43" s="1"/>
  <c r="H52" i="58"/>
  <c r="G141" i="43" s="1"/>
  <c r="G143" i="43" s="1"/>
  <c r="H60" i="58"/>
  <c r="G144" i="43" s="1"/>
  <c r="I53" i="58"/>
  <c r="H142" i="43" s="1"/>
  <c r="H62" i="58"/>
  <c r="G146" i="43" s="1"/>
  <c r="I51" i="58"/>
  <c r="H140" i="43" s="1"/>
  <c r="K63" i="58"/>
  <c r="I148" i="43"/>
  <c r="K50" i="58"/>
  <c r="J139" i="43" s="1"/>
  <c r="I60" i="58"/>
  <c r="H144" i="43" s="1"/>
  <c r="BE69" i="59" l="1"/>
  <c r="BE83" i="59" s="1"/>
  <c r="BE84" i="59" s="1"/>
  <c r="AA116" i="61"/>
  <c r="AB65" i="58"/>
  <c r="I348" i="43"/>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53" i="58"/>
  <c r="I142" i="43" s="1"/>
  <c r="I52" i="58"/>
  <c r="H141" i="43" s="1"/>
  <c r="H143" i="43" s="1"/>
  <c r="H61" i="58"/>
  <c r="J51" i="58"/>
  <c r="I140" i="43" s="1"/>
  <c r="I62" i="58"/>
  <c r="H146" i="43" s="1"/>
  <c r="L63" i="58"/>
  <c r="J148" i="43"/>
  <c r="L50" i="58"/>
  <c r="K139" i="43" s="1"/>
  <c r="K53" i="58"/>
  <c r="J142" i="43" s="1"/>
  <c r="J60" i="58"/>
  <c r="I144" i="43" s="1"/>
  <c r="BF69" i="59" l="1"/>
  <c r="BF83" i="59" s="1"/>
  <c r="BF84" i="59" s="1"/>
  <c r="AC65" i="58"/>
  <c r="AB116" i="61"/>
  <c r="J349" i="43"/>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52" i="58"/>
  <c r="I141" i="43" s="1"/>
  <c r="I143" i="43" s="1"/>
  <c r="G145" i="43"/>
  <c r="G147" i="43" s="1"/>
  <c r="I61" i="58"/>
  <c r="K51" i="58"/>
  <c r="J140" i="43" s="1"/>
  <c r="J62" i="58"/>
  <c r="I146" i="43" s="1"/>
  <c r="M63" i="58"/>
  <c r="K148" i="43"/>
  <c r="M50" i="58"/>
  <c r="L139" i="43" s="1"/>
  <c r="K60" i="58"/>
  <c r="J144" i="43" s="1"/>
  <c r="L53" i="58"/>
  <c r="K142" i="43" s="1"/>
  <c r="BG69" i="59" l="1"/>
  <c r="BG83" i="59" s="1"/>
  <c r="BG84" i="59" s="1"/>
  <c r="AC116" i="61"/>
  <c r="AD65" i="58"/>
  <c r="J350" i="43"/>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62" i="58"/>
  <c r="J146" i="43" s="1"/>
  <c r="K52" i="58"/>
  <c r="J141" i="43" s="1"/>
  <c r="J143" i="43" s="1"/>
  <c r="H145" i="43"/>
  <c r="H147" i="43" s="1"/>
  <c r="J61" i="58"/>
  <c r="L51" i="58"/>
  <c r="K140" i="43" s="1"/>
  <c r="N63" i="58"/>
  <c r="L148" i="43"/>
  <c r="N50" i="58"/>
  <c r="M139" i="43" s="1"/>
  <c r="L62" i="58"/>
  <c r="K146" i="43" s="1"/>
  <c r="L60" i="58"/>
  <c r="K144" i="43" s="1"/>
  <c r="M53" i="58"/>
  <c r="L142" i="43" s="1"/>
  <c r="AD116" i="61" l="1"/>
  <c r="BH69" i="59"/>
  <c r="BH83" i="59" s="1"/>
  <c r="BH84" i="59" s="1"/>
  <c r="L348" i="43"/>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52" i="58"/>
  <c r="K141" i="43" s="1"/>
  <c r="K143" i="43" s="1"/>
  <c r="I145" i="43"/>
  <c r="I147" i="43" s="1"/>
  <c r="K61" i="58"/>
  <c r="M51" i="58"/>
  <c r="L140" i="43" s="1"/>
  <c r="O63" i="58"/>
  <c r="M148" i="43"/>
  <c r="O50" i="58"/>
  <c r="N139" i="43" s="1"/>
  <c r="M62" i="58"/>
  <c r="L146" i="43" s="1"/>
  <c r="M60" i="58"/>
  <c r="L144" i="43" s="1"/>
  <c r="N53" i="58"/>
  <c r="M142" i="43" s="1"/>
  <c r="M5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61" i="58"/>
  <c r="N51" i="58"/>
  <c r="M140" i="43" s="1"/>
  <c r="P63" i="58"/>
  <c r="N148" i="43"/>
  <c r="P50" i="58"/>
  <c r="O139" i="43" s="1"/>
  <c r="O53" i="58"/>
  <c r="N142" i="43" s="1"/>
  <c r="N60" i="58"/>
  <c r="M144" i="43" s="1"/>
  <c r="N62" i="58"/>
  <c r="M146" i="43" s="1"/>
  <c r="N5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51" i="58"/>
  <c r="N140" i="43" s="1"/>
  <c r="M143" i="43"/>
  <c r="K145" i="43"/>
  <c r="K147" i="43" s="1"/>
  <c r="M61" i="58"/>
  <c r="Q63" i="58"/>
  <c r="O148" i="43"/>
  <c r="I214" i="43"/>
  <c r="C140" i="43"/>
  <c r="C142" i="43"/>
  <c r="Q50" i="58"/>
  <c r="P139" i="43" s="1"/>
  <c r="P53" i="58"/>
  <c r="O142" i="43" s="1"/>
  <c r="O62" i="58"/>
  <c r="N146" i="43" s="1"/>
  <c r="O52" i="58"/>
  <c r="N141" i="43" s="1"/>
  <c r="P51" i="58"/>
  <c r="O140" i="43" s="1"/>
  <c r="O6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71"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100" i="61"/>
  <c r="Y3" i="61"/>
  <c r="Y37" i="60"/>
  <c r="T3" i="61"/>
  <c r="T37" i="60"/>
  <c r="P3" i="61"/>
  <c r="P37" i="60"/>
  <c r="S3" i="61"/>
  <c r="S37" i="60"/>
  <c r="U3" i="61"/>
  <c r="U37" i="60"/>
  <c r="H37" i="61"/>
  <c r="V3" i="61"/>
  <c r="V37" i="60"/>
  <c r="F3" i="61"/>
  <c r="F37" i="60"/>
  <c r="X3" i="61"/>
  <c r="X37" i="60"/>
  <c r="AA3" i="61"/>
  <c r="AA37" i="60"/>
  <c r="AC3" i="61"/>
  <c r="AC37" i="60"/>
  <c r="N3" i="61"/>
  <c r="N37" i="60"/>
  <c r="Q3" i="61"/>
  <c r="Q37" i="60"/>
  <c r="E3" i="61"/>
  <c r="E37" i="60"/>
  <c r="N143" i="43"/>
  <c r="L145" i="43"/>
  <c r="L147" i="43" s="1"/>
  <c r="N61" i="58"/>
  <c r="R6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50" i="58"/>
  <c r="Q139" i="43" s="1"/>
  <c r="P52" i="58"/>
  <c r="O141" i="43" s="1"/>
  <c r="O143" i="43" s="1"/>
  <c r="P60" i="58"/>
  <c r="O144" i="43" s="1"/>
  <c r="P62" i="58"/>
  <c r="O146" i="43" s="1"/>
  <c r="Q51" i="58"/>
  <c r="P140" i="43" s="1"/>
  <c r="Q5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7" i="61"/>
  <c r="L71" i="61"/>
  <c r="T100" i="61"/>
  <c r="T37" i="61"/>
  <c r="AC37" i="61"/>
  <c r="W37" i="61"/>
  <c r="P71" i="61"/>
  <c r="P37" i="61"/>
  <c r="J71" i="61"/>
  <c r="J37" i="61"/>
  <c r="J100" i="61"/>
  <c r="G37" i="61"/>
  <c r="V100" i="61"/>
  <c r="AD100" i="61"/>
  <c r="P100" i="61"/>
  <c r="L37" i="61"/>
  <c r="W71" i="61"/>
  <c r="M37" i="61"/>
  <c r="T71" i="61"/>
  <c r="V71" i="61"/>
  <c r="M71" i="61"/>
  <c r="K388" i="43"/>
  <c r="G100" i="61"/>
  <c r="K100" i="61"/>
  <c r="K71" i="61"/>
  <c r="O71" i="61"/>
  <c r="K37" i="61"/>
  <c r="O100" i="61"/>
  <c r="O37" i="61"/>
  <c r="G71" i="61"/>
  <c r="T22" i="60"/>
  <c r="S55" i="60"/>
  <c r="N71" i="61"/>
  <c r="N100" i="61"/>
  <c r="V23" i="60"/>
  <c r="N37" i="61"/>
  <c r="T21" i="60"/>
  <c r="S54" i="60"/>
  <c r="F100" i="61"/>
  <c r="T20" i="60"/>
  <c r="S53" i="60"/>
  <c r="Y71" i="61"/>
  <c r="U37" i="61"/>
  <c r="Y100" i="61"/>
  <c r="S100" i="61"/>
  <c r="U100" i="61"/>
  <c r="Z100" i="61"/>
  <c r="X71" i="61"/>
  <c r="S37" i="61"/>
  <c r="R100" i="61"/>
  <c r="S71" i="61"/>
  <c r="R71" i="61"/>
  <c r="Y37" i="61"/>
  <c r="E71" i="61"/>
  <c r="V37" i="61"/>
  <c r="Z71" i="61"/>
  <c r="F71" i="61"/>
  <c r="R37" i="61"/>
  <c r="X100" i="61"/>
  <c r="AD71" i="61"/>
  <c r="E37" i="61"/>
  <c r="AA100" i="61"/>
  <c r="X37" i="61"/>
  <c r="I3" i="61"/>
  <c r="I37" i="60"/>
  <c r="Z37" i="61"/>
  <c r="Q100" i="61"/>
  <c r="AA71" i="61"/>
  <c r="F37" i="61"/>
  <c r="AD37" i="61"/>
  <c r="Q71" i="61"/>
  <c r="E100" i="61"/>
  <c r="AA37" i="61"/>
  <c r="AB100" i="61"/>
  <c r="AC100" i="61"/>
  <c r="Q37" i="61"/>
  <c r="U71" i="61"/>
  <c r="W100" i="61"/>
  <c r="M100" i="61"/>
  <c r="AB71" i="61"/>
  <c r="L100" i="61"/>
  <c r="AC71" i="61"/>
  <c r="M145" i="43"/>
  <c r="M147" i="43" s="1"/>
  <c r="O61" i="58"/>
  <c r="O389" i="43"/>
  <c r="S63" i="58"/>
  <c r="Q148" i="43"/>
  <c r="E389" i="43"/>
  <c r="E388" i="43"/>
  <c r="C151" i="43"/>
  <c r="S50" i="58"/>
  <c r="R139" i="43" s="1"/>
  <c r="Q52" i="58"/>
  <c r="P141" i="43" s="1"/>
  <c r="P143" i="43" s="1"/>
  <c r="Q62" i="58"/>
  <c r="P146" i="43" s="1"/>
  <c r="R51" i="58"/>
  <c r="Q140" i="43" s="1"/>
  <c r="Q60" i="58"/>
  <c r="P144" i="43" s="1"/>
  <c r="R53" i="58"/>
  <c r="Q142" i="43" s="1"/>
  <c r="C364" i="43" l="1"/>
  <c r="C31" i="43" s="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71" i="61"/>
  <c r="I100" i="61"/>
  <c r="I37" i="61"/>
  <c r="L388" i="43"/>
  <c r="N145" i="43"/>
  <c r="N147" i="43" s="1"/>
  <c r="P61" i="58"/>
  <c r="T63" i="58"/>
  <c r="R148" i="43"/>
  <c r="P389" i="43"/>
  <c r="T50" i="58"/>
  <c r="S139" i="43" s="1"/>
  <c r="R60" i="58"/>
  <c r="Q144" i="43" s="1"/>
  <c r="R62" i="58"/>
  <c r="Q146" i="43" s="1"/>
  <c r="S51" i="58"/>
  <c r="R140" i="43" s="1"/>
  <c r="S53" i="58"/>
  <c r="R142" i="43" s="1"/>
  <c r="R5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61" i="58"/>
  <c r="M388" i="43"/>
  <c r="U63" i="58"/>
  <c r="S148" i="43"/>
  <c r="Q389" i="43"/>
  <c r="U50" i="58"/>
  <c r="T139" i="43" s="1"/>
  <c r="T53" i="58"/>
  <c r="S142" i="43" s="1"/>
  <c r="T51" i="58"/>
  <c r="S140" i="43" s="1"/>
  <c r="S60" i="58"/>
  <c r="R144" i="43" s="1"/>
  <c r="S52" i="58"/>
  <c r="R141" i="43" s="1"/>
  <c r="R143" i="43" s="1"/>
  <c r="R323" i="43" s="1"/>
  <c r="S62" i="58"/>
  <c r="R146" i="43" s="1"/>
  <c r="U53" i="58"/>
  <c r="T142" i="43" s="1"/>
  <c r="AH118" i="59" l="1"/>
  <c r="AH119" i="59"/>
  <c r="AH114" i="59"/>
  <c r="AH115" i="59"/>
  <c r="AH116" i="59"/>
  <c r="AH117" i="59"/>
  <c r="C36" i="43"/>
  <c r="C56" i="43"/>
  <c r="C57" i="43"/>
  <c r="C58" i="43"/>
  <c r="C62" i="43"/>
  <c r="C63" i="43"/>
  <c r="C61" i="43"/>
  <c r="C60" i="43"/>
  <c r="C59" i="43"/>
  <c r="C46" i="43"/>
  <c r="C44" i="43"/>
  <c r="C47" i="43"/>
  <c r="C48" i="43"/>
  <c r="C49" i="43"/>
  <c r="C43" i="43"/>
  <c r="C45" i="43"/>
  <c r="C393" i="43"/>
  <c r="C6" i="43"/>
  <c r="C5" i="43"/>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52" i="58"/>
  <c r="S141" i="43" s="1"/>
  <c r="S143" i="43" s="1"/>
  <c r="S322" i="43" s="1"/>
  <c r="S373" i="43" s="1"/>
  <c r="P145" i="43"/>
  <c r="P147" i="43" s="1"/>
  <c r="R61" i="58"/>
  <c r="V50" i="58"/>
  <c r="U139" i="43" s="1"/>
  <c r="T60" i="58"/>
  <c r="S144" i="43" s="1"/>
  <c r="T62" i="58"/>
  <c r="S146" i="43" s="1"/>
  <c r="V63" i="58"/>
  <c r="T148" i="43"/>
  <c r="R389" i="43"/>
  <c r="U51" i="58"/>
  <c r="T140" i="43" s="1"/>
  <c r="V53" i="58"/>
  <c r="U142" i="43" s="1"/>
  <c r="AH145" i="59" l="1"/>
  <c r="AH140" i="59"/>
  <c r="AH141" i="59"/>
  <c r="AH142" i="59"/>
  <c r="AH143" i="59"/>
  <c r="AH144" i="59"/>
  <c r="C19" i="43"/>
  <c r="AH120" i="59"/>
  <c r="C20" i="43"/>
  <c r="AH129" i="59"/>
  <c r="AH130" i="59"/>
  <c r="AH131" i="59"/>
  <c r="AH132" i="59"/>
  <c r="AH168" i="59" s="1"/>
  <c r="AH127" i="59"/>
  <c r="AH163" i="59" s="1"/>
  <c r="AH88" i="59" s="1"/>
  <c r="AH99" i="59" s="1"/>
  <c r="AH128" i="59"/>
  <c r="AH164" i="59" s="1"/>
  <c r="C64" i="43"/>
  <c r="G387" i="43"/>
  <c r="J387" i="43"/>
  <c r="N387" i="43"/>
  <c r="D387" i="43"/>
  <c r="O387" i="43"/>
  <c r="F387" i="43"/>
  <c r="Q387" i="43"/>
  <c r="P387" i="43"/>
  <c r="L387" i="43"/>
  <c r="M387" i="43"/>
  <c r="I387" i="43"/>
  <c r="H387" i="43"/>
  <c r="K387" i="43"/>
  <c r="C50"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61" i="58"/>
  <c r="U52" i="58"/>
  <c r="T141" i="43" s="1"/>
  <c r="T143" i="43" s="1"/>
  <c r="V51" i="58"/>
  <c r="U140" i="43" s="1"/>
  <c r="W50" i="58"/>
  <c r="V139" i="43" s="1"/>
  <c r="U60" i="58"/>
  <c r="T144" i="43" s="1"/>
  <c r="U62" i="58"/>
  <c r="T146" i="43" s="1"/>
  <c r="R387" i="43"/>
  <c r="W63" i="58"/>
  <c r="U148" i="43"/>
  <c r="S389" i="43"/>
  <c r="W53" i="58"/>
  <c r="V142" i="43" s="1"/>
  <c r="AH93" i="59" l="1"/>
  <c r="AH104" i="59" s="1"/>
  <c r="AH165" i="59"/>
  <c r="AH167" i="59"/>
  <c r="AH92" i="59" s="1"/>
  <c r="AH103" i="59" s="1"/>
  <c r="AH166" i="59"/>
  <c r="AH91" i="59" s="1"/>
  <c r="AH102" i="59" s="1"/>
  <c r="AH146" i="59"/>
  <c r="AI167" i="59"/>
  <c r="AI92" i="59" s="1"/>
  <c r="AI103" i="59" s="1"/>
  <c r="AH133" i="59"/>
  <c r="C22" i="43"/>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52" i="58"/>
  <c r="U141" i="43" s="1"/>
  <c r="U143" i="43" s="1"/>
  <c r="P388" i="43"/>
  <c r="V60" i="58"/>
  <c r="U144" i="43" s="1"/>
  <c r="W51" i="58"/>
  <c r="V140" i="43" s="1"/>
  <c r="R145" i="43"/>
  <c r="R147" i="43" s="1"/>
  <c r="T61" i="58"/>
  <c r="X50" i="58"/>
  <c r="V62" i="58"/>
  <c r="U146" i="43" s="1"/>
  <c r="T389" i="43"/>
  <c r="X63" i="58"/>
  <c r="V148" i="43"/>
  <c r="W52" i="58"/>
  <c r="V141" i="43" s="1"/>
  <c r="X53" i="58"/>
  <c r="W142" i="43" s="1"/>
  <c r="W60" i="58"/>
  <c r="V144" i="43" s="1"/>
  <c r="X51" i="58"/>
  <c r="W140" i="43" s="1"/>
  <c r="AH90" i="59" l="1"/>
  <c r="AH101" i="59" s="1"/>
  <c r="U350" i="43"/>
  <c r="V341" i="43"/>
  <c r="V348" i="43"/>
  <c r="V375" i="43" s="1"/>
  <c r="V349" i="43"/>
  <c r="V347" i="43"/>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50" i="58"/>
  <c r="X139" i="43" s="1"/>
  <c r="S145" i="43"/>
  <c r="S147" i="43" s="1"/>
  <c r="U61" i="58"/>
  <c r="W62" i="58"/>
  <c r="V146" i="43" s="1"/>
  <c r="U389" i="43"/>
  <c r="Y63" i="58"/>
  <c r="W148" i="43"/>
  <c r="Z50" i="58"/>
  <c r="Y139" i="43" s="1"/>
  <c r="Y51" i="58"/>
  <c r="X140" i="43" s="1"/>
  <c r="X52" i="58"/>
  <c r="W141" i="43" s="1"/>
  <c r="W143" i="43" s="1"/>
  <c r="X60" i="58"/>
  <c r="W144" i="43" s="1"/>
  <c r="Y53" i="58"/>
  <c r="X142" i="43" s="1"/>
  <c r="AH89" i="59" l="1"/>
  <c r="AH100" i="59" s="1"/>
  <c r="V350" i="43"/>
  <c r="V361" i="43"/>
  <c r="V389" i="43" s="1"/>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61" i="58"/>
  <c r="X62" i="58"/>
  <c r="W146" i="43" s="1"/>
  <c r="Z63" i="58"/>
  <c r="X148" i="43"/>
  <c r="AA50" i="58"/>
  <c r="Z139" i="43" s="1"/>
  <c r="Y60" i="58"/>
  <c r="X144" i="43" s="1"/>
  <c r="Y52" i="58"/>
  <c r="X141" i="43" s="1"/>
  <c r="X143" i="43" s="1"/>
  <c r="Z53" i="58"/>
  <c r="Y142" i="43" s="1"/>
  <c r="Z51" i="58"/>
  <c r="Y140" i="43" s="1"/>
  <c r="AH94" i="59" l="1"/>
  <c r="X347" i="43"/>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61" i="58"/>
  <c r="Y62" i="58"/>
  <c r="X146" i="43" s="1"/>
  <c r="W387" i="43"/>
  <c r="AA63" i="58"/>
  <c r="Y148" i="43"/>
  <c r="W389" i="43"/>
  <c r="AB50" i="58"/>
  <c r="AA139" i="43" s="1"/>
  <c r="AA51" i="58"/>
  <c r="Z140" i="43" s="1"/>
  <c r="Z52" i="58"/>
  <c r="Y141" i="43" s="1"/>
  <c r="Y143" i="43" s="1"/>
  <c r="Z60" i="58"/>
  <c r="Y144" i="43" s="1"/>
  <c r="AA5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62" i="58"/>
  <c r="Y146" i="43" s="1"/>
  <c r="V145" i="43"/>
  <c r="V147" i="43" s="1"/>
  <c r="X61" i="58"/>
  <c r="X387" i="43"/>
  <c r="X389" i="43"/>
  <c r="AB63" i="58"/>
  <c r="Z148" i="43"/>
  <c r="AC50" i="58"/>
  <c r="AB139" i="43" s="1"/>
  <c r="AA60" i="58"/>
  <c r="Z144" i="43" s="1"/>
  <c r="AB53" i="58"/>
  <c r="AA142" i="43" s="1"/>
  <c r="AA52" i="58"/>
  <c r="Z141" i="43" s="1"/>
  <c r="Z143" i="43" s="1"/>
  <c r="AB5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62" i="58"/>
  <c r="Z146" i="43" s="1"/>
  <c r="U388" i="43"/>
  <c r="W145" i="43"/>
  <c r="W147" i="43" s="1"/>
  <c r="Y61" i="58"/>
  <c r="Y387" i="43"/>
  <c r="Y389" i="43"/>
  <c r="AC63" i="58"/>
  <c r="AA148" i="43"/>
  <c r="AD50" i="58"/>
  <c r="AC139" i="43" s="1"/>
  <c r="AB52" i="58"/>
  <c r="AA141" i="43" s="1"/>
  <c r="AA143" i="43" s="1"/>
  <c r="AC53" i="58"/>
  <c r="AB142" i="43" s="1"/>
  <c r="AB62" i="58"/>
  <c r="AA146" i="43" s="1"/>
  <c r="AC51" i="58"/>
  <c r="AB140" i="43" s="1"/>
  <c r="AB6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61" i="58"/>
  <c r="V388" i="43"/>
  <c r="Z387" i="43"/>
  <c r="AD63" i="58"/>
  <c r="AC148" i="43" s="1"/>
  <c r="AB148" i="43"/>
  <c r="Z389" i="43"/>
  <c r="AC60" i="58"/>
  <c r="AB144" i="43" s="1"/>
  <c r="AC62" i="58"/>
  <c r="AB146" i="43" s="1"/>
  <c r="AD51" i="58"/>
  <c r="AC140" i="43" s="1"/>
  <c r="AD53" i="58"/>
  <c r="AC142" i="43" s="1"/>
  <c r="AC5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61" i="58"/>
  <c r="AA387" i="43"/>
  <c r="AA389" i="43"/>
  <c r="AD62" i="58"/>
  <c r="AC146" i="43" s="1"/>
  <c r="AD52" i="58"/>
  <c r="AC141" i="43" s="1"/>
  <c r="AC143" i="43" s="1"/>
  <c r="AD6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6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61" i="58"/>
  <c r="AC387" i="43"/>
  <c r="X62" i="56"/>
  <c r="Y62" i="56"/>
  <c r="W28" i="56"/>
  <c r="L29" i="56"/>
  <c r="AA330" i="43" l="1"/>
  <c r="AA360" i="43" s="1"/>
  <c r="AA331" i="43"/>
  <c r="AA374" i="43" s="1"/>
  <c r="AA332" i="43"/>
  <c r="Z333" i="43"/>
  <c r="Z388" i="43"/>
  <c r="AB145" i="43"/>
  <c r="AB147" i="43" s="1"/>
  <c r="AD6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81" i="59"/>
  <c r="S89" i="59"/>
  <c r="S88" i="59"/>
  <c r="Q181" i="59"/>
  <c r="Y88" i="59"/>
  <c r="Y89" i="59"/>
  <c r="W181" i="59"/>
  <c r="F89" i="59"/>
  <c r="F88" i="59"/>
  <c r="D150" i="43"/>
  <c r="D181"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AJ127" i="59" l="1"/>
  <c r="AJ128" i="59"/>
  <c r="AJ129" i="59"/>
  <c r="AJ131" i="59"/>
  <c r="AJ130" i="59"/>
  <c r="AJ132" i="59"/>
  <c r="E50" i="43"/>
  <c r="AB324" i="43"/>
  <c r="R324" i="43"/>
  <c r="P324" i="43"/>
  <c r="T324" i="43"/>
  <c r="AC324" i="43"/>
  <c r="J324" i="43"/>
  <c r="O324" i="43"/>
  <c r="L324" i="43"/>
  <c r="H89" i="59"/>
  <c r="U324" i="43"/>
  <c r="Z324" i="43"/>
  <c r="W324" i="43"/>
  <c r="Q392" i="43"/>
  <c r="W392" i="43"/>
  <c r="S70" i="59"/>
  <c r="R117" i="61" s="1"/>
  <c r="AD70" i="59"/>
  <c r="AC117" i="61" s="1"/>
  <c r="F70" i="59"/>
  <c r="E117" i="61" s="1"/>
  <c r="Y70" i="59"/>
  <c r="X117" i="61" s="1"/>
  <c r="M89" i="59"/>
  <c r="M88" i="59"/>
  <c r="K181" i="59"/>
  <c r="R89" i="59"/>
  <c r="R88" i="59"/>
  <c r="P181" i="59"/>
  <c r="J88" i="59"/>
  <c r="J89" i="59"/>
  <c r="H181" i="59"/>
  <c r="AA89" i="59"/>
  <c r="AA88" i="59"/>
  <c r="Y181" i="59"/>
  <c r="T89" i="59"/>
  <c r="T88" i="59"/>
  <c r="R181" i="59"/>
  <c r="H88" i="59"/>
  <c r="F181" i="59"/>
  <c r="V89" i="59"/>
  <c r="V88" i="59"/>
  <c r="T181" i="59"/>
  <c r="AE88" i="59"/>
  <c r="AE89" i="59"/>
  <c r="AC181" i="59"/>
  <c r="G88" i="59"/>
  <c r="G89" i="59"/>
  <c r="E181" i="59"/>
  <c r="X88" i="59"/>
  <c r="X89" i="59"/>
  <c r="V181" i="59"/>
  <c r="O88" i="59"/>
  <c r="O89" i="59"/>
  <c r="M181" i="59"/>
  <c r="AB88" i="59"/>
  <c r="AB89" i="59"/>
  <c r="Z181" i="59"/>
  <c r="U88" i="59"/>
  <c r="U89" i="59"/>
  <c r="S181" i="59"/>
  <c r="L88" i="59"/>
  <c r="L89" i="59"/>
  <c r="J181" i="59"/>
  <c r="K88" i="59"/>
  <c r="K89" i="59"/>
  <c r="I181" i="59"/>
  <c r="Z88" i="59"/>
  <c r="Z89" i="59"/>
  <c r="X181" i="59"/>
  <c r="W88" i="59"/>
  <c r="W89" i="59"/>
  <c r="U181" i="59"/>
  <c r="AC88" i="59"/>
  <c r="AC89" i="59"/>
  <c r="AA181" i="59"/>
  <c r="Q88" i="59"/>
  <c r="Q89" i="59"/>
  <c r="O181" i="59"/>
  <c r="N89" i="59"/>
  <c r="N88" i="59"/>
  <c r="L181" i="59"/>
  <c r="G592" i="43"/>
  <c r="I88" i="59"/>
  <c r="I89" i="59"/>
  <c r="G181" i="59"/>
  <c r="P89" i="59"/>
  <c r="P88" i="59"/>
  <c r="N181"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356" i="43"/>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AJ133" i="59" l="1"/>
  <c r="N49" i="43"/>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7" i="61" s="1"/>
  <c r="T70" i="59"/>
  <c r="S117" i="61" s="1"/>
  <c r="Q70" i="59"/>
  <c r="P117" i="61" s="1"/>
  <c r="O70" i="59"/>
  <c r="N117" i="61" s="1"/>
  <c r="AC70" i="59"/>
  <c r="AB117" i="61" s="1"/>
  <c r="X70" i="59"/>
  <c r="W117" i="61" s="1"/>
  <c r="K70" i="59"/>
  <c r="J117" i="61" s="1"/>
  <c r="V70" i="59"/>
  <c r="U117" i="61" s="1"/>
  <c r="AA70" i="59"/>
  <c r="Z117" i="61" s="1"/>
  <c r="AE70" i="59"/>
  <c r="AD117" i="61" s="1"/>
  <c r="N70" i="59"/>
  <c r="M117" i="61" s="1"/>
  <c r="AB70" i="59"/>
  <c r="AA117" i="61" s="1"/>
  <c r="M70" i="59"/>
  <c r="L117" i="61" s="1"/>
  <c r="P70" i="59"/>
  <c r="O117" i="61" s="1"/>
  <c r="W70" i="59"/>
  <c r="V117" i="61" s="1"/>
  <c r="G70" i="59"/>
  <c r="F117" i="61" s="1"/>
  <c r="Z70" i="59"/>
  <c r="Y117" i="61" s="1"/>
  <c r="U70" i="59"/>
  <c r="T117" i="61" s="1"/>
  <c r="R70" i="59"/>
  <c r="Q117" i="61" s="1"/>
  <c r="L70" i="59"/>
  <c r="K117" i="61" s="1"/>
  <c r="H70" i="59"/>
  <c r="G117" i="61" s="1"/>
  <c r="J70" i="59"/>
  <c r="I117"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BB143" i="59" l="1"/>
  <c r="BB142" i="59"/>
  <c r="BB140" i="59"/>
  <c r="BB144" i="59"/>
  <c r="BB141" i="59"/>
  <c r="BB145" i="59"/>
  <c r="AV142" i="59"/>
  <c r="AV143" i="59"/>
  <c r="AV145" i="59"/>
  <c r="AV140" i="59"/>
  <c r="AV144" i="59"/>
  <c r="AV141" i="59"/>
  <c r="AV130" i="59"/>
  <c r="AV131" i="59"/>
  <c r="AV132" i="59"/>
  <c r="AV127" i="59"/>
  <c r="AV128" i="59"/>
  <c r="AV129" i="59"/>
  <c r="AS127" i="59"/>
  <c r="AS128" i="59"/>
  <c r="AS129" i="59"/>
  <c r="AS130" i="59"/>
  <c r="AS131" i="59"/>
  <c r="AS132" i="59"/>
  <c r="BG128" i="59"/>
  <c r="BG129" i="59"/>
  <c r="BG130" i="59"/>
  <c r="BG131" i="59"/>
  <c r="BG132" i="59"/>
  <c r="BG127" i="59"/>
  <c r="AB50" i="43"/>
  <c r="AB56" i="43"/>
  <c r="AB57" i="43"/>
  <c r="AB58" i="43"/>
  <c r="AB62" i="43"/>
  <c r="AB59" i="43"/>
  <c r="AB61" i="43"/>
  <c r="AB60" i="43"/>
  <c r="Y48" i="43"/>
  <c r="Y49" i="43"/>
  <c r="Y43" i="43"/>
  <c r="Y42" i="43"/>
  <c r="Y44" i="43"/>
  <c r="Y47" i="43"/>
  <c r="Y45" i="43"/>
  <c r="Y46" i="43"/>
  <c r="D4" i="43"/>
  <c r="AI114" i="59" s="1"/>
  <c r="D34" i="43"/>
  <c r="D30" i="43"/>
  <c r="D33" i="43"/>
  <c r="D32" i="43"/>
  <c r="D31" i="43"/>
  <c r="D29" i="43"/>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7" i="61" s="1"/>
  <c r="J378" i="43"/>
  <c r="K378" i="43"/>
  <c r="H378" i="43"/>
  <c r="T378" i="43"/>
  <c r="L378" i="43"/>
  <c r="F378" i="43"/>
  <c r="X378" i="43"/>
  <c r="U378" i="43"/>
  <c r="M378" i="43"/>
  <c r="I392" i="43"/>
  <c r="N392" i="43"/>
  <c r="N63" i="43" s="1"/>
  <c r="E393" i="43"/>
  <c r="AA392" i="43"/>
  <c r="AA63" i="43" s="1"/>
  <c r="R392" i="43"/>
  <c r="R63" i="43" s="1"/>
  <c r="AB364" i="43"/>
  <c r="W364" i="43"/>
  <c r="W30" i="43" s="1"/>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BD142" i="59" l="1"/>
  <c r="BD145" i="59"/>
  <c r="BD143" i="59"/>
  <c r="BD141" i="59"/>
  <c r="BD140" i="59"/>
  <c r="BD144" i="59"/>
  <c r="AJ140" i="59"/>
  <c r="AJ144" i="59"/>
  <c r="AJ141" i="59"/>
  <c r="AJ145" i="59"/>
  <c r="AJ143" i="59"/>
  <c r="AJ142" i="59"/>
  <c r="BB146" i="59"/>
  <c r="BG143" i="59"/>
  <c r="BG141" i="59"/>
  <c r="BG145" i="59"/>
  <c r="BG144" i="59"/>
  <c r="BG142" i="59"/>
  <c r="BG140" i="59"/>
  <c r="BA140" i="59"/>
  <c r="BA144" i="59"/>
  <c r="BA143" i="59"/>
  <c r="BA141" i="59"/>
  <c r="BA145" i="59"/>
  <c r="BA142" i="59"/>
  <c r="AV146" i="59"/>
  <c r="AI140" i="59"/>
  <c r="AI141" i="59"/>
  <c r="AI145" i="59"/>
  <c r="AI142" i="59"/>
  <c r="AI144" i="59"/>
  <c r="AI143" i="59"/>
  <c r="AL132" i="59"/>
  <c r="AL127" i="59"/>
  <c r="AL128" i="59"/>
  <c r="AL129" i="59"/>
  <c r="AL130" i="59"/>
  <c r="AL131" i="59"/>
  <c r="AT132" i="59"/>
  <c r="AT127" i="59"/>
  <c r="AT128" i="59"/>
  <c r="AT129" i="59"/>
  <c r="AT130" i="59"/>
  <c r="AT131" i="59"/>
  <c r="AW129" i="59"/>
  <c r="AW130" i="59"/>
  <c r="AW131" i="59"/>
  <c r="AW132" i="59"/>
  <c r="AW127" i="59"/>
  <c r="AW128" i="59"/>
  <c r="AS133" i="59"/>
  <c r="AJ114" i="59"/>
  <c r="AJ163" i="59" s="1"/>
  <c r="AJ88" i="59" s="1"/>
  <c r="AJ115" i="59"/>
  <c r="AJ116" i="59"/>
  <c r="AJ117" i="59"/>
  <c r="AJ118" i="59"/>
  <c r="AJ119" i="59"/>
  <c r="AI127" i="59"/>
  <c r="AI128" i="59"/>
  <c r="AI129" i="59"/>
  <c r="AI130" i="59"/>
  <c r="AI131" i="59"/>
  <c r="AI132" i="59"/>
  <c r="BF129" i="59"/>
  <c r="BF131" i="59"/>
  <c r="BF132" i="59"/>
  <c r="BF127" i="59"/>
  <c r="BF128" i="59"/>
  <c r="BF130" i="59"/>
  <c r="BE130" i="59"/>
  <c r="BE131" i="59"/>
  <c r="BE132" i="59"/>
  <c r="BE127" i="59"/>
  <c r="BE128" i="59"/>
  <c r="BE129" i="59"/>
  <c r="AV133" i="59"/>
  <c r="BA127" i="59"/>
  <c r="BA128" i="59"/>
  <c r="BA129" i="59"/>
  <c r="BA130" i="59"/>
  <c r="BA131" i="59"/>
  <c r="BA132" i="59"/>
  <c r="BD131" i="59"/>
  <c r="BD132" i="59"/>
  <c r="BD127" i="59"/>
  <c r="BD128" i="59"/>
  <c r="BD129" i="59"/>
  <c r="BD130" i="59"/>
  <c r="AI115" i="59"/>
  <c r="AI117" i="59"/>
  <c r="AI118" i="59"/>
  <c r="AI119" i="59"/>
  <c r="AI116" i="59"/>
  <c r="AX128" i="59"/>
  <c r="AX129" i="59"/>
  <c r="AX130" i="59"/>
  <c r="AX131" i="59"/>
  <c r="AX132" i="59"/>
  <c r="AX127" i="59"/>
  <c r="BG133" i="59"/>
  <c r="AU131" i="59"/>
  <c r="AU127" i="59"/>
  <c r="AU128" i="59"/>
  <c r="AU129" i="59"/>
  <c r="AU130" i="59"/>
  <c r="AU132" i="59"/>
  <c r="BH127" i="59"/>
  <c r="BH128" i="59"/>
  <c r="BH129" i="59"/>
  <c r="BH130" i="59"/>
  <c r="BH131" i="59"/>
  <c r="BH132" i="59"/>
  <c r="AN130" i="59"/>
  <c r="AN131" i="59"/>
  <c r="AN132" i="59"/>
  <c r="AN127" i="59"/>
  <c r="AN128" i="59"/>
  <c r="AN129" i="59"/>
  <c r="D36" i="43"/>
  <c r="BB128" i="59"/>
  <c r="BB132" i="59"/>
  <c r="BB129" i="59"/>
  <c r="BB130" i="59"/>
  <c r="BB127" i="59"/>
  <c r="BB131" i="59"/>
  <c r="W50" i="43"/>
  <c r="AA50" i="43"/>
  <c r="O50" i="43"/>
  <c r="Q4" i="43"/>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20" i="43" s="1"/>
  <c r="W34" i="43"/>
  <c r="W31" i="43"/>
  <c r="W33" i="43"/>
  <c r="W32" i="43"/>
  <c r="W29" i="43"/>
  <c r="W28" i="43"/>
  <c r="AB4" i="43"/>
  <c r="AB21" i="43" s="1"/>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I34" i="43"/>
  <c r="I30" i="43"/>
  <c r="I33" i="43"/>
  <c r="I32" i="43"/>
  <c r="I31" i="43"/>
  <c r="I29" i="43"/>
  <c r="R34" i="43"/>
  <c r="R30" i="43"/>
  <c r="R33" i="43"/>
  <c r="R31" i="43"/>
  <c r="R32" i="43"/>
  <c r="R29" i="43"/>
  <c r="U34" i="43"/>
  <c r="U30" i="43"/>
  <c r="U33" i="43"/>
  <c r="U31" i="43"/>
  <c r="U32" i="43"/>
  <c r="U29" i="43"/>
  <c r="J34" i="43"/>
  <c r="J30" i="43"/>
  <c r="J33" i="43"/>
  <c r="J32" i="43"/>
  <c r="J31" i="43"/>
  <c r="J29" i="43"/>
  <c r="F49" i="43"/>
  <c r="F42" i="43"/>
  <c r="F43" i="43"/>
  <c r="F48" i="43"/>
  <c r="F44" i="43"/>
  <c r="F47" i="43"/>
  <c r="F46" i="43"/>
  <c r="F45" i="43"/>
  <c r="Y4" i="43"/>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V19" i="43"/>
  <c r="AB19" i="43"/>
  <c r="D20" i="43"/>
  <c r="D19" i="43"/>
  <c r="Q20" i="43"/>
  <c r="V20" i="43"/>
  <c r="Q21" i="43"/>
  <c r="V21" i="43"/>
  <c r="E19" i="43"/>
  <c r="E20"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AJ99" i="59" l="1"/>
  <c r="AI165" i="59"/>
  <c r="E20" i="58" s="1"/>
  <c r="AN142" i="59"/>
  <c r="AN141" i="59"/>
  <c r="AN145" i="59"/>
  <c r="AN143" i="59"/>
  <c r="AN140" i="59"/>
  <c r="AN144" i="59"/>
  <c r="BE142" i="59"/>
  <c r="BE140" i="59"/>
  <c r="BE144" i="59"/>
  <c r="BE143" i="59"/>
  <c r="BE141" i="59"/>
  <c r="BE145" i="59"/>
  <c r="AJ146" i="59"/>
  <c r="BC143" i="59"/>
  <c r="BC140" i="59"/>
  <c r="BC144" i="59"/>
  <c r="BC145" i="59"/>
  <c r="BC141" i="59"/>
  <c r="BC142" i="59"/>
  <c r="AI168" i="59"/>
  <c r="BD146" i="59"/>
  <c r="BF141" i="59"/>
  <c r="BF145" i="59"/>
  <c r="BF142" i="59"/>
  <c r="BF140" i="59"/>
  <c r="BF143" i="59"/>
  <c r="BF144" i="59"/>
  <c r="AM143" i="59"/>
  <c r="AM140" i="59"/>
  <c r="AM144" i="59"/>
  <c r="AM141" i="59"/>
  <c r="AM145" i="59"/>
  <c r="AM142" i="59"/>
  <c r="AY141" i="59"/>
  <c r="AY145" i="59"/>
  <c r="AY142" i="59"/>
  <c r="AY143" i="59"/>
  <c r="AY140" i="59"/>
  <c r="AY144" i="59"/>
  <c r="BA146" i="59"/>
  <c r="S21" i="43"/>
  <c r="AX141" i="59"/>
  <c r="AX145" i="59"/>
  <c r="AX140" i="59"/>
  <c r="AX144" i="59"/>
  <c r="AX142" i="59"/>
  <c r="AX143" i="59"/>
  <c r="AU143" i="59"/>
  <c r="AU145" i="59"/>
  <c r="AU142" i="59"/>
  <c r="AU141" i="59"/>
  <c r="AU140" i="59"/>
  <c r="AU144" i="59"/>
  <c r="BH140" i="59"/>
  <c r="BH144" i="59"/>
  <c r="BH141" i="59"/>
  <c r="BH145" i="59"/>
  <c r="BH142" i="59"/>
  <c r="BH143" i="59"/>
  <c r="O21" i="43"/>
  <c r="AT143" i="59"/>
  <c r="AT142" i="59"/>
  <c r="AT140" i="59"/>
  <c r="AT144" i="59"/>
  <c r="AT141" i="59"/>
  <c r="AT145" i="59"/>
  <c r="AZ140" i="59"/>
  <c r="AZ144" i="59"/>
  <c r="AZ141" i="59"/>
  <c r="AZ145" i="59"/>
  <c r="AZ142" i="59"/>
  <c r="AZ143" i="59"/>
  <c r="AI146" i="59"/>
  <c r="BG146" i="59"/>
  <c r="N21" i="43"/>
  <c r="AS140" i="59"/>
  <c r="AS144" i="59"/>
  <c r="AS141" i="59"/>
  <c r="AS145" i="59"/>
  <c r="AS142" i="59"/>
  <c r="AS143" i="59"/>
  <c r="AR140" i="59"/>
  <c r="AR144" i="59"/>
  <c r="AR141" i="59"/>
  <c r="AR145" i="59"/>
  <c r="AR143" i="59"/>
  <c r="AR142" i="59"/>
  <c r="F21" i="43"/>
  <c r="AK143" i="59"/>
  <c r="AK140" i="59"/>
  <c r="AK144" i="59"/>
  <c r="AK142" i="59"/>
  <c r="AK141" i="59"/>
  <c r="AK145" i="59"/>
  <c r="AL143" i="59"/>
  <c r="AL140" i="59"/>
  <c r="AL144" i="59"/>
  <c r="AL141" i="59"/>
  <c r="AL145" i="59"/>
  <c r="AL142" i="59"/>
  <c r="AQ144" i="59"/>
  <c r="AQ141" i="59"/>
  <c r="AQ145" i="59"/>
  <c r="AQ143" i="59"/>
  <c r="AQ142" i="59"/>
  <c r="AQ140" i="59"/>
  <c r="AP141" i="59"/>
  <c r="AP145" i="59"/>
  <c r="AP144" i="59"/>
  <c r="AP142" i="59"/>
  <c r="AP143" i="59"/>
  <c r="AP140" i="59"/>
  <c r="AW141" i="59"/>
  <c r="AW145" i="59"/>
  <c r="AW142" i="59"/>
  <c r="AW144" i="59"/>
  <c r="AW143" i="59"/>
  <c r="AW140" i="59"/>
  <c r="AO142" i="59"/>
  <c r="AO141" i="59"/>
  <c r="AO143" i="59"/>
  <c r="AO140" i="59"/>
  <c r="AO145" i="59"/>
  <c r="AO144" i="59"/>
  <c r="AI164" i="59"/>
  <c r="AJ156" i="59"/>
  <c r="AJ167" i="59"/>
  <c r="AJ92" i="59" s="1"/>
  <c r="AJ103" i="59" s="1"/>
  <c r="AJ155" i="59"/>
  <c r="AJ166" i="59"/>
  <c r="AJ91" i="59" s="1"/>
  <c r="AJ102" i="59" s="1"/>
  <c r="AJ154" i="59"/>
  <c r="AJ165" i="59"/>
  <c r="F20" i="58" s="1"/>
  <c r="AJ153" i="59"/>
  <c r="AJ164" i="59"/>
  <c r="AI166" i="59"/>
  <c r="AI91" i="59" s="1"/>
  <c r="AI102" i="59" s="1"/>
  <c r="AI163" i="59"/>
  <c r="AI88" i="59" s="1"/>
  <c r="AI152" i="59"/>
  <c r="AJ157" i="59"/>
  <c r="AJ168" i="59"/>
  <c r="AT133" i="59"/>
  <c r="AI153" i="59"/>
  <c r="AI154" i="59"/>
  <c r="BB133" i="59"/>
  <c r="AN133" i="59"/>
  <c r="AB20" i="43"/>
  <c r="AB22" i="43" s="1"/>
  <c r="I21" i="43"/>
  <c r="AU119" i="59"/>
  <c r="AU114" i="59"/>
  <c r="AU163" i="59" s="1"/>
  <c r="AU88" i="59" s="1"/>
  <c r="AU99" i="59" s="1"/>
  <c r="AU115" i="59"/>
  <c r="AU116" i="59"/>
  <c r="AU117" i="59"/>
  <c r="AU118" i="59"/>
  <c r="AU156" i="59" s="1"/>
  <c r="BG116" i="59"/>
  <c r="BG118" i="59"/>
  <c r="BG156" i="59" s="1"/>
  <c r="BG119" i="59"/>
  <c r="BG114" i="59"/>
  <c r="BG163" i="59" s="1"/>
  <c r="BG88" i="59" s="1"/>
  <c r="BG115" i="59"/>
  <c r="BG117" i="59"/>
  <c r="AU133" i="59"/>
  <c r="BE114" i="59"/>
  <c r="BE115" i="59"/>
  <c r="BE116" i="59"/>
  <c r="BE117" i="59"/>
  <c r="BE118" i="59"/>
  <c r="BE156" i="59" s="1"/>
  <c r="BE119" i="59"/>
  <c r="AY127" i="59"/>
  <c r="AY128" i="59"/>
  <c r="AY129" i="59"/>
  <c r="AY130" i="59"/>
  <c r="AY132" i="59"/>
  <c r="AY131" i="59"/>
  <c r="AK127" i="59"/>
  <c r="AK128" i="59"/>
  <c r="AK129" i="59"/>
  <c r="AK130" i="59"/>
  <c r="AK131" i="59"/>
  <c r="AK132" i="59"/>
  <c r="Y20" i="43"/>
  <c r="BD119" i="59"/>
  <c r="BD114" i="59"/>
  <c r="BD163" i="59" s="1"/>
  <c r="BD88" i="59" s="1"/>
  <c r="BD115" i="59"/>
  <c r="BD116" i="59"/>
  <c r="BD117" i="59"/>
  <c r="BD118" i="59"/>
  <c r="BD156" i="59" s="1"/>
  <c r="P36" i="43"/>
  <c r="BH133" i="59"/>
  <c r="AI120" i="59"/>
  <c r="BD133" i="59"/>
  <c r="BA133" i="59"/>
  <c r="AM131" i="59"/>
  <c r="AM132" i="59"/>
  <c r="AM127" i="59"/>
  <c r="AM128" i="59"/>
  <c r="AM129" i="59"/>
  <c r="AM130" i="59"/>
  <c r="K36" i="43"/>
  <c r="R36" i="43"/>
  <c r="AP128" i="59"/>
  <c r="AP129" i="59"/>
  <c r="AP130" i="59"/>
  <c r="AP131" i="59"/>
  <c r="AP132" i="59"/>
  <c r="AP127" i="59"/>
  <c r="BF117" i="59"/>
  <c r="BF119" i="59"/>
  <c r="BF114" i="59"/>
  <c r="BF163" i="59" s="1"/>
  <c r="BF88" i="59" s="1"/>
  <c r="BF99" i="59" s="1"/>
  <c r="BF115" i="59"/>
  <c r="BF116" i="59"/>
  <c r="BF118" i="59"/>
  <c r="BF156" i="59" s="1"/>
  <c r="AR114" i="59"/>
  <c r="AR116" i="59"/>
  <c r="AR117" i="59"/>
  <c r="AR118" i="59"/>
  <c r="AR119" i="59"/>
  <c r="AR115" i="59"/>
  <c r="AO117" i="59"/>
  <c r="AO118" i="59"/>
  <c r="AO119" i="59"/>
  <c r="AO114" i="59"/>
  <c r="AO115" i="59"/>
  <c r="AO116" i="59"/>
  <c r="AS115" i="59"/>
  <c r="AS116" i="59"/>
  <c r="AS117" i="59"/>
  <c r="AS118" i="59"/>
  <c r="AS119" i="59"/>
  <c r="AS114" i="59"/>
  <c r="AS163" i="59" s="1"/>
  <c r="AS88" i="59" s="1"/>
  <c r="Y21" i="43"/>
  <c r="AX116" i="59"/>
  <c r="AX117" i="59"/>
  <c r="AX118" i="59"/>
  <c r="AX119" i="59"/>
  <c r="AX114" i="59"/>
  <c r="AX163" i="59" s="1"/>
  <c r="AX88" i="59" s="1"/>
  <c r="AX115" i="59"/>
  <c r="AX133" i="59"/>
  <c r="AI157" i="59"/>
  <c r="AJ120" i="59"/>
  <c r="AJ152" i="59"/>
  <c r="AZ127" i="59"/>
  <c r="AZ128" i="59"/>
  <c r="AZ129" i="59"/>
  <c r="AZ130" i="59"/>
  <c r="AZ131" i="59"/>
  <c r="AZ132" i="59"/>
  <c r="AM119" i="59"/>
  <c r="AM114" i="59"/>
  <c r="AM116" i="59"/>
  <c r="AM165" i="59" s="1"/>
  <c r="I20" i="58" s="1"/>
  <c r="AM115" i="59"/>
  <c r="AM117" i="59"/>
  <c r="AM118" i="59"/>
  <c r="K19" i="43"/>
  <c r="AP116" i="59"/>
  <c r="AP117" i="59"/>
  <c r="AP118" i="59"/>
  <c r="AP119" i="59"/>
  <c r="AP168" i="59" s="1"/>
  <c r="AP114" i="59"/>
  <c r="AP115" i="59"/>
  <c r="AL114" i="59"/>
  <c r="AL115" i="59"/>
  <c r="AL117" i="59"/>
  <c r="AL116" i="59"/>
  <c r="AL118" i="59"/>
  <c r="AL156" i="59" s="1"/>
  <c r="AL119" i="59"/>
  <c r="AZ114" i="59"/>
  <c r="AZ163" i="59" s="1"/>
  <c r="AZ88" i="59" s="1"/>
  <c r="AZ115" i="59"/>
  <c r="AZ116" i="59"/>
  <c r="AZ117" i="59"/>
  <c r="AZ118" i="59"/>
  <c r="AZ156" i="59" s="1"/>
  <c r="AZ119" i="59"/>
  <c r="Z21" i="43"/>
  <c r="AI156" i="59"/>
  <c r="BF133" i="59"/>
  <c r="AY115" i="59"/>
  <c r="AY116" i="59"/>
  <c r="AY117" i="59"/>
  <c r="AY118" i="59"/>
  <c r="AY119" i="59"/>
  <c r="AY168" i="59" s="1"/>
  <c r="AY114" i="59"/>
  <c r="AY163" i="59" s="1"/>
  <c r="AY88" i="59" s="1"/>
  <c r="AQ127" i="59"/>
  <c r="AQ128" i="59"/>
  <c r="AQ129" i="59"/>
  <c r="AQ130" i="59"/>
  <c r="AQ131" i="59"/>
  <c r="AQ132" i="59"/>
  <c r="AA36" i="43"/>
  <c r="BH115" i="59"/>
  <c r="BH117" i="59"/>
  <c r="BH118" i="59"/>
  <c r="BH119" i="59"/>
  <c r="BH114" i="59"/>
  <c r="BH163" i="59" s="1"/>
  <c r="BH88" i="59" s="1"/>
  <c r="BH116" i="59"/>
  <c r="BC114" i="59"/>
  <c r="BC115" i="59"/>
  <c r="BC117" i="59"/>
  <c r="BC116" i="59"/>
  <c r="BC118" i="59"/>
  <c r="BC119" i="59"/>
  <c r="AQ116" i="59"/>
  <c r="AQ117" i="59"/>
  <c r="AQ118" i="59"/>
  <c r="AQ119" i="59"/>
  <c r="AQ114" i="59"/>
  <c r="AQ163" i="59" s="1"/>
  <c r="AQ88" i="59" s="1"/>
  <c r="AQ115" i="59"/>
  <c r="AW117" i="59"/>
  <c r="AW118" i="59"/>
  <c r="AW156" i="59" s="1"/>
  <c r="AW119" i="59"/>
  <c r="AW114" i="59"/>
  <c r="AW163" i="59" s="1"/>
  <c r="AW88" i="59" s="1"/>
  <c r="AW115" i="59"/>
  <c r="AW116" i="59"/>
  <c r="AK114" i="59"/>
  <c r="AK88" i="59" s="1"/>
  <c r="AK115" i="59"/>
  <c r="AK116" i="59"/>
  <c r="AK117" i="59"/>
  <c r="AK118" i="59"/>
  <c r="AK119" i="59"/>
  <c r="Q19" i="43"/>
  <c r="Q22" i="43" s="1"/>
  <c r="AV118" i="59"/>
  <c r="AV156" i="59" s="1"/>
  <c r="AV119" i="59"/>
  <c r="AV114" i="59"/>
  <c r="AV163" i="59" s="1"/>
  <c r="AV88" i="59" s="1"/>
  <c r="AV115" i="59"/>
  <c r="AV116" i="59"/>
  <c r="AV117" i="59"/>
  <c r="AI155" i="59"/>
  <c r="AI133" i="59"/>
  <c r="AL133" i="59"/>
  <c r="J20" i="43"/>
  <c r="AO129" i="59"/>
  <c r="AO130" i="59"/>
  <c r="AO131" i="59"/>
  <c r="AO132" i="59"/>
  <c r="AO127" i="59"/>
  <c r="AO128" i="59"/>
  <c r="AN118" i="59"/>
  <c r="AN156" i="59" s="1"/>
  <c r="AN119" i="59"/>
  <c r="AN115" i="59"/>
  <c r="AN114" i="59"/>
  <c r="AN163" i="59" s="1"/>
  <c r="AN88" i="59" s="1"/>
  <c r="AN116" i="59"/>
  <c r="AN117" i="59"/>
  <c r="AR127" i="59"/>
  <c r="AR128" i="59"/>
  <c r="AR129" i="59"/>
  <c r="AR130" i="59"/>
  <c r="AR131" i="59"/>
  <c r="AR132" i="59"/>
  <c r="BC132" i="59"/>
  <c r="BC127" i="59"/>
  <c r="BC128" i="59"/>
  <c r="BC129" i="59"/>
  <c r="BC130" i="59"/>
  <c r="BC131" i="59"/>
  <c r="AT114" i="59"/>
  <c r="AT115" i="59"/>
  <c r="AT116" i="59"/>
  <c r="AT117" i="59"/>
  <c r="AT118" i="59"/>
  <c r="AT119" i="59"/>
  <c r="BA114" i="59"/>
  <c r="BA163" i="59" s="1"/>
  <c r="BA88" i="59" s="1"/>
  <c r="BA99" i="59" s="1"/>
  <c r="BA115" i="59"/>
  <c r="BA116" i="59"/>
  <c r="BA118" i="59"/>
  <c r="BA156" i="59" s="1"/>
  <c r="BA117" i="59"/>
  <c r="BA119" i="59"/>
  <c r="BE133" i="59"/>
  <c r="AW133" i="59"/>
  <c r="BB117" i="59"/>
  <c r="BB114" i="59"/>
  <c r="BB163" i="59" s="1"/>
  <c r="BB88" i="59" s="1"/>
  <c r="BB118" i="59"/>
  <c r="BB156" i="59" s="1"/>
  <c r="BB115" i="59"/>
  <c r="BB119" i="59"/>
  <c r="BB116" i="59"/>
  <c r="W19" i="43"/>
  <c r="W21" i="43"/>
  <c r="L36" i="43"/>
  <c r="H36" i="43"/>
  <c r="N36" i="43"/>
  <c r="P21" i="43"/>
  <c r="X36" i="43"/>
  <c r="F36" i="43"/>
  <c r="V36" i="43"/>
  <c r="AA64" i="43"/>
  <c r="G64" i="43"/>
  <c r="L50" i="43"/>
  <c r="G36" i="43"/>
  <c r="AB36" i="43"/>
  <c r="W36" i="43"/>
  <c r="M64" i="43"/>
  <c r="H50" i="43"/>
  <c r="F50" i="43"/>
  <c r="AC36" i="43"/>
  <c r="X50" i="43"/>
  <c r="K64" i="43"/>
  <c r="AC64" i="43"/>
  <c r="M50" i="43"/>
  <c r="Y19" i="43"/>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M21" i="43"/>
  <c r="X19" i="43"/>
  <c r="L19" i="43"/>
  <c r="T20" i="43"/>
  <c r="R19" i="43"/>
  <c r="E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R20" i="43"/>
  <c r="B88" i="43"/>
  <c r="B89" i="43" s="1"/>
  <c r="D86" i="43" s="1"/>
  <c r="D120" i="61"/>
  <c r="AM90" i="59" l="1"/>
  <c r="AM101" i="59" s="1"/>
  <c r="AP93" i="59"/>
  <c r="AP104" i="59" s="1"/>
  <c r="AY93" i="59"/>
  <c r="AY104" i="59" s="1"/>
  <c r="AI93" i="59"/>
  <c r="AI104" i="59" s="1"/>
  <c r="AJ90" i="59"/>
  <c r="AJ101" i="59" s="1"/>
  <c r="AJ93" i="59"/>
  <c r="AJ104" i="59" s="1"/>
  <c r="AI90" i="59"/>
  <c r="AI101" i="59" s="1"/>
  <c r="BB99" i="59"/>
  <c r="AY99" i="59"/>
  <c r="BD99" i="59"/>
  <c r="BG99" i="59"/>
  <c r="AQ99" i="59"/>
  <c r="AS99" i="59"/>
  <c r="BH99" i="59"/>
  <c r="AJ89" i="59"/>
  <c r="AW99" i="59"/>
  <c r="AX99" i="59"/>
  <c r="AK99" i="59"/>
  <c r="AN99" i="59"/>
  <c r="AZ99" i="59"/>
  <c r="AI99" i="59"/>
  <c r="AV99" i="59"/>
  <c r="BH156" i="59"/>
  <c r="AX156" i="59"/>
  <c r="AQ156" i="59"/>
  <c r="AS156" i="59"/>
  <c r="AT163" i="59"/>
  <c r="AT88" i="59" s="1"/>
  <c r="AQ164" i="59"/>
  <c r="AM163" i="59"/>
  <c r="AM88" i="59" s="1"/>
  <c r="AP166" i="59"/>
  <c r="AP91" i="59" s="1"/>
  <c r="AP102" i="59" s="1"/>
  <c r="AK156" i="59"/>
  <c r="AZ164" i="59"/>
  <c r="AP146" i="59"/>
  <c r="AL146" i="59"/>
  <c r="BE146" i="59"/>
  <c r="AN146" i="59"/>
  <c r="AQ168" i="59"/>
  <c r="BE163" i="59"/>
  <c r="BE88" i="59" s="1"/>
  <c r="AT146" i="59"/>
  <c r="AM146" i="59"/>
  <c r="AW146" i="59"/>
  <c r="BH146" i="59"/>
  <c r="AY146" i="59"/>
  <c r="AM168" i="59"/>
  <c r="AS146" i="59"/>
  <c r="AU146" i="59"/>
  <c r="AX146" i="59"/>
  <c r="AZ146" i="59"/>
  <c r="S22" i="43"/>
  <c r="AT156" i="59"/>
  <c r="AQ166" i="59"/>
  <c r="AQ91" i="59" s="1"/>
  <c r="AQ102" i="59" s="1"/>
  <c r="AZ166" i="59"/>
  <c r="AZ91" i="59" s="1"/>
  <c r="AZ102" i="59" s="1"/>
  <c r="AO146" i="59"/>
  <c r="AQ146" i="59"/>
  <c r="AK146" i="59"/>
  <c r="AR146" i="59"/>
  <c r="BC146" i="59"/>
  <c r="AL163" i="59"/>
  <c r="AL88" i="59" s="1"/>
  <c r="BF146" i="59"/>
  <c r="BC163" i="59"/>
  <c r="BC88" i="59" s="1"/>
  <c r="BC99" i="59" s="1"/>
  <c r="AK164" i="59"/>
  <c r="BC166" i="59"/>
  <c r="BC91" i="59" s="1"/>
  <c r="BC102" i="59" s="1"/>
  <c r="AR168" i="59"/>
  <c r="AV157" i="59"/>
  <c r="AV168" i="59"/>
  <c r="BH153" i="59"/>
  <c r="BH164" i="59"/>
  <c r="AX155" i="59"/>
  <c r="AX166" i="59"/>
  <c r="AX91" i="59" s="1"/>
  <c r="AX102" i="59" s="1"/>
  <c r="AW154" i="59"/>
  <c r="AW165" i="59"/>
  <c r="S20" i="58" s="1"/>
  <c r="BC164" i="59"/>
  <c r="AZ168" i="59"/>
  <c r="AL154" i="59"/>
  <c r="AL165" i="59"/>
  <c r="H20" i="58" s="1"/>
  <c r="AX154" i="59"/>
  <c r="AX165" i="59"/>
  <c r="T20" i="58" s="1"/>
  <c r="AO165" i="59"/>
  <c r="K20" i="58" s="1"/>
  <c r="BF157" i="59"/>
  <c r="BF168" i="59"/>
  <c r="BD153" i="59"/>
  <c r="BD164" i="59"/>
  <c r="BE157" i="59"/>
  <c r="BE168" i="59"/>
  <c r="BG153" i="59"/>
  <c r="BG164" i="59"/>
  <c r="AU153" i="59"/>
  <c r="AU164" i="59"/>
  <c r="BG155" i="59"/>
  <c r="BG166" i="59"/>
  <c r="BG91" i="59" s="1"/>
  <c r="BG102" i="59" s="1"/>
  <c r="AT157" i="59"/>
  <c r="AT168" i="59"/>
  <c r="AW153" i="59"/>
  <c r="AW164" i="59"/>
  <c r="AL155" i="59"/>
  <c r="AL166" i="59"/>
  <c r="AL91" i="59" s="1"/>
  <c r="AL102" i="59" s="1"/>
  <c r="AP154" i="59"/>
  <c r="AP165" i="59"/>
  <c r="L20" i="58" s="1"/>
  <c r="AO164" i="59"/>
  <c r="AR166" i="59"/>
  <c r="AR91" i="59" s="1"/>
  <c r="AR102" i="59" s="1"/>
  <c r="BF155" i="59"/>
  <c r="BF166" i="59"/>
  <c r="BF91" i="59" s="1"/>
  <c r="BF102" i="59" s="1"/>
  <c r="AS153" i="59"/>
  <c r="AS164" i="59"/>
  <c r="AK157" i="59"/>
  <c r="AK168" i="59"/>
  <c r="BH154" i="59"/>
  <c r="BH165" i="59"/>
  <c r="AD20" i="58" s="1"/>
  <c r="AY155" i="59"/>
  <c r="AY166" i="59"/>
  <c r="AY91" i="59" s="1"/>
  <c r="AY102" i="59" s="1"/>
  <c r="AL153" i="59"/>
  <c r="AL164" i="59"/>
  <c r="AO163" i="59"/>
  <c r="AO88" i="59" s="1"/>
  <c r="AR165" i="59"/>
  <c r="N20" i="58" s="1"/>
  <c r="BD157" i="59"/>
  <c r="BD168" i="59"/>
  <c r="BE155" i="59"/>
  <c r="BE166" i="59"/>
  <c r="BE91" i="59" s="1"/>
  <c r="BE102" i="59" s="1"/>
  <c r="BG157" i="59"/>
  <c r="BG168" i="59"/>
  <c r="AU157" i="59"/>
  <c r="AU168" i="59"/>
  <c r="BB154" i="59"/>
  <c r="BB165" i="59"/>
  <c r="X20" i="58" s="1"/>
  <c r="BA157" i="59"/>
  <c r="BA168" i="59"/>
  <c r="AT155" i="59"/>
  <c r="AT166" i="59"/>
  <c r="AT91" i="59" s="1"/>
  <c r="AT102" i="59" s="1"/>
  <c r="AN155" i="59"/>
  <c r="AN166" i="59"/>
  <c r="AN91" i="59" s="1"/>
  <c r="AN102" i="59" s="1"/>
  <c r="AV155" i="59"/>
  <c r="AV166" i="59"/>
  <c r="AV91" i="59" s="1"/>
  <c r="AV102" i="59" s="1"/>
  <c r="AW157" i="59"/>
  <c r="AW168" i="59"/>
  <c r="AQ154" i="59"/>
  <c r="AQ165" i="59"/>
  <c r="M20" i="58" s="1"/>
  <c r="AY154" i="59"/>
  <c r="AY165" i="59"/>
  <c r="U20" i="58" s="1"/>
  <c r="AZ154" i="59"/>
  <c r="AZ165" i="59"/>
  <c r="V20" i="58" s="1"/>
  <c r="AM156" i="59"/>
  <c r="AX153" i="59"/>
  <c r="AX164" i="59"/>
  <c r="AS157" i="59"/>
  <c r="AS168" i="59"/>
  <c r="AO168" i="59"/>
  <c r="AR163" i="59"/>
  <c r="AR88" i="59" s="1"/>
  <c r="BE154" i="59"/>
  <c r="BE165" i="59"/>
  <c r="AA20" i="58" s="1"/>
  <c r="AN157" i="59"/>
  <c r="AN168" i="59"/>
  <c r="BA155" i="59"/>
  <c r="BA166" i="59"/>
  <c r="BA91" i="59" s="1"/>
  <c r="BA102" i="59" s="1"/>
  <c r="AN154" i="59"/>
  <c r="AN165" i="59"/>
  <c r="J20" i="58" s="1"/>
  <c r="AV154" i="59"/>
  <c r="AV165" i="59"/>
  <c r="R20" i="58" s="1"/>
  <c r="AK155" i="59"/>
  <c r="AK166" i="59"/>
  <c r="AK91" i="59" s="1"/>
  <c r="AK102" i="59" s="1"/>
  <c r="BC168" i="59"/>
  <c r="BH157" i="59"/>
  <c r="BH168" i="59"/>
  <c r="AY153" i="59"/>
  <c r="AY164" i="59"/>
  <c r="AP164" i="59"/>
  <c r="AM166" i="59"/>
  <c r="AM91" i="59" s="1"/>
  <c r="AM102" i="59" s="1"/>
  <c r="BE153" i="59"/>
  <c r="BE164" i="59"/>
  <c r="BG154" i="59"/>
  <c r="BG165" i="59"/>
  <c r="AC20" i="58" s="1"/>
  <c r="BA153" i="59"/>
  <c r="BA164" i="59"/>
  <c r="BD154" i="59"/>
  <c r="BD165" i="59"/>
  <c r="Z20" i="58" s="1"/>
  <c r="AU154" i="59"/>
  <c r="AU165" i="59"/>
  <c r="Q20" i="58" s="1"/>
  <c r="BB155" i="59"/>
  <c r="BB166" i="59"/>
  <c r="BB91" i="59" s="1"/>
  <c r="BB102" i="59" s="1"/>
  <c r="BB157" i="59"/>
  <c r="BB168" i="59"/>
  <c r="AT154" i="59"/>
  <c r="AT165" i="59"/>
  <c r="P20" i="58" s="1"/>
  <c r="BB153" i="59"/>
  <c r="BB164" i="59"/>
  <c r="AT153" i="59"/>
  <c r="AT164" i="59"/>
  <c r="AV153" i="59"/>
  <c r="AV164" i="59"/>
  <c r="AK154" i="59"/>
  <c r="AK165" i="59"/>
  <c r="G20" i="58" s="1"/>
  <c r="AW155" i="59"/>
  <c r="AW166" i="59"/>
  <c r="AW91" i="59" s="1"/>
  <c r="AW102" i="59" s="1"/>
  <c r="AP163" i="59"/>
  <c r="AP88" i="59" s="1"/>
  <c r="AM153" i="59"/>
  <c r="AM164" i="59"/>
  <c r="AX157" i="59"/>
  <c r="AX168" i="59"/>
  <c r="AS155" i="59"/>
  <c r="AS166" i="59"/>
  <c r="AS91" i="59" s="1"/>
  <c r="AS102" i="59" s="1"/>
  <c r="AO166" i="59"/>
  <c r="AO91" i="59" s="1"/>
  <c r="AO102" i="59" s="1"/>
  <c r="BF154" i="59"/>
  <c r="BF165" i="59"/>
  <c r="AB20" i="58" s="1"/>
  <c r="AK167" i="59"/>
  <c r="AK92" i="59" s="1"/>
  <c r="AK103" i="59" s="1"/>
  <c r="BA154" i="59"/>
  <c r="BA165" i="59"/>
  <c r="W20" i="58" s="1"/>
  <c r="AN153" i="59"/>
  <c r="AN164" i="59"/>
  <c r="BC165" i="59"/>
  <c r="Y20" i="58" s="1"/>
  <c r="BH155" i="59"/>
  <c r="BH166" i="59"/>
  <c r="BH91" i="59" s="1"/>
  <c r="BH102" i="59" s="1"/>
  <c r="AL157" i="59"/>
  <c r="AL168" i="59"/>
  <c r="AS154" i="59"/>
  <c r="AS165" i="59"/>
  <c r="O20" i="58" s="1"/>
  <c r="AR164" i="59"/>
  <c r="BF153" i="59"/>
  <c r="BF164" i="59"/>
  <c r="BD155" i="59"/>
  <c r="BD166" i="59"/>
  <c r="BD91" i="59" s="1"/>
  <c r="BD102" i="59" s="1"/>
  <c r="AU155" i="59"/>
  <c r="AU166" i="59"/>
  <c r="AU91" i="59" s="1"/>
  <c r="AU102" i="59" s="1"/>
  <c r="AJ158" i="59"/>
  <c r="AZ153" i="59"/>
  <c r="AP153" i="59"/>
  <c r="AK153" i="59"/>
  <c r="AQ153" i="59"/>
  <c r="BC154" i="59"/>
  <c r="AQ133" i="59"/>
  <c r="AP157" i="59"/>
  <c r="AM154" i="59"/>
  <c r="AO155" i="59"/>
  <c r="AM133" i="59"/>
  <c r="AP156" i="59"/>
  <c r="AM155" i="59"/>
  <c r="AM157" i="59"/>
  <c r="AY156" i="59"/>
  <c r="AQ155" i="59"/>
  <c r="AZ155" i="59"/>
  <c r="AV120" i="59"/>
  <c r="AV152" i="59"/>
  <c r="AK120" i="59"/>
  <c r="AK152" i="59"/>
  <c r="AQ120" i="59"/>
  <c r="AQ152" i="59"/>
  <c r="BC155" i="59"/>
  <c r="AY120" i="59"/>
  <c r="AY152" i="59"/>
  <c r="AM120" i="59"/>
  <c r="AM152" i="59"/>
  <c r="AR153" i="59"/>
  <c r="BA120" i="59"/>
  <c r="BA152" i="59"/>
  <c r="AQ157" i="59"/>
  <c r="BC153" i="59"/>
  <c r="AY157" i="59"/>
  <c r="AZ157" i="59"/>
  <c r="AP155" i="59"/>
  <c r="AR157" i="59"/>
  <c r="BF120" i="59"/>
  <c r="BF152" i="59"/>
  <c r="BE120" i="59"/>
  <c r="BE152" i="59"/>
  <c r="BC120" i="59"/>
  <c r="BC152" i="59"/>
  <c r="AO154" i="59"/>
  <c r="AR156" i="59"/>
  <c r="AR133" i="59"/>
  <c r="W22" i="43"/>
  <c r="AO133" i="59"/>
  <c r="AW120" i="59"/>
  <c r="AW152" i="59"/>
  <c r="AO153" i="59"/>
  <c r="AR155" i="59"/>
  <c r="AY133" i="59"/>
  <c r="Y22" i="43"/>
  <c r="BC133" i="59"/>
  <c r="BH120" i="59"/>
  <c r="BH152" i="59"/>
  <c r="AL120" i="59"/>
  <c r="AL152" i="59"/>
  <c r="AS120" i="59"/>
  <c r="AS152" i="59"/>
  <c r="AO120" i="59"/>
  <c r="AO152" i="59"/>
  <c r="AR154" i="59"/>
  <c r="AP133" i="59"/>
  <c r="AI158" i="59"/>
  <c r="AT120" i="59"/>
  <c r="AT152" i="59"/>
  <c r="BC157" i="59"/>
  <c r="AO157" i="59"/>
  <c r="AR120" i="59"/>
  <c r="AR152" i="59"/>
  <c r="BD120" i="59"/>
  <c r="BD152" i="59"/>
  <c r="AK133" i="59"/>
  <c r="BG120" i="59"/>
  <c r="BG152" i="59"/>
  <c r="AU120" i="59"/>
  <c r="AU152" i="59"/>
  <c r="AN120" i="59"/>
  <c r="AN152" i="59"/>
  <c r="BC156" i="59"/>
  <c r="AZ120" i="59"/>
  <c r="AZ152" i="59"/>
  <c r="AP120" i="59"/>
  <c r="AP152" i="59"/>
  <c r="AZ133" i="59"/>
  <c r="AX120" i="59"/>
  <c r="AX152" i="59"/>
  <c r="AO156" i="59"/>
  <c r="BB120" i="59"/>
  <c r="BB152" i="59"/>
  <c r="AA22" i="43"/>
  <c r="K22" i="43"/>
  <c r="U22" i="43"/>
  <c r="I22" i="43"/>
  <c r="G22" i="43"/>
  <c r="J22" i="43"/>
  <c r="L22" i="43"/>
  <c r="P22" i="43"/>
  <c r="F22" i="43"/>
  <c r="O22" i="43"/>
  <c r="X22" i="43"/>
  <c r="N22" i="43"/>
  <c r="T22" i="43"/>
  <c r="H22" i="43"/>
  <c r="Z22" i="43"/>
  <c r="AC22" i="43"/>
  <c r="R22" i="43"/>
  <c r="M22" i="43"/>
  <c r="F120" i="61"/>
  <c r="E120" i="61"/>
  <c r="AW90" i="59" l="1"/>
  <c r="AW101" i="59" s="1"/>
  <c r="AS90" i="59"/>
  <c r="AS101" i="59" s="1"/>
  <c r="AT90" i="59"/>
  <c r="AT101" i="59" s="1"/>
  <c r="BD90" i="59"/>
  <c r="BD101" i="59" s="1"/>
  <c r="AO90" i="59"/>
  <c r="AO101" i="59" s="1"/>
  <c r="BA90" i="59"/>
  <c r="BA101" i="59" s="1"/>
  <c r="AV90" i="59"/>
  <c r="AV101" i="59" s="1"/>
  <c r="BE90" i="59"/>
  <c r="BE101" i="59" s="1"/>
  <c r="AX90" i="59"/>
  <c r="AX101" i="59" s="1"/>
  <c r="AN90" i="59"/>
  <c r="AN101" i="59" s="1"/>
  <c r="AL90" i="59"/>
  <c r="AL101" i="59" s="1"/>
  <c r="BF90" i="59"/>
  <c r="BF101" i="59" s="1"/>
  <c r="AK90" i="59"/>
  <c r="AK101" i="59" s="1"/>
  <c r="AZ90" i="59"/>
  <c r="AZ101" i="59" s="1"/>
  <c r="BB90" i="59"/>
  <c r="BB101" i="59" s="1"/>
  <c r="BH90" i="59"/>
  <c r="BH101" i="59" s="1"/>
  <c r="BG90" i="59"/>
  <c r="BG101" i="59" s="1"/>
  <c r="AY90" i="59"/>
  <c r="AY101" i="59" s="1"/>
  <c r="AR90" i="59"/>
  <c r="AR101" i="59" s="1"/>
  <c r="AP90" i="59"/>
  <c r="AP101" i="59" s="1"/>
  <c r="BC90" i="59"/>
  <c r="BC101" i="59" s="1"/>
  <c r="AU90" i="59"/>
  <c r="AU101" i="59" s="1"/>
  <c r="AQ90" i="59"/>
  <c r="AQ101" i="59" s="1"/>
  <c r="AZ93" i="59"/>
  <c r="AZ104" i="59" s="1"/>
  <c r="AS93" i="59"/>
  <c r="AS104" i="59" s="1"/>
  <c r="AV93" i="59"/>
  <c r="AV104" i="59" s="1"/>
  <c r="BC93" i="59"/>
  <c r="BC104" i="59" s="1"/>
  <c r="BG93" i="59"/>
  <c r="BG104" i="59" s="1"/>
  <c r="BF93" i="59"/>
  <c r="BF104" i="59" s="1"/>
  <c r="AN93" i="59"/>
  <c r="AN104" i="59" s="1"/>
  <c r="AR93" i="59"/>
  <c r="AR104" i="59" s="1"/>
  <c r="AW93" i="59"/>
  <c r="AW104" i="59" s="1"/>
  <c r="BA93" i="59"/>
  <c r="BA104" i="59" s="1"/>
  <c r="AX93" i="59"/>
  <c r="AX104" i="59" s="1"/>
  <c r="AQ93" i="59"/>
  <c r="AQ104" i="59" s="1"/>
  <c r="AL93" i="59"/>
  <c r="AL104" i="59" s="1"/>
  <c r="BB93" i="59"/>
  <c r="BB104" i="59" s="1"/>
  <c r="BD93" i="59"/>
  <c r="BD104" i="59" s="1"/>
  <c r="AT93" i="59"/>
  <c r="AT104" i="59" s="1"/>
  <c r="BE93" i="59"/>
  <c r="BE104" i="59" s="1"/>
  <c r="AM93" i="59"/>
  <c r="AM104" i="59" s="1"/>
  <c r="BH93" i="59"/>
  <c r="BH104" i="59" s="1"/>
  <c r="AO93" i="59"/>
  <c r="AO104" i="59" s="1"/>
  <c r="AU93" i="59"/>
  <c r="AU104" i="59" s="1"/>
  <c r="AK93" i="59"/>
  <c r="AK104" i="59" s="1"/>
  <c r="AI89" i="59"/>
  <c r="AI100" i="59" s="1"/>
  <c r="AX158" i="59"/>
  <c r="AK89" i="59"/>
  <c r="AM99" i="59"/>
  <c r="BE99" i="59"/>
  <c r="AR99" i="59"/>
  <c r="AT99" i="59"/>
  <c r="AL99" i="59"/>
  <c r="AP99" i="59"/>
  <c r="AO99" i="59"/>
  <c r="AJ100" i="59"/>
  <c r="AJ94" i="59"/>
  <c r="AN158" i="59"/>
  <c r="AW158" i="59"/>
  <c r="BD158" i="59"/>
  <c r="BH158" i="59"/>
  <c r="BE158" i="59"/>
  <c r="BA158" i="59"/>
  <c r="AU158" i="59"/>
  <c r="BF158" i="59"/>
  <c r="BG158" i="59"/>
  <c r="AS158" i="59"/>
  <c r="AK158" i="59"/>
  <c r="AL167" i="59"/>
  <c r="AL92" i="59" s="1"/>
  <c r="AL103" i="59" s="1"/>
  <c r="AT158" i="59"/>
  <c r="AL158" i="59"/>
  <c r="AV158" i="59"/>
  <c r="AH152" i="59"/>
  <c r="AH156" i="59"/>
  <c r="AZ158" i="59"/>
  <c r="AM158" i="59"/>
  <c r="AH153" i="59"/>
  <c r="AY158" i="59"/>
  <c r="AH155" i="59"/>
  <c r="AO158" i="59"/>
  <c r="AH154" i="59"/>
  <c r="AH157" i="59"/>
  <c r="AP158" i="59"/>
  <c r="AR158" i="59"/>
  <c r="BC158" i="59"/>
  <c r="AQ158" i="59"/>
  <c r="BB158" i="59"/>
  <c r="G120" i="61"/>
  <c r="AY89" i="59" l="1"/>
  <c r="AY100" i="59" s="1"/>
  <c r="BA89" i="59"/>
  <c r="AP89" i="59"/>
  <c r="AP100" i="59" s="1"/>
  <c r="AM89" i="59"/>
  <c r="AM100" i="59" s="1"/>
  <c r="AS89" i="59"/>
  <c r="BF89" i="59"/>
  <c r="BF100" i="59" s="1"/>
  <c r="BE89" i="59"/>
  <c r="BE100" i="59" s="1"/>
  <c r="BG89" i="59"/>
  <c r="BG100" i="59" s="1"/>
  <c r="AI94" i="59"/>
  <c r="AX89" i="59"/>
  <c r="AX100" i="59" s="1"/>
  <c r="BB89" i="59"/>
  <c r="BB100" i="59" s="1"/>
  <c r="AW89" i="59"/>
  <c r="AR89" i="59"/>
  <c r="AR100" i="59" s="1"/>
  <c r="AZ89" i="59"/>
  <c r="AZ100" i="59" s="1"/>
  <c r="BH89" i="59"/>
  <c r="BH100" i="59" s="1"/>
  <c r="AU89" i="59"/>
  <c r="AQ89" i="59"/>
  <c r="AN89" i="59"/>
  <c r="AO89" i="59"/>
  <c r="BA100" i="59"/>
  <c r="AK100" i="59"/>
  <c r="AK94" i="59"/>
  <c r="AL89" i="59"/>
  <c r="BD89" i="59"/>
  <c r="AT89" i="59"/>
  <c r="AV89" i="59"/>
  <c r="BC89" i="59"/>
  <c r="AM167" i="59"/>
  <c r="AM92" i="59" s="1"/>
  <c r="AM103" i="59" s="1"/>
  <c r="AH158" i="59"/>
  <c r="H120" i="61"/>
  <c r="AM94" i="59" l="1"/>
  <c r="AW100" i="59"/>
  <c r="AS100" i="59"/>
  <c r="AO100" i="59"/>
  <c r="AT100" i="59"/>
  <c r="AN100" i="59"/>
  <c r="AQ100" i="59"/>
  <c r="AU100" i="59"/>
  <c r="BC100" i="59"/>
  <c r="BD100" i="59"/>
  <c r="AV100" i="59"/>
  <c r="AL100" i="59"/>
  <c r="AL94" i="59"/>
  <c r="AN167" i="59"/>
  <c r="AN92" i="59" s="1"/>
  <c r="AN103" i="59" s="1"/>
  <c r="I120" i="61"/>
  <c r="AN94" i="59" l="1"/>
  <c r="AO167" i="59"/>
  <c r="AO92" i="59" s="1"/>
  <c r="J120" i="61"/>
  <c r="AO103" i="59" l="1"/>
  <c r="AO94" i="59"/>
  <c r="AP167" i="59"/>
  <c r="AP92" i="59" s="1"/>
  <c r="K120" i="61"/>
  <c r="AP103" i="59" l="1"/>
  <c r="AP94" i="59"/>
  <c r="AQ167" i="59"/>
  <c r="AQ92" i="59" s="1"/>
  <c r="L120" i="61"/>
  <c r="AQ103" i="59" l="1"/>
  <c r="AQ94" i="59"/>
  <c r="AR167" i="59"/>
  <c r="AR92" i="59" s="1"/>
  <c r="M120" i="61"/>
  <c r="AR103" i="59" l="1"/>
  <c r="AR94" i="59"/>
  <c r="AS167" i="59"/>
  <c r="AS92" i="59" s="1"/>
  <c r="N120" i="61"/>
  <c r="AS103" i="59" l="1"/>
  <c r="AS94" i="59"/>
  <c r="AT167" i="59"/>
  <c r="AT92" i="59" s="1"/>
  <c r="O120" i="61"/>
  <c r="AT103" i="59" l="1"/>
  <c r="AT94" i="59"/>
  <c r="AU167" i="59"/>
  <c r="AU92" i="59" s="1"/>
  <c r="P120" i="61"/>
  <c r="AU103" i="59" l="1"/>
  <c r="AU94" i="59"/>
  <c r="AV167" i="59"/>
  <c r="AV92" i="59" s="1"/>
  <c r="Q120" i="61"/>
  <c r="AV103" i="59" l="1"/>
  <c r="AV94" i="59"/>
  <c r="AW167" i="59"/>
  <c r="AW92" i="59" s="1"/>
  <c r="R120" i="61"/>
  <c r="AW103" i="59" l="1"/>
  <c r="AW94" i="59"/>
  <c r="AX167" i="59"/>
  <c r="AX92" i="59" s="1"/>
  <c r="S120" i="61"/>
  <c r="AX103" i="59" l="1"/>
  <c r="AX94" i="59"/>
  <c r="AY167" i="59"/>
  <c r="AY92" i="59" s="1"/>
  <c r="T120" i="61"/>
  <c r="AY103" i="59" l="1"/>
  <c r="AY94" i="59"/>
  <c r="AZ167" i="59"/>
  <c r="AZ92" i="59" s="1"/>
  <c r="U120" i="61"/>
  <c r="AZ103" i="59" l="1"/>
  <c r="AZ94" i="59"/>
  <c r="BA167" i="59"/>
  <c r="BA92" i="59" s="1"/>
  <c r="V120" i="61"/>
  <c r="BA103" i="59" l="1"/>
  <c r="BA94" i="59"/>
  <c r="BB167" i="59"/>
  <c r="BB92" i="59" s="1"/>
  <c r="W120" i="61"/>
  <c r="BB103" i="59" l="1"/>
  <c r="BB94" i="59"/>
  <c r="BC167" i="59"/>
  <c r="BC92" i="59" s="1"/>
  <c r="X120" i="61"/>
  <c r="BC103" i="59" l="1"/>
  <c r="BC94" i="59"/>
  <c r="BD167" i="59"/>
  <c r="BD92" i="59" s="1"/>
  <c r="Y120" i="61"/>
  <c r="BD103" i="59" l="1"/>
  <c r="BD94" i="59"/>
  <c r="BE167" i="59"/>
  <c r="BE92" i="59" s="1"/>
  <c r="Z120" i="61"/>
  <c r="BE103" i="59" l="1"/>
  <c r="BE94" i="59"/>
  <c r="BF167" i="59"/>
  <c r="BF92" i="59" s="1"/>
  <c r="AA120" i="61"/>
  <c r="BF103" i="59" l="1"/>
  <c r="BF94" i="59"/>
  <c r="BG167" i="59"/>
  <c r="BG92" i="59" s="1"/>
  <c r="AB120" i="61"/>
  <c r="BG103" i="59" l="1"/>
  <c r="BG94" i="59"/>
  <c r="BH167" i="59"/>
  <c r="BH92" i="59" s="1"/>
  <c r="AD120" i="61"/>
  <c r="AC120" i="61"/>
  <c r="F287" i="43"/>
  <c r="F288" i="43" s="1"/>
  <c r="BH103" i="59" l="1"/>
  <c r="BH94"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7"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7"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<sst xmlns="http://schemas.openxmlformats.org/spreadsheetml/2006/main" count="3235" uniqueCount="1121">
  <si>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</si>
  <si>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</si>
  <si>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</si>
  <si>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</si>
  <si>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</si>
  <si>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</si>
  <si>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</si>
  <si>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</si>
  <si>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</si>
  <si>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</si>
  <si>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</si>
  <si>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</si>
  <si>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</si>
  <si>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</si>
  <si>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</si>
  <si>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</si>
  <si>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</si>
  <si>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</si>
  <si>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</si>
  <si>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</si>
  <si>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</si>
  <si>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</si>
  <si>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</si>
  <si>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</si>
  <si>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</si>
  <si>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</si>
  <si>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</si>
  <si>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</si>
  <si>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</si>
  <si>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</si>
  <si>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</si>
  <si>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</si>
  <si>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</si>
  <si>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</si>
  <si>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</si>
  <si>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</si>
  <si>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</si>
  <si>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</si>
  <si>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</si>
  <si>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</si>
  <si>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</si>
  <si>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</si>
  <si>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</si>
  <si>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</si>
  <si>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</si>
  <si>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</si>
  <si>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</si>
  <si>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</si>
  <si>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</si>
  <si>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</si>
  <si>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</si>
  <si>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</si>
  <si>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</si>
  <si>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</si>
  <si>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</si>
  <si>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</si>
  <si>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</si>
  <si>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</si>
  <si>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</si>
  <si>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</si>
  <si>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</si>
  <si>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</si>
  <si>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</si>
  <si>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</si>
  <si>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</si>
  <si>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</si>
  <si>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</si>
  <si>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</si>
  <si>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</si>
  <si>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</si>
  <si>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</si>
  <si>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</si>
  <si>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</si>
  <si>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</si>
  <si>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</si>
  <si>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</si>
  <si>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</si>
  <si>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</si>
  <si>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</si>
  <si>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</si>
  <si>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</si>
  <si>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</si>
  <si>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</si>
  <si>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</si>
  <si>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</si>
  <si>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</si>
  <si>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</si>
  <si>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</si>
  <si>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</si>
  <si>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</si>
  <si>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</si>
  <si>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</si>
  <si>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</si>
  <si>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</si>
  <si>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</si>
  <si>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</si>
  <si>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</si>
  <si>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</si>
  <si>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</si>
  <si>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</si>
  <si>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</si>
  <si>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</si>
  <si>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</si>
  <si>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</si>
  <si>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</si>
  <si>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</si>
  <si>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</si>
  <si>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</si>
  <si>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</si>
  <si>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</si>
  <si>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</si>
  <si>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</si>
  <si>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</si>
  <si>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</si>
  <si>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</si>
  <si>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</si>
  <si>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</si>
  <si>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</si>
  <si>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</si>
  <si>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</si>
  <si>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</si>
  <si>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</si>
  <si>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</si>
  <si>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</si>
  <si>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</si>
  <si>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</si>
  <si>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</si>
  <si>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</si>
  <si>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</si>
  <si>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</si>
  <si>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</si>
  <si>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</si>
  <si>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</si>
  <si>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</si>
  <si>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</si>
  <si>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</si>
  <si>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</si>
  <si>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</si>
  <si>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</si>
  <si>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</si>
  <si>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</si>
  <si>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</si>
  <si>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</si>
  <si>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</si>
  <si>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</si>
  <si>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</si>
  <si>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</si>
  <si>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</si>
  <si>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</si>
  <si>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</si>
  <si>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</si>
  <si>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</si>
  <si>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</si>
  <si>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</si>
  <si>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</si>
  <si>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</si>
  <si>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</si>
  <si>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</si>
  <si>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</si>
  <si>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</si>
  <si>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</si>
  <si>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</si>
  <si>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</si>
  <si>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</si>
  <si>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</si>
  <si>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</si>
  <si>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</si>
  <si>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</si>
  <si>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</si>
  <si>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</si>
  <si>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</si>
  <si>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</si>
  <si>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</si>
  <si>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</si>
  <si>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</si>
  <si>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</si>
  <si>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</si>
  <si>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</si>
  <si>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</si>
  <si>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</si>
  <si>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</si>
  <si>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</si>
  <si>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</si>
  <si>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</si>
  <si>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</si>
  <si>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</si>
  <si>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</si>
  <si>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</si>
  <si>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</si>
  <si>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</si>
  <si>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</si>
  <si>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</si>
  <si>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</si>
  <si>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</si>
  <si>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</si>
  <si>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</si>
  <si>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</si>
  <si>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</si>
  <si>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</si>
  <si>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</si>
  <si>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</si>
  <si>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</si>
  <si>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</si>
  <si>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</si>
  <si>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</si>
  <si>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</si>
  <si>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</si>
  <si>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</si>
  <si>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</si>
  <si>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</si>
  <si>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</si>
  <si>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</si>
  <si>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</si>
  <si>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</si>
  <si>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</si>
  <si>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</si>
  <si>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</si>
  <si>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</si>
  <si>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</si>
  <si>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</si>
  <si>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</si>
  <si>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</si>
  <si>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</si>
  <si>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</si>
  <si>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</si>
  <si>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</si>
  <si>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</si>
  <si>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</si>
  <si>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</si>
  <si>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</si>
  <si>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</si>
  <si>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</si>
  <si>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</si>
  <si>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</si>
  <si>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</si>
  <si>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</si>
  <si>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</si>
  <si>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</si>
  <si>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</si>
  <si>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</si>
  <si>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</si>
  <si>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</si>
  <si>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</si>
  <si>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</si>
  <si>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</si>
  <si>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</si>
  <si>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</si>
  <si>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</si>
  <si>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</si>
  <si>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</si>
  <si>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</si>
  <si>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</si>
  <si>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</si>
  <si>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</si>
  <si>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</si>
  <si>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</si>
  <si>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</si>
  <si>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</si>
  <si>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</si>
  <si>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</si>
  <si>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</si>
  <si>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</si>
  <si>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</si>
  <si>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</si>
  <si>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</si>
  <si>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</si>
  <si>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</si>
  <si>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</si>
  <si>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</si>
  <si>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</si>
  <si>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</si>
  <si>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</si>
  <si>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</si>
  <si>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</si>
  <si>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</si>
  <si>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</si>
  <si>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</si>
  <si>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</si>
  <si>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</si>
  <si>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</si>
  <si>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</si>
  <si>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</si>
  <si>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</si>
  <si>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</si>
  <si>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</si>
  <si>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</si>
  <si>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</si>
  <si>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</si>
  <si>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</si>
  <si>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</si>
  <si>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</si>
  <si>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</si>
  <si>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</si>
  <si>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</si>
  <si>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</si>
  <si>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</si>
  <si>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</si>
  <si>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</si>
  <si>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</si>
  <si>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</si>
  <si>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</si>
  <si>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</si>
  <si>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</si>
  <si>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</si>
  <si>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</si>
  <si>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</si>
  <si>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</si>
  <si>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</si>
  <si>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</si>
  <si>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</si>
  <si>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</si>
  <si>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</si>
  <si>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</si>
  <si>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</si>
  <si>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</si>
  <si>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</si>
  <si>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</si>
  <si>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</si>
  <si>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</si>
  <si>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</si>
  <si>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</si>
  <si>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</si>
  <si>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</si>
  <si>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</si>
  <si>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</si>
  <si>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</si>
  <si>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</si>
  <si>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</si>
  <si>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</si>
  <si>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</si>
  <si>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</si>
  <si>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</si>
  <si>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</si>
  <si>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</si>
  <si>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</si>
  <si>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</si>
  <si>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</si>
  <si>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</si>
  <si>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</si>
  <si>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</si>
  <si>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</si>
  <si>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</si>
  <si>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</si>
  <si>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</si>
  <si>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</si>
  <si>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</si>
  <si>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</si>
  <si>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</si>
  <si>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</si>
  <si>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</si>
  <si>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</si>
  <si>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</si>
  <si>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</si>
  <si>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</si>
  <si>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</si>
  <si>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</si>
  <si>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</si>
  <si>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</si>
  <si>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</si>
  <si>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</si>
  <si>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</si>
  <si>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</si>
  <si>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</si>
  <si>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</si>
  <si>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</si>
  <si>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</si>
  <si>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</si>
  <si>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</si>
  <si>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</si>
  <si>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</si>
  <si>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</si>
  <si>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</si>
  <si>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</si>
  <si>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</si>
  <si>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</si>
  <si>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</si>
  <si>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</si>
  <si>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</si>
  <si>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</si>
  <si>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</si>
  <si>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</si>
  <si>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</si>
  <si>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</si>
  <si>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</si>
  <si>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</si>
  <si>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</si>
  <si>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</si>
  <si>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</si>
  <si>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</si>
  <si>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</si>
  <si>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</si>
  <si>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</si>
  <si>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</si>
  <si>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</si>
  <si>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</si>
  <si>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</si>
  <si>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</si>
  <si>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</si>
  <si>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</si>
  <si>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</si>
  <si>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</si>
  <si>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</si>
  <si>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</si>
  <si>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</si>
  <si>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</si>
  <si>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</si>
  <si>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</si>
  <si>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</si>
  <si>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</si>
  <si>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</si>
  <si>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</si>
  <si>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</si>
  <si>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</si>
  <si>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</si>
  <si>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</si>
  <si>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</si>
  <si>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</si>
  <si>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</si>
  <si>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</si>
  <si>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</si>
  <si>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</si>
  <si>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</si>
  <si>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</si>
  <si>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</si>
  <si>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</si>
  <si>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</si>
  <si>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</si>
  <si>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</si>
  <si>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</si>
  <si>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</si>
  <si>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</si>
  <si>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</si>
  <si>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</si>
  <si>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</si>
  <si>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</si>
  <si>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</si>
  <si>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</si>
  <si>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</si>
  <si>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</si>
  <si>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</si>
  <si>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</si>
  <si>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</si>
  <si>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</si>
  <si>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</si>
  <si>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</si>
  <si>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</si>
  <si>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</si>
  <si>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</si>
  <si>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</si>
  <si>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</si>
  <si>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</si>
  <si>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</si>
  <si>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</si>
  <si>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</si>
  <si>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</si>
  <si>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</si>
  <si>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</si>
  <si>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</si>
  <si>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</si>
  <si>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</si>
  <si>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</si>
  <si>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</si>
  <si>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</si>
  <si>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</si>
  <si>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</si>
  <si>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</si>
  <si>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</si>
  <si>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</si>
  <si>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</si>
  <si>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</si>
  <si>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</si>
  <si>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</si>
  <si>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</si>
  <si>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</si>
  <si>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</si>
  <si>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</si>
  <si>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</si>
  <si>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</si>
  <si>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</si>
  <si>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</si>
  <si>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</si>
  <si>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</si>
  <si>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</si>
  <si>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</si>
  <si>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</si>
  <si>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</si>
  <si>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</si>
  <si>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</si>
  <si>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</si>
  <si>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</si>
  <si>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</si>
  <si>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</si>
  <si>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</si>
  <si>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</si>
  <si>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</si>
  <si>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</si>
  <si>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</si>
  <si>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</si>
  <si>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</si>
  <si>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</si>
  <si>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</si>
  <si>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</si>
  <si>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</si>
  <si>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</si>
  <si>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</si>
  <si>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</si>
  <si>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</si>
  <si>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</si>
  <si>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</si>
  <si>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</si>
  <si>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</si>
  <si>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</si>
  <si>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</si>
  <si>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</si>
  <si>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</si>
  <si>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</si>
  <si>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</si>
  <si>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</si>
  <si>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</si>
  <si>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</si>
  <si>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</si>
  <si>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</si>
  <si>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</si>
  <si>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</si>
  <si>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</si>
  <si>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</si>
  <si>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</si>
  <si>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</si>
  <si>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</si>
  <si>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</si>
  <si>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</si>
  <si>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</si>
  <si>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</si>
  <si>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</si>
  <si>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</si>
  <si>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</si>
  <si>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</si>
  <si>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</si>
  <si>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</si>
  <si>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</si>
  <si>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</si>
  <si>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</si>
  <si>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</si>
  <si>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</si>
  <si>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</si>
  <si>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</si>
  <si>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</si>
  <si>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</si>
  <si>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</si>
  <si>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</si>
  <si>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</si>
  <si>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</si>
  <si>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</si>
  <si>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</si>
  <si>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</si>
  <si>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</si>
  <si>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</si>
  <si>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</si>
  <si>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</si>
  <si>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</si>
  <si>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</si>
  <si>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</si>
  <si>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</si>
  <si>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</si>
  <si>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</si>
  <si>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</si>
  <si>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</si>
  <si>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</si>
  <si>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</si>
  <si>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</si>
  <si>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</si>
  <si>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</si>
  <si>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</si>
  <si>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</si>
  <si>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</si>
  <si>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</si>
  <si>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</si>
  <si>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</si>
  <si>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</si>
  <si>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</si>
  <si>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</si>
  <si>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</si>
  <si>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</si>
  <si>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</si>
  <si>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</si>
  <si>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</si>
  <si>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</si>
  <si>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</si>
  <si>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</si>
  <si>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</si>
  <si>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</si>
  <si>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</si>
  <si>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CSO, Table THA17</t>
  </si>
  <si>
    <t>Vehicle type (Existing technologies)</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</si>
  <si>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</si>
  <si>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</si>
  <si>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</si>
  <si>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</si>
  <si>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</si>
  <si>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</si>
  <si>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</si>
  <si>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</si>
  <si>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</si>
  <si>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</si>
  <si>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</si>
  <si>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</si>
  <si>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</si>
  <si>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</si>
  <si>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</si>
  <si>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</si>
  <si>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</si>
  <si>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</si>
  <si>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</si>
  <si>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</si>
  <si>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</si>
  <si>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</si>
  <si>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</si>
  <si>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</si>
  <si>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</si>
  <si>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</si>
  <si>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</si>
  <si>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</si>
  <si>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</si>
  <si>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</si>
  <si>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</si>
  <si>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</si>
  <si>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</si>
  <si>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</si>
  <si>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</si>
  <si>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</si>
  <si>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</si>
  <si>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</si>
  <si>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</si>
  <si>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</si>
  <si>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</si>
  <si>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</si>
  <si>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</si>
  <si>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</si>
  <si>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</si>
  <si>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</si>
  <si>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</si>
  <si>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</si>
  <si>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</si>
  <si>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</si>
  <si>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</si>
  <si>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</si>
  <si>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</si>
  <si>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</si>
  <si>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</si>
  <si>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</si>
  <si>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</si>
  <si>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</si>
  <si>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</si>
  <si>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</si>
  <si>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</si>
  <si>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</si>
  <si>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</si>
  <si>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</si>
  <si>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</si>
  <si>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</si>
  <si>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</si>
  <si>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</si>
  <si>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</si>
  <si>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</si>
  <si>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</si>
  <si>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</si>
  <si>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</si>
  <si>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</si>
  <si>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</si>
  <si>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</si>
  <si>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</si>
  <si>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</si>
  <si>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</si>
  <si>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</si>
  <si>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</si>
  <si>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</si>
  <si>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</si>
  <si>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</si>
  <si>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</si>
  <si>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</si>
  <si>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</si>
  <si>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</si>
  <si>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</si>
  <si>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</si>
  <si>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</si>
  <si>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</si>
  <si>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</si>
  <si>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</si>
  <si>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</si>
  <si>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</si>
  <si>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</si>
  <si>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</si>
  <si>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</si>
  <si>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</si>
  <si>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</si>
  <si>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</si>
  <si>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</si>
  <si>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</si>
  <si>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</si>
  <si>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</si>
  <si>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</si>
  <si>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</si>
  <si>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</si>
  <si>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</si>
  <si>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</si>
  <si>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</si>
  <si>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</si>
  <si>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</si>
  <si>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</si>
  <si>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</si>
  <si>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</si>
  <si>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</si>
  <si>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</si>
  <si>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</si>
  <si>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</si>
  <si>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</si>
  <si>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</si>
  <si>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</si>
  <si>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</si>
  <si>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</si>
  <si>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</si>
  <si>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</si>
  <si>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</si>
  <si>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</si>
  <si>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</si>
  <si>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</si>
  <si>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</si>
  <si>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</si>
  <si>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</si>
  <si>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</si>
  <si>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</si>
  <si>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</si>
  <si>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</si>
  <si>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</si>
  <si>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</si>
  <si>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</si>
  <si>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</si>
  <si>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</si>
  <si>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</si>
  <si>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</si>
  <si>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</si>
  <si>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</si>
  <si>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</si>
  <si>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</si>
  <si>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</si>
  <si>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</si>
  <si>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</si>
  <si>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</si>
  <si>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</si>
  <si>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</si>
  <si>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</si>
  <si>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</si>
  <si>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</si>
  <si>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</si>
  <si>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</si>
  <si>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</si>
  <si>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</si>
  <si>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</si>
  <si>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</si>
  <si>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</si>
  <si>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</si>
  <si>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</si>
  <si>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</si>
  <si>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</si>
  <si>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</si>
  <si>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</si>
  <si>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</si>
  <si>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</si>
  <si>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</si>
  <si>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</si>
  <si>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</si>
  <si>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</si>
  <si>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</si>
  <si>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</si>
  <si>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</si>
  <si>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</si>
  <si>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</si>
  <si>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</si>
  <si>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</si>
  <si>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</si>
  <si>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</si>
  <si>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</si>
  <si>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</si>
  <si>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</si>
  <si>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</si>
  <si>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</si>
  <si>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</si>
  <si>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</si>
  <si>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</si>
  <si>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</si>
  <si>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</si>
  <si>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</si>
  <si>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</si>
  <si>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</si>
  <si>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</si>
  <si>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</si>
  <si>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</si>
  <si>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</si>
  <si>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</si>
  <si>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</si>
  <si>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</si>
  <si>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</si>
  <si>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</si>
  <si>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</si>
  <si>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</si>
  <si>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</si>
  <si>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</si>
  <si>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</si>
  <si>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</si>
  <si>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</si>
  <si>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</si>
  <si>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</si>
  <si>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</si>
  <si>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</si>
  <si>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</si>
  <si>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</si>
  <si>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</si>
  <si>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</si>
  <si>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</si>
  <si>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</si>
  <si>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</si>
  <si>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</si>
  <si>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</si>
  <si>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</si>
  <si>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</si>
  <si>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</si>
  <si>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</si>
  <si>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</si>
  <si>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</si>
  <si>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</si>
  <si>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</si>
  <si>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</si>
  <si>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</si>
  <si>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</si>
  <si>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</si>
  <si>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</si>
  <si>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</si>
  <si>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</si>
  <si>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</si>
  <si>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</si>
  <si>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</si>
  <si>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</si>
  <si>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</si>
  <si>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</si>
  <si>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</si>
  <si>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</si>
  <si>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</si>
  <si>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</si>
  <si>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</si>
  <si>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</si>
  <si>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</si>
  <si>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</si>
  <si>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</si>
  <si>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</si>
  <si>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</si>
  <si>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</si>
  <si>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Calibration for demand</t>
  </si>
  <si>
    <t>Mpkm/yr</t>
  </si>
  <si>
    <t>Mtkm/yr</t>
  </si>
  <si>
    <t>*Trucks and Rail</t>
  </si>
  <si>
    <t>TRALNG</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</si>
  <si>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</si>
  <si>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</si>
  <si>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</si>
  <si>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</si>
  <si>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</si>
  <si>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</si>
  <si>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</si>
  <si>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</si>
  <si>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</si>
  <si>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</si>
  <si>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</si>
  <si>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</si>
  <si>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</si>
  <si>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</si>
  <si>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</si>
  <si>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</si>
  <si>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</si>
  <si>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</si>
  <si>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</si>
  <si>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</si>
  <si>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</si>
  <si>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</si>
  <si>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</si>
  <si>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</si>
  <si>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</si>
  <si>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</si>
  <si>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</si>
  <si>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</si>
  <si>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</si>
  <si>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</si>
  <si>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</si>
  <si>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</si>
  <si>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</si>
  <si>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</si>
  <si>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</si>
  <si>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</si>
  <si>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</si>
  <si>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</si>
  <si>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</si>
  <si>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</si>
  <si>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</si>
  <si>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</si>
  <si>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</si>
  <si>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</si>
  <si>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</si>
  <si>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</si>
  <si>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</si>
  <si>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</si>
  <si>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</si>
  <si>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</si>
  <si>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</si>
  <si>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</si>
  <si>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</si>
  <si>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</si>
  <si>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</si>
  <si>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</si>
  <si>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</si>
  <si>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</si>
  <si>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</si>
  <si>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</si>
  <si>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</si>
  <si>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</si>
  <si>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</si>
  <si>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</si>
  <si>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</si>
  <si>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</si>
  <si>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</si>
  <si>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</si>
  <si>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</si>
  <si>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</si>
  <si>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</si>
  <si>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</si>
  <si>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</si>
  <si>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</si>
  <si>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</si>
  <si>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</si>
  <si>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</si>
  <si>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</si>
  <si>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</si>
  <si>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</si>
  <si>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</si>
  <si>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</si>
  <si>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</si>
  <si>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</si>
  <si>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</si>
  <si>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</si>
  <si>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</si>
  <si>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</si>
  <si>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</si>
  <si>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</si>
  <si>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</si>
  <si>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</si>
  <si>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</si>
  <si>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</si>
  <si>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</si>
  <si>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</si>
  <si>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</si>
  <si>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</si>
  <si>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</si>
  <si>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</si>
  <si>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</si>
  <si>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</si>
  <si>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</si>
  <si>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</si>
  <si>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</si>
  <si>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</si>
  <si>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</si>
  <si>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</si>
  <si>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</si>
  <si>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</si>
  <si>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</si>
  <si>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</si>
  <si>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</si>
  <si>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</si>
  <si>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</si>
  <si>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</si>
  <si>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</si>
  <si>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</si>
  <si>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</si>
  <si>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</si>
  <si>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</si>
  <si>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</si>
  <si>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</si>
  <si>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</si>
  <si>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</si>
  <si>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</si>
  <si>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</si>
  <si>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</si>
  <si>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</si>
  <si>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</si>
  <si>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</si>
  <si>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</si>
  <si>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</si>
  <si>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</si>
  <si>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</si>
  <si>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</si>
  <si>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</si>
  <si>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TRAGSL_BLD</t>
  </si>
  <si>
    <t>TRADST_BLD</t>
  </si>
  <si>
    <t>TRAE85_BLD</t>
  </si>
  <si>
    <t>Fuel Blending - E85</t>
  </si>
  <si>
    <t>TRAE85</t>
  </si>
  <si>
    <t>Litres</t>
  </si>
  <si>
    <t>Biofuels - Ethanol</t>
  </si>
  <si>
    <t>Biofuels - Diesel</t>
  </si>
  <si>
    <t>Biofuels Penetration - Ethanol</t>
  </si>
  <si>
    <t>Biofuels Penetration - Diesel</t>
  </si>
  <si>
    <t>Biofuel consumption</t>
  </si>
  <si>
    <t>Fuel Blending - Gasoline with Ethanol</t>
  </si>
  <si>
    <t>Fuel Blending - Diesel with Biodiesel</t>
  </si>
  <si>
    <t>TRABCNG_BLD</t>
  </si>
  <si>
    <t>Fuel Blending - CNG + BioCNG</t>
  </si>
  <si>
    <t>Share-I~2018</t>
  </si>
  <si>
    <t>Share-I~2020</t>
  </si>
  <si>
    <t>Share-I~2030</t>
  </si>
  <si>
    <t>Share-I~2040</t>
  </si>
  <si>
    <t>Share-I~2050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</si>
  <si>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</si>
  <si>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</si>
  <si>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</si>
  <si>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</si>
  <si>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</si>
  <si>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</si>
  <si>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</si>
  <si>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</si>
  <si>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</si>
  <si>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</si>
  <si>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</si>
  <si>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</si>
  <si>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</si>
  <si>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</si>
  <si>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</si>
  <si>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TRAGSE</t>
  </si>
  <si>
    <t>Blended Gasoline with Ethanol (TRA)</t>
  </si>
  <si>
    <t>TRADSB</t>
  </si>
  <si>
    <t>Blended Diesel with Biodiesel (TRA)</t>
  </si>
  <si>
    <t>Ethanol E85 (TRA)</t>
  </si>
  <si>
    <t>TRANGB</t>
  </si>
  <si>
    <t>Blended CNG + BioCNG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</si>
  <si>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</si>
  <si>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</si>
  <si>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</si>
  <si>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</si>
  <si>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</si>
  <si>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</si>
  <si>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</si>
  <si>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</si>
  <si>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</si>
  <si>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</si>
  <si>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</si>
  <si>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</si>
  <si>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</si>
  <si>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</si>
  <si>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</si>
  <si>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</si>
  <si>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</si>
  <si>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</si>
  <si>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</si>
  <si>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</si>
  <si>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</si>
  <si>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</si>
  <si>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</si>
  <si>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</si>
  <si>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</si>
  <si>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</si>
  <si>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</si>
  <si>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</si>
  <si>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</si>
  <si>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</si>
  <si>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</si>
  <si>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</si>
  <si>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T-LPT-EV_ELC00</t>
  </si>
  <si>
    <t>TRA Light Passenger Train: Electric - Existing</t>
  </si>
  <si>
    <t>T-HPT-EV_ELC00</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</si>
  <si>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</si>
  <si>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</si>
  <si>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</si>
  <si>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</si>
  <si>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</si>
  <si>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</si>
  <si>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</si>
  <si>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</si>
  <si>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</si>
  <si>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Tourism, Navigation, and others</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</si>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</sst>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s>
  <fonts count="75">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
      <sz val="11"/>
      <color rgb="FF000000"/>
      <name val="Calibri"/>
      <family val="2"/>
    </font>
    <font>
      <b/>
      <sz val="10"/>
      <color rgb="FF000000"/>
      <name val="Arial"/>
      <family val="2"/>
    </font>
  </fonts>
  <fills count="42">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
      <patternFill patternType="solid">
        <fgColor rgb="FFE2EFDA"/>
        <bgColor indexed="64"/>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38">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70" fontId="11" fillId="0" borderId="0" xfId="0" applyNumberFormat="1" applyFont="1" applyFill="1" applyBorder="1" applyAlignment="1">
      <alignment horizontal="center"/>
    </xf>
    <xf numFmtId="38" fontId="11" fillId="0" borderId="0" xfId="0" applyNumberFormat="1" applyFont="1"/>
    <xf numFmtId="172" fontId="11" fillId="0" borderId="0" xfId="0" applyNumberFormat="1" applyFont="1" applyBorder="1" applyAlignment="1">
      <alignment horizontal="left"/>
    </xf>
    <xf numFmtId="172" fontId="11" fillId="13" borderId="0" xfId="0" applyNumberFormat="1" applyFont="1" applyFill="1" applyBorder="1" applyAlignment="1">
      <alignment horizontal="left"/>
    </xf>
    <xf numFmtId="172" fontId="10" fillId="12" borderId="0" xfId="0" applyNumberFormat="1" applyFont="1" applyFill="1" applyBorder="1" applyAlignment="1">
      <alignment horizontal="left"/>
    </xf>
    <xf numFmtId="172" fontId="11" fillId="0" borderId="0" xfId="0" applyNumberFormat="1" applyFont="1" applyFill="1" applyBorder="1" applyAlignment="1">
      <alignment horizontal="left"/>
    </xf>
    <xf numFmtId="172"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2"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6"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6"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6"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5" fillId="0" borderId="150" xfId="0" applyFont="1" applyBorder="1" applyAlignment="1">
      <alignment horizontal="right"/>
    </xf>
    <xf numFmtId="0" fontId="48" fillId="0" borderId="150"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6" xfId="0" applyBorder="1"/>
    <xf numFmtId="1" fontId="0" fillId="0" borderId="144" xfId="0" applyNumberFormat="1" applyBorder="1"/>
    <xf numFmtId="168" fontId="49" fillId="0" borderId="0" xfId="2" applyNumberFormat="1" applyFont="1" applyFill="1" applyBorder="1"/>
    <xf numFmtId="0" fontId="0" fillId="0" borderId="0" xfId="0" applyFont="1" applyFill="1" applyBorder="1"/>
    <xf numFmtId="0" fontId="0" fillId="3" borderId="0" xfId="0" applyFill="1"/>
    <xf numFmtId="165" fontId="49" fillId="0" borderId="0" xfId="0" applyNumberFormat="1" applyFont="1"/>
    <xf numFmtId="165" fontId="49" fillId="0" borderId="0" xfId="1" applyNumberFormat="1" applyFont="1" applyAlignment="1">
      <alignment horizontal="right" vertical="center"/>
    </xf>
    <xf numFmtId="168" fontId="49"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3"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70" fontId="0" fillId="0" borderId="0" xfId="2" applyNumberFormat="1" applyFont="1" applyAlignment="1">
      <alignment horizontal="center" vertical="center"/>
    </xf>
    <xf numFmtId="2" fontId="49" fillId="0" borderId="0" xfId="0" applyNumberFormat="1" applyFont="1"/>
    <xf numFmtId="0" fontId="30" fillId="0" borderId="154" xfId="0" applyFont="1" applyBorder="1" applyAlignment="1">
      <alignment horizontal="left" vertical="center" wrapText="1"/>
    </xf>
    <xf numFmtId="0" fontId="54"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4" fillId="22" borderId="8" xfId="0" applyFont="1" applyFill="1" applyBorder="1" applyAlignment="1">
      <alignment horizontal="center" vertical="center" wrapText="1"/>
    </xf>
    <xf numFmtId="0" fontId="55" fillId="39" borderId="154" xfId="0" applyFont="1" applyFill="1" applyBorder="1" applyAlignment="1">
      <alignment horizontal="left" vertical="center" wrapText="1"/>
    </xf>
    <xf numFmtId="0" fontId="56" fillId="23" borderId="151" xfId="0" applyFont="1" applyFill="1" applyBorder="1" applyAlignment="1">
      <alignment vertical="top" wrapText="1"/>
    </xf>
    <xf numFmtId="0" fontId="54" fillId="21" borderId="151" xfId="0" applyFont="1" applyFill="1" applyBorder="1" applyAlignment="1">
      <alignment horizontal="center" vertical="center" wrapText="1"/>
    </xf>
    <xf numFmtId="0" fontId="54" fillId="22" borderId="151" xfId="0" applyFont="1" applyFill="1" applyBorder="1" applyAlignment="1">
      <alignment horizontal="center" vertical="center" wrapText="1"/>
    </xf>
    <xf numFmtId="0" fontId="13" fillId="0" borderId="151" xfId="0" applyFont="1" applyBorder="1"/>
    <xf numFmtId="1" fontId="22" fillId="0" borderId="0" xfId="0" applyNumberFormat="1" applyFont="1"/>
    <xf numFmtId="167" fontId="46" fillId="0" borderId="0" xfId="0" applyNumberFormat="1" applyFont="1"/>
    <xf numFmtId="171" fontId="57" fillId="0" borderId="0" xfId="0" applyNumberFormat="1" applyFont="1"/>
    <xf numFmtId="170" fontId="11" fillId="0" borderId="0" xfId="2" applyNumberFormat="1" applyFont="1" applyFill="1" applyBorder="1" applyAlignment="1">
      <alignment horizontal="center"/>
    </xf>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8"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2" fillId="24" borderId="140" xfId="0" applyNumberFormat="1" applyFont="1" applyFill="1" applyBorder="1" applyAlignment="1">
      <alignment horizontal="center" vertical="center"/>
    </xf>
    <xf numFmtId="167" fontId="1" fillId="24" borderId="152"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7" fontId="19" fillId="0" borderId="144" xfId="0" applyNumberFormat="1" applyFont="1" applyBorder="1" applyAlignment="1">
      <alignment horizontal="right"/>
    </xf>
    <xf numFmtId="166" fontId="2" fillId="0" borderId="0" xfId="1" applyNumberFormat="1" applyFont="1" applyBorder="1"/>
    <xf numFmtId="0" fontId="45" fillId="0" borderId="0" xfId="0" applyFont="1" applyFill="1" applyBorder="1"/>
    <xf numFmtId="165" fontId="1" fillId="0" borderId="0" xfId="1" applyNumberFormat="1" applyFont="1"/>
    <xf numFmtId="169" fontId="60" fillId="0" borderId="0" xfId="0" applyNumberFormat="1" applyFont="1"/>
    <xf numFmtId="169" fontId="4" fillId="0" borderId="0" xfId="0" applyNumberFormat="1" applyFont="1"/>
    <xf numFmtId="169" fontId="3" fillId="19" borderId="149" xfId="0" applyNumberFormat="1" applyFont="1" applyFill="1" applyBorder="1" applyAlignment="1">
      <alignment horizontal="left"/>
    </xf>
    <xf numFmtId="169" fontId="3" fillId="19" borderId="150" xfId="0" applyNumberFormat="1" applyFont="1" applyFill="1" applyBorder="1" applyAlignment="1">
      <alignment horizontal="left"/>
    </xf>
    <xf numFmtId="0" fontId="4" fillId="0" borderId="0" xfId="0" applyFont="1"/>
    <xf numFmtId="169" fontId="9" fillId="40" borderId="39" xfId="5" applyNumberFormat="1" applyFont="1" applyBorder="1" applyAlignment="1">
      <alignment horizontal="left" wrapText="1"/>
    </xf>
    <xf numFmtId="0" fontId="60"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9" fontId="9" fillId="40" borderId="39" xfId="5" applyNumberFormat="1" applyFont="1" applyBorder="1" applyAlignment="1">
      <alignment horizontal="center" wrapText="1"/>
    </xf>
    <xf numFmtId="169" fontId="35" fillId="0" borderId="0" xfId="0" applyNumberFormat="1" applyFont="1"/>
    <xf numFmtId="169" fontId="15" fillId="17" borderId="6" xfId="0" applyNumberFormat="1" applyFont="1" applyFill="1" applyBorder="1" applyAlignment="1">
      <alignment vertical="center"/>
    </xf>
    <xf numFmtId="169" fontId="36" fillId="17" borderId="6" xfId="0" applyNumberFormat="1" applyFont="1" applyFill="1" applyBorder="1" applyAlignment="1">
      <alignment vertical="center"/>
    </xf>
    <xf numFmtId="169" fontId="15" fillId="17" borderId="150" xfId="0" applyNumberFormat="1" applyFont="1" applyFill="1" applyBorder="1" applyAlignment="1">
      <alignment vertical="center"/>
    </xf>
    <xf numFmtId="169" fontId="36" fillId="17" borderId="150" xfId="0" applyNumberFormat="1" applyFont="1" applyFill="1" applyBorder="1" applyAlignment="1">
      <alignment vertical="center"/>
    </xf>
    <xf numFmtId="169" fontId="2" fillId="7" borderId="0" xfId="0" applyNumberFormat="1" applyFont="1" applyFill="1"/>
    <xf numFmtId="169" fontId="0" fillId="0" borderId="0" xfId="0" applyNumberFormat="1" applyFont="1"/>
    <xf numFmtId="169" fontId="45" fillId="7" borderId="0" xfId="0" applyNumberFormat="1" applyFont="1" applyFill="1"/>
    <xf numFmtId="0" fontId="0" fillId="0" borderId="0" xfId="0" applyBorder="1" applyAlignment="1">
      <alignment vertical="center"/>
    </xf>
    <xf numFmtId="169" fontId="0" fillId="0" borderId="144" xfId="0" applyNumberFormat="1" applyBorder="1"/>
    <xf numFmtId="0" fontId="63" fillId="7" borderId="0" xfId="0" applyFont="1" applyFill="1" applyAlignment="1">
      <alignment horizontal="right"/>
    </xf>
    <xf numFmtId="169" fontId="0" fillId="0" borderId="144" xfId="0" applyNumberFormat="1" applyFont="1" applyBorder="1"/>
    <xf numFmtId="1" fontId="46" fillId="0" borderId="0" xfId="0" applyNumberFormat="1" applyFont="1"/>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5" fontId="35" fillId="0" borderId="0" xfId="0" applyNumberFormat="1" applyFont="1"/>
    <xf numFmtId="0" fontId="64" fillId="0" borderId="0" xfId="0" applyFont="1"/>
    <xf numFmtId="169"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169" fontId="4" fillId="0" borderId="150" xfId="0" applyNumberFormat="1" applyFont="1" applyBorder="1"/>
    <xf numFmtId="169" fontId="0" fillId="0" borderId="150" xfId="0" applyNumberFormat="1" applyBorder="1"/>
    <xf numFmtId="0" fontId="0" fillId="0" borderId="150" xfId="0"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4" xfId="0" applyFont="1" applyBorder="1"/>
    <xf numFmtId="169" fontId="30" fillId="0" borderId="144" xfId="0" applyNumberFormat="1" applyFont="1" applyBorder="1"/>
    <xf numFmtId="169" fontId="2" fillId="17" borderId="150" xfId="0" applyNumberFormat="1" applyFont="1" applyFill="1" applyBorder="1" applyAlignment="1">
      <alignment vertical="center"/>
    </xf>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5" fillId="0" borderId="0" xfId="0" applyFont="1"/>
    <xf numFmtId="0" fontId="9" fillId="0" borderId="0" xfId="0" applyFont="1"/>
    <xf numFmtId="0" fontId="65"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7" fillId="0" borderId="0" xfId="0" applyNumberFormat="1" applyFont="1"/>
    <xf numFmtId="2" fontId="19" fillId="0" borderId="144" xfId="0" applyNumberFormat="1" applyFont="1" applyBorder="1"/>
    <xf numFmtId="165" fontId="19" fillId="0" borderId="0" xfId="0" applyNumberFormat="1" applyFont="1"/>
    <xf numFmtId="165" fontId="19" fillId="0" borderId="144" xfId="0" applyNumberFormat="1" applyFont="1" applyBorder="1"/>
    <xf numFmtId="167"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69"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8" fillId="0" borderId="0" xfId="0" applyFont="1" applyAlignment="1">
      <alignment horizontal="left"/>
    </xf>
    <xf numFmtId="4" fontId="69" fillId="0" borderId="0" xfId="0" applyNumberFormat="1" applyFont="1"/>
    <xf numFmtId="0" fontId="68" fillId="0" borderId="151" xfId="0" applyFont="1" applyBorder="1" applyAlignment="1">
      <alignment horizontal="center"/>
    </xf>
    <xf numFmtId="0" fontId="70" fillId="0" borderId="151" xfId="0" applyFont="1" applyBorder="1" applyAlignment="1">
      <alignment horizontal="center" vertical="center"/>
    </xf>
    <xf numFmtId="0" fontId="71" fillId="0" borderId="151" xfId="0" applyFont="1" applyBorder="1" applyAlignment="1">
      <alignment horizontal="center" vertical="center"/>
    </xf>
    <xf numFmtId="3" fontId="69" fillId="0" borderId="151" xfId="0" applyNumberFormat="1" applyFont="1" applyBorder="1" applyAlignment="1">
      <alignment horizontal="center" vertical="center"/>
    </xf>
    <xf numFmtId="0" fontId="69" fillId="0" borderId="151" xfId="0" applyFont="1" applyBorder="1" applyAlignment="1">
      <alignment horizontal="center"/>
    </xf>
    <xf numFmtId="3" fontId="69" fillId="0" borderId="151" xfId="0" applyNumberFormat="1" applyFont="1" applyBorder="1" applyAlignment="1">
      <alignment horizontal="center"/>
    </xf>
    <xf numFmtId="0" fontId="69" fillId="0" borderId="153" xfId="0" applyFont="1" applyBorder="1" applyAlignment="1">
      <alignment horizontal="left"/>
    </xf>
    <xf numFmtId="0" fontId="72" fillId="0" borderId="0" xfId="0" applyFont="1"/>
    <xf numFmtId="10" fontId="69"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70" fontId="0" fillId="0" borderId="42" xfId="2" applyNumberFormat="1" applyFont="1" applyBorder="1"/>
    <xf numFmtId="0" fontId="0" fillId="0" borderId="80" xfId="0" applyBorder="1"/>
    <xf numFmtId="0" fontId="0" fillId="0" borderId="124" xfId="0" applyBorder="1"/>
    <xf numFmtId="170" fontId="0" fillId="0" borderId="0" xfId="2" applyNumberFormat="1" applyFont="1" applyBorder="1" applyAlignment="1">
      <alignment horizontal="right" vertical="center"/>
    </xf>
    <xf numFmtId="170" fontId="0" fillId="0" borderId="158" xfId="2" applyNumberFormat="1" applyFont="1" applyBorder="1" applyAlignment="1">
      <alignment horizontal="right" vertical="center"/>
    </xf>
    <xf numFmtId="170"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1" fontId="1" fillId="0" borderId="0" xfId="0" applyNumberFormat="1" applyFont="1" applyBorder="1"/>
    <xf numFmtId="174" fontId="0" fillId="0" borderId="0" xfId="0" applyNumberFormat="1" applyBorder="1"/>
    <xf numFmtId="171" fontId="0" fillId="0" borderId="0" xfId="0" applyNumberFormat="1" applyBorder="1"/>
    <xf numFmtId="0" fontId="1" fillId="0" borderId="144" xfId="0" applyFont="1" applyBorder="1"/>
    <xf numFmtId="9" fontId="0" fillId="0" borderId="0" xfId="0" applyNumberFormat="1" applyAlignment="1">
      <alignment horizontal="center" vertical="center"/>
    </xf>
    <xf numFmtId="169" fontId="30" fillId="0" borderId="144" xfId="0" applyNumberFormat="1" applyFont="1" applyBorder="1" applyAlignment="1">
      <alignment wrapText="1"/>
    </xf>
    <xf numFmtId="0" fontId="73" fillId="0" borderId="0" xfId="0" applyFont="1" applyAlignment="1">
      <alignment vertical="center"/>
    </xf>
    <xf numFmtId="0" fontId="73" fillId="0" borderId="144" xfId="0" applyFont="1" applyBorder="1" applyAlignment="1">
      <alignment vertical="center"/>
    </xf>
    <xf numFmtId="0" fontId="74" fillId="41" borderId="0" xfId="0" applyFont="1" applyFill="1" applyAlignment="1">
      <alignment vertical="center"/>
    </xf>
    <xf numFmtId="0" fontId="30" fillId="0" borderId="0" xfId="0" applyFont="1" applyAlignment="1">
      <alignment vertical="center"/>
    </xf>
    <xf numFmtId="0" fontId="74" fillId="17" borderId="116" xfId="0" applyFont="1" applyFill="1" applyBorder="1" applyAlignment="1">
      <alignment vertical="center"/>
    </xf>
    <xf numFmtId="0" fontId="30" fillId="0" borderId="42" xfId="0" applyFont="1" applyBorder="1" applyAlignment="1">
      <alignment vertical="center"/>
    </xf>
    <xf numFmtId="0" fontId="2" fillId="0" borderId="144" xfId="0" applyFont="1" applyBorder="1" applyAlignment="1">
      <alignment horizontal="center"/>
    </xf>
    <xf numFmtId="0" fontId="2" fillId="0" borderId="144" xfId="0" applyFont="1" applyBorder="1" applyAlignment="1">
      <alignment horizontal="center"/>
    </xf>
    <xf numFmtId="0" fontId="0" fillId="7" borderId="0" xfId="0" applyFill="1"/>
    <xf numFmtId="164" fontId="0" fillId="7" borderId="0" xfId="0" applyNumberFormat="1" applyFill="1"/>
    <xf numFmtId="0" fontId="2" fillId="0" borderId="144" xfId="0" applyFont="1" applyFill="1" applyBorder="1"/>
    <xf numFmtId="164" fontId="0" fillId="0" borderId="144" xfId="0" applyNumberFormat="1" applyBorder="1"/>
    <xf numFmtId="164" fontId="2" fillId="0" borderId="144" xfId="0" applyNumberFormat="1" applyFont="1" applyBorder="1" applyAlignment="1">
      <alignment horizontal="center"/>
    </xf>
    <xf numFmtId="176" fontId="0" fillId="0" borderId="0" xfId="0" applyNumberFormat="1"/>
    <xf numFmtId="177" fontId="0" fillId="0" borderId="0" xfId="0" applyNumberFormat="1"/>
    <xf numFmtId="2" fontId="2" fillId="0" borderId="144" xfId="0" applyNumberFormat="1" applyFont="1" applyBorder="1" applyAlignment="1">
      <alignment horizontal="center"/>
    </xf>
    <xf numFmtId="178" fontId="0" fillId="0" borderId="0" xfId="0" applyNumberFormat="1"/>
    <xf numFmtId="179" fontId="0" fillId="0" borderId="0" xfId="0" applyNumberFormat="1"/>
    <xf numFmtId="179" fontId="0" fillId="0" borderId="144" xfId="0" applyNumberFormat="1" applyBorder="1"/>
    <xf numFmtId="0" fontId="0" fillId="0" borderId="149" xfId="0" applyBorder="1"/>
    <xf numFmtId="164" fontId="0" fillId="0" borderId="149" xfId="0" applyNumberFormat="1" applyBorder="1"/>
    <xf numFmtId="164" fontId="0" fillId="0" borderId="0" xfId="0" applyNumberFormat="1" applyBorder="1"/>
    <xf numFmtId="164" fontId="2" fillId="0" borderId="144" xfId="0" applyNumberFormat="1" applyFont="1" applyBorder="1"/>
    <xf numFmtId="0" fontId="2" fillId="25" borderId="0" xfId="0" applyFont="1" applyFill="1" applyBorder="1" applyAlignment="1" applyProtection="1">
      <alignment horizontal="left" vertical="center"/>
      <protection locked="0"/>
    </xf>
    <xf numFmtId="180" fontId="0" fillId="0" borderId="149" xfId="0" applyNumberFormat="1" applyBorder="1"/>
    <xf numFmtId="180" fontId="0" fillId="0" borderId="0" xfId="0" applyNumberFormat="1" applyBorder="1"/>
    <xf numFmtId="180" fontId="2" fillId="0" borderId="144" xfId="0" applyNumberFormat="1" applyFont="1" applyBorder="1"/>
    <xf numFmtId="181" fontId="0" fillId="0" borderId="0" xfId="0" applyNumberFormat="1"/>
    <xf numFmtId="181" fontId="0" fillId="0" borderId="144" xfId="0" applyNumberFormat="1" applyBorder="1"/>
    <xf numFmtId="182" fontId="0" fillId="0" borderId="0" xfId="0" applyNumberFormat="1"/>
    <xf numFmtId="183" fontId="0" fillId="0" borderId="0" xfId="0" applyNumberFormat="1" applyBorder="1"/>
    <xf numFmtId="10" fontId="10" fillId="0" borderId="0" xfId="2" applyNumberFormat="1" applyFont="1" applyFill="1"/>
    <xf numFmtId="1" fontId="1" fillId="0" borderId="144" xfId="0" applyNumberFormat="1" applyFont="1" applyBorder="1"/>
    <xf numFmtId="171" fontId="0" fillId="0" borderId="144" xfId="0" applyNumberFormat="1" applyBorder="1"/>
    <xf numFmtId="0" fontId="45" fillId="0" borderId="0" xfId="0" applyFont="1"/>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1"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2" fillId="38" borderId="155" xfId="0" applyFont="1" applyFill="1" applyBorder="1" applyAlignment="1">
      <alignment horizontal="center" vertical="center" wrapText="1"/>
    </xf>
    <xf numFmtId="0" fontId="52" fillId="38" borderId="0" xfId="0" applyFont="1" applyFill="1" applyBorder="1" applyAlignment="1">
      <alignment horizontal="center" vertical="center" wrapText="1"/>
    </xf>
    <xf numFmtId="0" fontId="53"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70" fontId="59" fillId="24" borderId="152" xfId="2" applyNumberFormat="1" applyFont="1" applyFill="1" applyBorder="1" applyAlignment="1">
      <alignment horizontal="center" vertical="center"/>
    </xf>
    <xf numFmtId="170" fontId="59" fillId="24" borderId="23" xfId="2" applyNumberFormat="1" applyFont="1" applyFill="1" applyBorder="1" applyAlignment="1">
      <alignment horizontal="center" vertical="center"/>
    </xf>
    <xf numFmtId="170" fontId="59"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0" fillId="0" borderId="151" xfId="0" applyFont="1" applyBorder="1" applyAlignment="1">
      <alignment horizontal="center" vertical="center"/>
    </xf>
    <xf numFmtId="0" fontId="18" fillId="18" borderId="0" xfId="0" applyFont="1" applyFill="1" applyAlignment="1">
      <alignment horizontal="left"/>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156140" y="1009361"/>
          <a:ext cx="8003882" cy="21731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803" t="s">
        <v>222</v>
      </c>
      <c r="B17" s="803"/>
      <c r="C17" s="803"/>
      <c r="D17" s="803"/>
      <c r="E17" s="803"/>
      <c r="F17" s="80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804" t="s">
        <v>224</v>
      </c>
      <c r="C20" s="804"/>
      <c r="D20" s="804"/>
      <c r="E20" s="804"/>
      <c r="F20" s="804"/>
      <c r="G20" s="52"/>
      <c r="H20" s="52"/>
      <c r="I20" s="53"/>
      <c r="J20" s="53"/>
      <c r="K20" s="53"/>
      <c r="L20" s="53"/>
      <c r="M20" s="53"/>
      <c r="N20" s="53"/>
    </row>
    <row r="21" spans="1:14" ht="17.25" customHeight="1">
      <c r="A21" s="51" t="s">
        <v>225</v>
      </c>
      <c r="B21" s="805" t="s">
        <v>228</v>
      </c>
      <c r="C21" s="805"/>
      <c r="D21" s="805"/>
      <c r="E21" s="805"/>
      <c r="F21" s="805"/>
      <c r="G21" s="52"/>
      <c r="H21" s="52"/>
      <c r="I21" s="53"/>
      <c r="J21" s="53"/>
      <c r="K21" s="53"/>
      <c r="L21" s="53"/>
      <c r="M21" s="53"/>
      <c r="N21" s="53"/>
    </row>
    <row r="22" spans="1:14" ht="17.25" customHeight="1">
      <c r="A22" s="51" t="s">
        <v>226</v>
      </c>
      <c r="B22" s="805" t="s">
        <v>227</v>
      </c>
      <c r="C22" s="805"/>
      <c r="D22" s="805"/>
      <c r="E22" s="805"/>
      <c r="F22" s="80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40625" defaultRowHeight="15"/>
  <cols>
    <col min="1" max="1" width="3.7109375" style="97" customWidth="1"/>
    <col min="2" max="2" width="19.5703125" style="97" customWidth="1"/>
    <col min="3" max="3" width="37.7109375" style="97" customWidth="1"/>
    <col min="4" max="16384" width="9.140625" style="97"/>
  </cols>
  <sheetData>
    <row r="2" spans="2:3" ht="18.75">
      <c r="B2" s="95" t="s">
        <v>302</v>
      </c>
      <c r="C2" s="96"/>
    </row>
    <row r="3" spans="2:3">
      <c r="B3" s="122" t="s">
        <v>303</v>
      </c>
      <c r="C3" s="123" t="s">
        <v>108</v>
      </c>
    </row>
    <row r="4" spans="2:3">
      <c r="B4" s="98" t="s">
        <v>560</v>
      </c>
      <c r="C4" s="124" t="s">
        <v>357</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75">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75">
      <c r="B27" s="104" t="s">
        <v>58</v>
      </c>
      <c r="C27" s="105"/>
    </row>
    <row r="28" spans="2:3">
      <c r="B28" s="106" t="s">
        <v>305</v>
      </c>
      <c r="C28" s="111" t="s">
        <v>882</v>
      </c>
    </row>
    <row r="29" spans="2:3">
      <c r="B29" s="107" t="s">
        <v>300</v>
      </c>
      <c r="C29" s="108" t="s">
        <v>88</v>
      </c>
    </row>
    <row r="30" spans="2:3">
      <c r="B30" s="107" t="s">
        <v>306</v>
      </c>
      <c r="C30" s="390" t="s">
        <v>358</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3" zoomScale="60" zoomScaleNormal="65" workbookViewId="0">
      <selection activeCell="AN55" sqref="AN55"/>
    </sheetView>
  </sheetViews>
  <sheetFormatPr defaultColWidth="9.140625" defaultRowHeight="12.75"/>
  <cols>
    <col min="1" max="1" width="51.42578125" style="89" customWidth="1"/>
    <col min="2" max="2" width="15.7109375" style="69" customWidth="1"/>
    <col min="3" max="4" width="7.5703125" style="90" bestFit="1" customWidth="1"/>
    <col min="5" max="5" width="9.140625" style="90"/>
    <col min="6" max="6" width="6.140625" style="91" customWidth="1"/>
    <col min="7" max="7" width="5.85546875" style="91" bestFit="1" customWidth="1"/>
    <col min="8" max="8" width="6.42578125" style="90" bestFit="1" customWidth="1"/>
    <col min="9" max="9" width="6.140625" style="91" bestFit="1" customWidth="1"/>
    <col min="10" max="10" width="6" style="91" bestFit="1" customWidth="1"/>
    <col min="11" max="11" width="6.85546875" style="91" bestFit="1" customWidth="1"/>
    <col min="12" max="12" width="8.7109375" style="83" bestFit="1" customWidth="1"/>
    <col min="13" max="13" width="8.140625" style="82" bestFit="1" customWidth="1"/>
    <col min="14" max="14" width="5.28515625" style="82" customWidth="1"/>
    <col min="15" max="15" width="7.42578125" style="82" customWidth="1"/>
    <col min="16" max="16" width="7.42578125" style="82" bestFit="1" customWidth="1"/>
    <col min="17" max="17" width="8.140625" style="82" bestFit="1" customWidth="1"/>
    <col min="18" max="18" width="7.28515625" style="82" bestFit="1" customWidth="1"/>
    <col min="19" max="19" width="7.42578125" style="82" bestFit="1" customWidth="1"/>
    <col min="20" max="20" width="8.42578125" style="82" bestFit="1" customWidth="1"/>
    <col min="21" max="21" width="6.85546875" style="82" bestFit="1" customWidth="1"/>
    <col min="22" max="24" width="5.42578125" style="82" customWidth="1"/>
    <col min="25" max="25" width="5.42578125" style="91" customWidth="1"/>
    <col min="26" max="26" width="8.140625" style="86" bestFit="1" customWidth="1"/>
    <col min="27" max="27" width="6.7109375" style="83" bestFit="1" customWidth="1"/>
    <col min="28" max="29" width="5.5703125" style="82" customWidth="1"/>
    <col min="30" max="30" width="8.7109375" style="82" bestFit="1" customWidth="1"/>
    <col min="31" max="31" width="5.5703125" style="82" customWidth="1"/>
    <col min="32" max="32" width="5.7109375" style="82" customWidth="1"/>
    <col min="33" max="33" width="7" style="82" customWidth="1"/>
    <col min="34" max="36" width="5.5703125" style="82" customWidth="1"/>
    <col min="37" max="37" width="8.7109375" style="86" bestFit="1" customWidth="1"/>
    <col min="38" max="38" width="4.42578125" style="92" bestFit="1" customWidth="1"/>
    <col min="39" max="39" width="9.28515625" style="82" bestFit="1" customWidth="1"/>
    <col min="40" max="40" width="9.140625" style="69"/>
    <col min="41" max="41" width="9.140625" style="60"/>
    <col min="42" max="16384" width="9.140625" style="69"/>
  </cols>
  <sheetData>
    <row r="1" spans="1:41" s="57" customFormat="1" ht="105.75" customHeight="1" thickBot="1">
      <c r="A1" s="148" t="s">
        <v>340</v>
      </c>
      <c r="B1" s="343" t="s">
        <v>339</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2"/>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2"/>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N55" s="799"/>
      <c r="AO55" s="572"/>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0"/>
      <c r="AH64" s="64"/>
      <c r="AI64" s="64"/>
      <c r="AJ64" s="64"/>
      <c r="AK64" s="73"/>
      <c r="AL64" s="64"/>
      <c r="AM64" s="64"/>
      <c r="AO64" s="61"/>
    </row>
    <row r="65" spans="1:39" ht="12.75" customHeight="1">
      <c r="A65" s="76" t="s">
        <v>341</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342</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343</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344</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4" sqref="C4"/>
    </sheetView>
  </sheetViews>
  <sheetFormatPr defaultColWidth="9.140625" defaultRowHeight="15"/>
  <cols>
    <col min="1" max="1" width="12.140625" style="716" customWidth="1"/>
    <col min="2" max="2" width="11.7109375" style="716" customWidth="1"/>
    <col min="3" max="3" width="3.140625" style="716" bestFit="1" customWidth="1"/>
    <col min="4" max="4" width="8.5703125" style="716" bestFit="1" customWidth="1"/>
    <col min="5" max="5" width="6.42578125" style="716" bestFit="1" customWidth="1"/>
    <col min="6" max="6" width="4.85546875" style="716" bestFit="1" customWidth="1"/>
    <col min="7" max="7" width="5.7109375" style="716" bestFit="1" customWidth="1"/>
    <col min="8" max="8" width="5.85546875" style="716" bestFit="1" customWidth="1"/>
    <col min="9" max="9" width="5.42578125" style="716" bestFit="1" customWidth="1"/>
    <col min="10" max="11" width="5.7109375" style="716" bestFit="1" customWidth="1"/>
    <col min="12" max="12" width="6.5703125" style="716" bestFit="1" customWidth="1"/>
    <col min="13" max="13" width="6.140625" style="716" bestFit="1" customWidth="1"/>
    <col min="14" max="14" width="6.7109375" style="716" bestFit="1" customWidth="1"/>
    <col min="15" max="15" width="6.5703125" style="716" bestFit="1" customWidth="1"/>
    <col min="16" max="16" width="7.28515625" style="716" bestFit="1" customWidth="1"/>
    <col min="17" max="17" width="5.7109375" style="716" bestFit="1" customWidth="1"/>
    <col min="18" max="18" width="6.140625" style="716" bestFit="1" customWidth="1"/>
    <col min="19" max="19" width="5.7109375" style="716" bestFit="1" customWidth="1"/>
    <col min="20" max="20" width="5.5703125" style="716" bestFit="1" customWidth="1"/>
    <col min="21" max="21" width="5.85546875" style="716" bestFit="1" customWidth="1"/>
    <col min="22" max="22" width="6.7109375" style="716" bestFit="1" customWidth="1"/>
    <col min="23" max="23" width="4.85546875" style="716" bestFit="1" customWidth="1"/>
    <col min="24" max="24" width="7.5703125" style="716" customWidth="1"/>
    <col min="25" max="25" width="6.7109375" style="716" bestFit="1" customWidth="1"/>
    <col min="26" max="26" width="6.140625" style="716" bestFit="1" customWidth="1"/>
    <col min="27" max="28" width="6" style="716" bestFit="1" customWidth="1"/>
    <col min="29" max="29" width="5.7109375" style="716" bestFit="1" customWidth="1"/>
    <col min="30" max="30" width="6.7109375" style="716" bestFit="1" customWidth="1"/>
    <col min="31" max="16384" width="9.140625" style="716"/>
  </cols>
  <sheetData>
    <row r="3" spans="1:30">
      <c r="C3" s="719" t="str" cm="1">
        <f t="array" ref="C3">INDEX(C5:C7,$A$4)</f>
        <v>IE</v>
      </c>
      <c r="D3" s="719" t="str" cm="1">
        <f t="array" ref="D3">INDEX(D5:D7,$A$4)</f>
        <v>National</v>
      </c>
      <c r="E3" s="719" t="str" cm="1">
        <f t="array" ref="E3">INDEX(E5:E7,$A$4)</f>
        <v>IE-CW</v>
      </c>
      <c r="F3" s="719" t="str" cm="1">
        <f t="array" ref="F3">INDEX(F5:F7,$A$4)</f>
        <v>IE-D</v>
      </c>
      <c r="G3" s="719" t="str" cm="1">
        <f t="array" ref="G3">INDEX(G5:G7,$A$4)</f>
        <v>IE-KE</v>
      </c>
      <c r="H3" s="719" t="str" cm="1">
        <f t="array" ref="H3">INDEX(H5:H7,$A$4)</f>
        <v>IE-KK</v>
      </c>
      <c r="I3" s="719" t="str" cm="1">
        <f t="array" ref="I3">INDEX(I5:I7,$A$4)</f>
        <v>IE-LS</v>
      </c>
      <c r="J3" s="719" t="str" cm="1">
        <f t="array" ref="J3">INDEX(J5:J7,$A$4)</f>
        <v>IE-LD</v>
      </c>
      <c r="K3" s="719" t="str" cm="1">
        <f t="array" ref="K3">INDEX(K5:K7,$A$4)</f>
        <v>IE-LH</v>
      </c>
      <c r="L3" s="719" t="str" cm="1">
        <f t="array" ref="L3">INDEX(L5:L7,$A$4)</f>
        <v>IE-MH</v>
      </c>
      <c r="M3" s="719" t="str" cm="1">
        <f t="array" ref="M3">INDEX(M5:M7,$A$4)</f>
        <v>IE-OY</v>
      </c>
      <c r="N3" s="719" t="str" cm="1">
        <f t="array" ref="N3">INDEX(N5:N7,$A$4)</f>
        <v>IE-WH</v>
      </c>
      <c r="O3" s="719" t="str" cm="1">
        <f t="array" ref="O3">INDEX(O5:O7,$A$4)</f>
        <v>IE-WX</v>
      </c>
      <c r="P3" s="719" t="str" cm="1">
        <f t="array" ref="P3">INDEX(P5:P7,$A$4)</f>
        <v>IE-WW</v>
      </c>
      <c r="Q3" s="719" t="str" cm="1">
        <f t="array" ref="Q3">INDEX(Q5:Q7,$A$4)</f>
        <v>IE-CE</v>
      </c>
      <c r="R3" s="719" t="str" cm="1">
        <f t="array" ref="R3">INDEX(R5:R7,$A$4)</f>
        <v>IE-CO</v>
      </c>
      <c r="S3" s="719" t="str" cm="1">
        <f t="array" ref="S3">INDEX(S5:S7,$A$4)</f>
        <v>IE-KY</v>
      </c>
      <c r="T3" s="719" t="str" cm="1">
        <f t="array" ref="T3">INDEX(T5:T7,$A$4)</f>
        <v>IE-LK</v>
      </c>
      <c r="U3" s="719" t="str" cm="1">
        <f t="array" ref="U3">INDEX(U5:U7,$A$4)</f>
        <v>IE-TA</v>
      </c>
      <c r="V3" s="719" t="str" cm="1">
        <f t="array" ref="V3">INDEX(V5:V7,$A$4)</f>
        <v>IE-WD</v>
      </c>
      <c r="W3" s="719" t="str" cm="1">
        <f t="array" ref="W3">INDEX(W5:W7,$A$4)</f>
        <v>IE-G</v>
      </c>
      <c r="X3" s="719" t="str" cm="1">
        <f t="array" ref="X3">INDEX(X5:X7,$A$4)</f>
        <v>IE-LM</v>
      </c>
      <c r="Y3" s="719" t="str" cm="1">
        <f t="array" ref="Y3">INDEX(Y5:Y7,$A$4)</f>
        <v>IE-MO</v>
      </c>
      <c r="Z3" s="719" t="str" cm="1">
        <f t="array" ref="Z3">INDEX(Z5:Z7,$A$4)</f>
        <v>IE-RN</v>
      </c>
      <c r="AA3" s="719" t="str" cm="1">
        <f t="array" ref="AA3">INDEX(AA5:AA7,$A$4)</f>
        <v>IE-SO</v>
      </c>
      <c r="AB3" s="719" t="str" cm="1">
        <f t="array" ref="AB3">INDEX(AB5:AB7,$A$4)</f>
        <v>IE-CN</v>
      </c>
      <c r="AC3" s="719" t="str" cm="1">
        <f t="array" ref="AC3">INDEX(AC5:AC7,$A$4)</f>
        <v>IE-DL</v>
      </c>
      <c r="AD3" s="719" t="str" cm="1">
        <f t="array" ref="AD3">INDEX(AD5:AD7,$A$4)</f>
        <v>IE-MN</v>
      </c>
    </row>
    <row r="4" spans="1:30">
      <c r="A4" s="716">
        <v>1</v>
      </c>
    </row>
    <row r="5" spans="1:30">
      <c r="A5" s="716" t="s">
        <v>984</v>
      </c>
      <c r="C5" s="718" t="s">
        <v>983</v>
      </c>
      <c r="D5" s="132" t="s">
        <v>400</v>
      </c>
      <c r="E5" s="719" t="str">
        <f>Regions!A11</f>
        <v>IE-CW</v>
      </c>
      <c r="F5" s="719" t="str">
        <f>Regions!A16</f>
        <v>IE-D</v>
      </c>
      <c r="G5" s="719" t="str">
        <f>Regions!A19</f>
        <v>IE-KE</v>
      </c>
      <c r="H5" s="719" t="str">
        <f>Regions!A20</f>
        <v>IE-KK</v>
      </c>
      <c r="I5" s="719" t="str">
        <f>Regions!A21</f>
        <v>IE-LS</v>
      </c>
      <c r="J5" s="719" t="str">
        <f>Regions!A24</f>
        <v>IE-LD</v>
      </c>
      <c r="K5" s="719" t="str">
        <f>Regions!A25</f>
        <v>IE-LH</v>
      </c>
      <c r="L5" s="719" t="str">
        <f>Regions!A27</f>
        <v>IE-MH</v>
      </c>
      <c r="M5" s="719" t="str">
        <f>Regions!A29</f>
        <v>IE-OY</v>
      </c>
      <c r="N5" s="719" t="str">
        <f>Regions!A34</f>
        <v>IE-WH</v>
      </c>
      <c r="O5" s="719" t="str">
        <f>Regions!A35</f>
        <v>IE-WX</v>
      </c>
      <c r="P5" s="719" t="str">
        <f>Regions!A36</f>
        <v>IE-WW</v>
      </c>
      <c r="Q5" s="719" t="str">
        <f>Regions!A13</f>
        <v>IE-CE</v>
      </c>
      <c r="R5" s="719" t="str">
        <f>Regions!A14</f>
        <v>IE-CO</v>
      </c>
      <c r="S5" s="719" t="str">
        <f>Regions!A18</f>
        <v>IE-KY</v>
      </c>
      <c r="T5" s="719" t="str">
        <f>Regions!A23</f>
        <v>IE-LK</v>
      </c>
      <c r="U5" s="719" t="str">
        <f>Regions!A32</f>
        <v>IE-TA</v>
      </c>
      <c r="V5" s="719" t="str">
        <f>Regions!A33</f>
        <v>IE-WD</v>
      </c>
      <c r="W5" s="719" t="str">
        <f>Regions!A17</f>
        <v>IE-G</v>
      </c>
      <c r="X5" s="719" t="str">
        <f>Regions!A22</f>
        <v>IE-LM</v>
      </c>
      <c r="Y5" s="719" t="str">
        <f>Regions!A26</f>
        <v>IE-MO</v>
      </c>
      <c r="Z5" s="719" t="str">
        <f>Regions!A30</f>
        <v>IE-RN</v>
      </c>
      <c r="AA5" s="719" t="str">
        <f>Regions!A31</f>
        <v>IE-SO</v>
      </c>
      <c r="AB5" s="719" t="str">
        <f>Regions!A12</f>
        <v>IE-CN</v>
      </c>
      <c r="AC5" s="719" t="str">
        <f>Regions!A15</f>
        <v>IE-DL</v>
      </c>
      <c r="AD5" s="719" t="str">
        <f>Regions!A28</f>
        <v>IE-MN</v>
      </c>
    </row>
    <row r="6" spans="1:30">
      <c r="A6" s="716" t="s">
        <v>915</v>
      </c>
      <c r="C6" s="717" t="str">
        <f>C5</f>
        <v>IE</v>
      </c>
      <c r="D6" s="717" t="str">
        <f>"*"&amp;D5</f>
        <v>*National</v>
      </c>
      <c r="E6" s="717" t="str">
        <f t="shared" ref="E6:AD6" si="0">"*"&amp;E5</f>
        <v>*IE-CW</v>
      </c>
      <c r="F6" s="717" t="str">
        <f t="shared" si="0"/>
        <v>*IE-D</v>
      </c>
      <c r="G6" s="717" t="str">
        <f t="shared" si="0"/>
        <v>*IE-KE</v>
      </c>
      <c r="H6" s="717" t="str">
        <f t="shared" si="0"/>
        <v>*IE-KK</v>
      </c>
      <c r="I6" s="717" t="str">
        <f t="shared" si="0"/>
        <v>*IE-LS</v>
      </c>
      <c r="J6" s="717" t="str">
        <f t="shared" si="0"/>
        <v>*IE-LD</v>
      </c>
      <c r="K6" s="717" t="str">
        <f t="shared" si="0"/>
        <v>*IE-LH</v>
      </c>
      <c r="L6" s="717" t="str">
        <f t="shared" si="0"/>
        <v>*IE-MH</v>
      </c>
      <c r="M6" s="717" t="str">
        <f t="shared" si="0"/>
        <v>*IE-OY</v>
      </c>
      <c r="N6" s="717" t="str">
        <f t="shared" si="0"/>
        <v>*IE-WH</v>
      </c>
      <c r="O6" s="717" t="str">
        <f t="shared" si="0"/>
        <v>*IE-WX</v>
      </c>
      <c r="P6" s="717" t="str">
        <f t="shared" si="0"/>
        <v>*IE-WW</v>
      </c>
      <c r="Q6" s="717" t="str">
        <f t="shared" si="0"/>
        <v>*IE-CE</v>
      </c>
      <c r="R6" s="717" t="str">
        <f t="shared" si="0"/>
        <v>*IE-CO</v>
      </c>
      <c r="S6" s="717" t="str">
        <f t="shared" si="0"/>
        <v>*IE-KY</v>
      </c>
      <c r="T6" s="717" t="str">
        <f t="shared" si="0"/>
        <v>*IE-LK</v>
      </c>
      <c r="U6" s="717" t="str">
        <f t="shared" si="0"/>
        <v>*IE-TA</v>
      </c>
      <c r="V6" s="717" t="str">
        <f t="shared" si="0"/>
        <v>*IE-WD</v>
      </c>
      <c r="W6" s="717" t="str">
        <f t="shared" si="0"/>
        <v>*IE-G</v>
      </c>
      <c r="X6" s="717" t="str">
        <f t="shared" si="0"/>
        <v>*IE-LM</v>
      </c>
      <c r="Y6" s="717" t="str">
        <f t="shared" si="0"/>
        <v>*IE-MO</v>
      </c>
      <c r="Z6" s="717" t="str">
        <f t="shared" si="0"/>
        <v>*IE-RN</v>
      </c>
      <c r="AA6" s="717" t="str">
        <f t="shared" si="0"/>
        <v>*IE-SO</v>
      </c>
      <c r="AB6" s="717" t="str">
        <f t="shared" si="0"/>
        <v>*IE-CN</v>
      </c>
      <c r="AC6" s="717" t="str">
        <f t="shared" si="0"/>
        <v>*IE-DL</v>
      </c>
      <c r="AD6" s="717" t="str">
        <f t="shared" si="0"/>
        <v>*IE-MN</v>
      </c>
    </row>
    <row r="7" spans="1:30">
      <c r="A7" s="716" t="s">
        <v>916</v>
      </c>
      <c r="C7" s="717" t="str">
        <f>"*"&amp;C5</f>
        <v>*IE</v>
      </c>
      <c r="D7" s="717" t="str">
        <f>D5</f>
        <v>National</v>
      </c>
      <c r="E7" s="717" t="str">
        <f t="shared" ref="E7:AD7" si="1">E5</f>
        <v>IE-CW</v>
      </c>
      <c r="F7" s="717" t="str">
        <f t="shared" si="1"/>
        <v>IE-D</v>
      </c>
      <c r="G7" s="717" t="str">
        <f t="shared" si="1"/>
        <v>IE-KE</v>
      </c>
      <c r="H7" s="717" t="str">
        <f t="shared" si="1"/>
        <v>IE-KK</v>
      </c>
      <c r="I7" s="717" t="str">
        <f t="shared" si="1"/>
        <v>IE-LS</v>
      </c>
      <c r="J7" s="717" t="str">
        <f t="shared" si="1"/>
        <v>IE-LD</v>
      </c>
      <c r="K7" s="717" t="str">
        <f t="shared" si="1"/>
        <v>IE-LH</v>
      </c>
      <c r="L7" s="717" t="str">
        <f t="shared" si="1"/>
        <v>IE-MH</v>
      </c>
      <c r="M7" s="717" t="str">
        <f t="shared" si="1"/>
        <v>IE-OY</v>
      </c>
      <c r="N7" s="717" t="str">
        <f t="shared" si="1"/>
        <v>IE-WH</v>
      </c>
      <c r="O7" s="717" t="str">
        <f t="shared" si="1"/>
        <v>IE-WX</v>
      </c>
      <c r="P7" s="717" t="str">
        <f t="shared" si="1"/>
        <v>IE-WW</v>
      </c>
      <c r="Q7" s="717" t="str">
        <f t="shared" si="1"/>
        <v>IE-CE</v>
      </c>
      <c r="R7" s="717" t="str">
        <f t="shared" si="1"/>
        <v>IE-CO</v>
      </c>
      <c r="S7" s="717" t="str">
        <f t="shared" si="1"/>
        <v>IE-KY</v>
      </c>
      <c r="T7" s="717" t="str">
        <f t="shared" si="1"/>
        <v>IE-LK</v>
      </c>
      <c r="U7" s="717" t="str">
        <f t="shared" si="1"/>
        <v>IE-TA</v>
      </c>
      <c r="V7" s="717" t="str">
        <f t="shared" si="1"/>
        <v>IE-WD</v>
      </c>
      <c r="W7" s="717" t="str">
        <f t="shared" si="1"/>
        <v>IE-G</v>
      </c>
      <c r="X7" s="717" t="str">
        <f t="shared" si="1"/>
        <v>IE-LM</v>
      </c>
      <c r="Y7" s="717" t="str">
        <f t="shared" si="1"/>
        <v>IE-MO</v>
      </c>
      <c r="Z7" s="717" t="str">
        <f t="shared" si="1"/>
        <v>IE-RN</v>
      </c>
      <c r="AA7" s="717" t="str">
        <f t="shared" si="1"/>
        <v>IE-SO</v>
      </c>
      <c r="AB7" s="717" t="str">
        <f t="shared" si="1"/>
        <v>IE-CN</v>
      </c>
      <c r="AC7" s="717" t="str">
        <f t="shared" si="1"/>
        <v>IE-DL</v>
      </c>
      <c r="AD7" s="717" t="str">
        <f t="shared" si="1"/>
        <v>IE-MN</v>
      </c>
    </row>
    <row r="10" spans="1:30" ht="15.75" thickBot="1">
      <c r="A10" s="679" t="s">
        <v>912</v>
      </c>
      <c r="B10" s="679" t="s">
        <v>913</v>
      </c>
    </row>
    <row r="11" spans="1:30">
      <c r="A11" s="678" t="s">
        <v>886</v>
      </c>
      <c r="B11" s="678" t="s">
        <v>373</v>
      </c>
    </row>
    <row r="12" spans="1:30">
      <c r="A12" s="676" t="s">
        <v>887</v>
      </c>
      <c r="B12" s="676" t="s">
        <v>396</v>
      </c>
    </row>
    <row r="13" spans="1:30">
      <c r="A13" s="676" t="s">
        <v>888</v>
      </c>
      <c r="B13" s="676" t="s">
        <v>385</v>
      </c>
    </row>
    <row r="14" spans="1:30">
      <c r="A14" s="676" t="s">
        <v>889</v>
      </c>
      <c r="B14" s="676" t="s">
        <v>386</v>
      </c>
    </row>
    <row r="15" spans="1:30">
      <c r="A15" s="676" t="s">
        <v>890</v>
      </c>
      <c r="B15" s="676" t="s">
        <v>397</v>
      </c>
    </row>
    <row r="16" spans="1:30">
      <c r="A16" s="676" t="s">
        <v>891</v>
      </c>
      <c r="B16" s="676" t="s">
        <v>374</v>
      </c>
    </row>
    <row r="17" spans="1:2">
      <c r="A17" s="676" t="s">
        <v>892</v>
      </c>
      <c r="B17" s="676" t="s">
        <v>391</v>
      </c>
    </row>
    <row r="18" spans="1:2">
      <c r="A18" s="676" t="s">
        <v>893</v>
      </c>
      <c r="B18" s="676" t="s">
        <v>387</v>
      </c>
    </row>
    <row r="19" spans="1:2">
      <c r="A19" s="676" t="s">
        <v>894</v>
      </c>
      <c r="B19" s="676" t="s">
        <v>375</v>
      </c>
    </row>
    <row r="20" spans="1:2">
      <c r="A20" s="676" t="s">
        <v>895</v>
      </c>
      <c r="B20" s="676" t="s">
        <v>376</v>
      </c>
    </row>
    <row r="21" spans="1:2">
      <c r="A21" s="676" t="s">
        <v>896</v>
      </c>
      <c r="B21" s="676" t="s">
        <v>377</v>
      </c>
    </row>
    <row r="22" spans="1:2">
      <c r="A22" s="676" t="s">
        <v>897</v>
      </c>
      <c r="B22" s="676" t="s">
        <v>392</v>
      </c>
    </row>
    <row r="23" spans="1:2">
      <c r="A23" s="676" t="s">
        <v>898</v>
      </c>
      <c r="B23" s="676" t="s">
        <v>388</v>
      </c>
    </row>
    <row r="24" spans="1:2">
      <c r="A24" s="676" t="s">
        <v>899</v>
      </c>
      <c r="B24" s="676" t="s">
        <v>378</v>
      </c>
    </row>
    <row r="25" spans="1:2">
      <c r="A25" s="676" t="s">
        <v>900</v>
      </c>
      <c r="B25" s="676" t="s">
        <v>379</v>
      </c>
    </row>
    <row r="26" spans="1:2">
      <c r="A26" s="676" t="s">
        <v>901</v>
      </c>
      <c r="B26" s="676" t="s">
        <v>393</v>
      </c>
    </row>
    <row r="27" spans="1:2">
      <c r="A27" s="676" t="s">
        <v>902</v>
      </c>
      <c r="B27" s="676" t="s">
        <v>380</v>
      </c>
    </row>
    <row r="28" spans="1:2">
      <c r="A28" s="676" t="s">
        <v>903</v>
      </c>
      <c r="B28" s="676" t="s">
        <v>398</v>
      </c>
    </row>
    <row r="29" spans="1:2">
      <c r="A29" s="676" t="s">
        <v>904</v>
      </c>
      <c r="B29" s="676" t="s">
        <v>381</v>
      </c>
    </row>
    <row r="30" spans="1:2">
      <c r="A30" s="676" t="s">
        <v>905</v>
      </c>
      <c r="B30" s="676" t="s">
        <v>394</v>
      </c>
    </row>
    <row r="31" spans="1:2">
      <c r="A31" s="676" t="s">
        <v>906</v>
      </c>
      <c r="B31" s="676" t="s">
        <v>395</v>
      </c>
    </row>
    <row r="32" spans="1:2">
      <c r="A32" s="676" t="s">
        <v>907</v>
      </c>
      <c r="B32" s="676" t="s">
        <v>389</v>
      </c>
    </row>
    <row r="33" spans="1:2">
      <c r="A33" s="676" t="s">
        <v>908</v>
      </c>
      <c r="B33" s="676" t="s">
        <v>390</v>
      </c>
    </row>
    <row r="34" spans="1:2">
      <c r="A34" s="676" t="s">
        <v>909</v>
      </c>
      <c r="B34" s="676" t="s">
        <v>382</v>
      </c>
    </row>
    <row r="35" spans="1:2">
      <c r="A35" s="676" t="s">
        <v>910</v>
      </c>
      <c r="B35" s="676" t="s">
        <v>383</v>
      </c>
    </row>
    <row r="36" spans="1:2">
      <c r="A36" s="676" t="s">
        <v>911</v>
      </c>
      <c r="B36" s="676" t="s">
        <v>384</v>
      </c>
    </row>
    <row r="37" spans="1:2">
      <c r="A37" s="677" t="s">
        <v>914</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zoomScale="85" zoomScaleNormal="85" workbookViewId="0">
      <selection activeCell="D29" sqref="D29"/>
    </sheetView>
  </sheetViews>
  <sheetFormatPr defaultRowHeight="15"/>
  <cols>
    <col min="1" max="1" width="3.28515625" customWidth="1"/>
    <col min="2" max="2" width="14.28515625" customWidth="1"/>
    <col min="3" max="3" width="12.85546875" customWidth="1"/>
    <col min="4" max="4" width="11.28515625" customWidth="1"/>
    <col min="5" max="5" width="11.5703125" customWidth="1"/>
    <col min="7" max="7" width="14.28515625" customWidth="1"/>
    <col min="8" max="8" width="13.42578125" bestFit="1" customWidth="1"/>
    <col min="9" max="9" width="13" customWidth="1"/>
    <col min="10" max="10" width="4" customWidth="1"/>
    <col min="11" max="11" width="12.28515625" customWidth="1"/>
    <col min="13" max="13" width="15.140625" customWidth="1"/>
    <col min="14" max="14" width="35.5703125" customWidth="1"/>
    <col min="17" max="17" width="12.85546875" customWidth="1"/>
    <col min="18" max="18" width="15.285156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6"/>
      <c r="L2" s="616"/>
      <c r="M2" s="617"/>
      <c r="N2" s="617"/>
      <c r="O2" s="617"/>
      <c r="P2" s="617"/>
      <c r="Q2" s="617"/>
      <c r="R2" s="617"/>
      <c r="S2" s="617"/>
    </row>
    <row r="3" spans="1:19">
      <c r="A3" s="459"/>
      <c r="B3" s="459"/>
      <c r="C3" s="459"/>
      <c r="D3" s="459"/>
      <c r="E3" s="459"/>
      <c r="F3" s="459"/>
      <c r="G3" s="459"/>
      <c r="H3" s="459"/>
      <c r="I3" s="459"/>
      <c r="J3" s="459"/>
      <c r="K3" s="618" t="s">
        <v>61</v>
      </c>
      <c r="L3" s="619" t="s">
        <v>818</v>
      </c>
      <c r="M3" s="618" t="s">
        <v>62</v>
      </c>
      <c r="N3" s="618" t="s">
        <v>63</v>
      </c>
      <c r="O3" s="618" t="s">
        <v>64</v>
      </c>
      <c r="P3" s="618" t="s">
        <v>65</v>
      </c>
      <c r="Q3" s="618" t="s">
        <v>66</v>
      </c>
      <c r="R3" s="618" t="s">
        <v>67</v>
      </c>
      <c r="S3" s="618" t="s">
        <v>68</v>
      </c>
    </row>
    <row r="4" spans="1:19" ht="35.450000000000003" customHeight="1" thickBot="1">
      <c r="A4" s="459"/>
      <c r="B4" s="459"/>
      <c r="C4" s="620"/>
      <c r="D4" s="459"/>
      <c r="E4" s="459"/>
      <c r="F4" s="459"/>
      <c r="G4" s="459"/>
      <c r="H4" s="459"/>
      <c r="I4" s="459"/>
      <c r="J4" s="459"/>
      <c r="K4" s="621" t="s">
        <v>469</v>
      </c>
      <c r="L4" s="621" t="s">
        <v>819</v>
      </c>
      <c r="M4" s="621" t="s">
        <v>470</v>
      </c>
      <c r="N4" s="621" t="s">
        <v>471</v>
      </c>
      <c r="O4" s="621" t="s">
        <v>64</v>
      </c>
      <c r="P4" s="621" t="s">
        <v>820</v>
      </c>
      <c r="Q4" s="621" t="s">
        <v>473</v>
      </c>
      <c r="R4" s="621" t="s">
        <v>474</v>
      </c>
      <c r="S4" s="621" t="s">
        <v>475</v>
      </c>
    </row>
    <row r="5" spans="1:19">
      <c r="A5" s="459"/>
      <c r="B5" s="459"/>
      <c r="C5" s="459"/>
      <c r="D5" s="459"/>
      <c r="E5" s="459"/>
      <c r="F5" s="459"/>
      <c r="G5" s="459"/>
      <c r="H5" s="459"/>
      <c r="I5" s="459"/>
      <c r="J5" s="459"/>
      <c r="K5" s="617" t="s">
        <v>85</v>
      </c>
      <c r="L5" s="26"/>
      <c r="M5" s="617" t="s">
        <v>863</v>
      </c>
      <c r="N5" s="617" t="str">
        <f>Commodities!C6</f>
        <v>Walking (TRA)</v>
      </c>
      <c r="O5" s="617" t="s">
        <v>88</v>
      </c>
      <c r="P5" s="617"/>
      <c r="Q5" s="617"/>
      <c r="R5" s="617"/>
      <c r="S5" s="617"/>
    </row>
    <row r="6" spans="1:19" s="459" customFormat="1">
      <c r="K6" s="617"/>
      <c r="L6" s="26"/>
      <c r="M6" s="617" t="s">
        <v>864</v>
      </c>
      <c r="N6" s="617" t="str">
        <f>Commodities!C7</f>
        <v>Cycling (TRA)</v>
      </c>
      <c r="O6" s="617" t="s">
        <v>88</v>
      </c>
      <c r="P6" s="617"/>
      <c r="Q6" s="617"/>
      <c r="R6" s="617"/>
      <c r="S6" s="617"/>
    </row>
    <row r="7" spans="1:19" s="459" customFormat="1">
      <c r="K7" s="617"/>
      <c r="L7" s="26"/>
      <c r="M7" s="617" t="s">
        <v>991</v>
      </c>
      <c r="N7" s="617" t="str">
        <f>Commodities!C8</f>
        <v>Gasoline (TRA)</v>
      </c>
      <c r="O7" s="617" t="s">
        <v>88</v>
      </c>
      <c r="P7" s="617"/>
      <c r="Q7" s="617"/>
      <c r="R7" s="617"/>
      <c r="S7" s="617"/>
    </row>
    <row r="8" spans="1:19" s="459" customFormat="1">
      <c r="K8" s="617"/>
      <c r="L8" s="26"/>
      <c r="M8" s="617" t="s">
        <v>992</v>
      </c>
      <c r="N8" s="617" t="str">
        <f>Commodities!C9</f>
        <v>Diesel (TRA)</v>
      </c>
      <c r="O8" s="617" t="s">
        <v>88</v>
      </c>
      <c r="P8" s="617"/>
      <c r="Q8" s="617"/>
      <c r="R8" s="617"/>
      <c r="S8" s="617"/>
    </row>
    <row r="9" spans="1:19" s="459" customFormat="1">
      <c r="K9" s="617"/>
      <c r="L9" s="26"/>
      <c r="M9" s="617" t="s">
        <v>993</v>
      </c>
      <c r="N9" s="617" t="str">
        <f>Commodities!C10</f>
        <v>BioEthanol (TRA)</v>
      </c>
      <c r="O9" s="617" t="s">
        <v>88</v>
      </c>
      <c r="P9" s="617"/>
      <c r="Q9" s="617"/>
      <c r="R9" s="617"/>
      <c r="S9" s="617"/>
    </row>
    <row r="10" spans="1:19" s="459" customFormat="1">
      <c r="K10" s="617"/>
      <c r="L10" s="26"/>
      <c r="M10" s="617" t="s">
        <v>994</v>
      </c>
      <c r="N10" s="617" t="str">
        <f>Commodities!C11</f>
        <v>BioDiesel (TRA)</v>
      </c>
      <c r="O10" s="617" t="s">
        <v>88</v>
      </c>
      <c r="P10" s="617"/>
      <c r="Q10" s="617"/>
      <c r="R10" s="617"/>
      <c r="S10" s="617"/>
    </row>
    <row r="11" spans="1:19" s="459" customFormat="1">
      <c r="K11" s="617"/>
      <c r="L11" s="26"/>
      <c r="M11" s="617" t="s">
        <v>477</v>
      </c>
      <c r="N11" s="617" t="str">
        <f>Commodities!C12</f>
        <v>CNG (TRA)</v>
      </c>
      <c r="O11" s="617" t="s">
        <v>88</v>
      </c>
      <c r="P11" s="617"/>
      <c r="Q11" s="617"/>
      <c r="R11" s="617"/>
      <c r="S11" s="617"/>
    </row>
    <row r="12" spans="1:19" s="459" customFormat="1">
      <c r="K12" s="617"/>
      <c r="L12" s="26"/>
      <c r="M12" s="617" t="s">
        <v>865</v>
      </c>
      <c r="N12" s="617" t="str">
        <f>Commodities!C13</f>
        <v>BioCNG (TRA)</v>
      </c>
      <c r="O12" s="617" t="s">
        <v>88</v>
      </c>
      <c r="P12" s="617"/>
      <c r="Q12" s="617"/>
      <c r="R12" s="617"/>
      <c r="S12" s="617"/>
    </row>
    <row r="13" spans="1:19" s="459" customFormat="1">
      <c r="M13" s="617" t="s">
        <v>995</v>
      </c>
      <c r="N13" s="617" t="str">
        <f>Commodities!C15</f>
        <v>LNG (TRA)</v>
      </c>
      <c r="O13" s="617" t="s">
        <v>88</v>
      </c>
    </row>
    <row r="14" spans="1:19" s="459" customFormat="1">
      <c r="K14" s="617"/>
      <c r="L14" s="26"/>
      <c r="M14" s="617" t="s">
        <v>866</v>
      </c>
      <c r="N14" s="617" t="str">
        <f>Commodities!C16</f>
        <v>Hydrogen (TRA)</v>
      </c>
      <c r="O14" s="617" t="s">
        <v>88</v>
      </c>
    </row>
    <row r="15" spans="1:19" s="459" customFormat="1">
      <c r="K15" s="649"/>
      <c r="L15" s="649"/>
      <c r="M15" s="649" t="s">
        <v>996</v>
      </c>
      <c r="N15" s="649" t="str">
        <f>Commodities!C17</f>
        <v>Kerosene (TRA)</v>
      </c>
      <c r="O15" s="649" t="s">
        <v>88</v>
      </c>
      <c r="P15" s="649"/>
      <c r="Q15" s="649"/>
      <c r="R15" s="649"/>
      <c r="S15" s="649"/>
    </row>
    <row r="16" spans="1:19" s="459" customFormat="1">
      <c r="K16" s="661"/>
      <c r="L16" s="661"/>
      <c r="M16" s="661" t="s">
        <v>997</v>
      </c>
      <c r="N16" s="661" t="s">
        <v>107</v>
      </c>
      <c r="O16" s="661" t="s">
        <v>88</v>
      </c>
      <c r="P16" s="661"/>
      <c r="Q16" s="661" t="s">
        <v>90</v>
      </c>
      <c r="R16" s="661"/>
      <c r="S16" s="661" t="s">
        <v>89</v>
      </c>
    </row>
    <row r="17" spans="1:20" s="459" customFormat="1"/>
    <row r="18" spans="1:20">
      <c r="A18" s="459"/>
      <c r="B18" s="459"/>
      <c r="C18" s="459"/>
      <c r="D18" s="459"/>
      <c r="E18" s="459"/>
      <c r="F18" s="459"/>
      <c r="G18" s="459"/>
      <c r="H18" s="459"/>
      <c r="I18" s="459"/>
      <c r="J18" s="459"/>
      <c r="K18" s="620"/>
      <c r="L18" s="459"/>
      <c r="M18" s="620"/>
      <c r="N18" s="620"/>
      <c r="O18" s="620"/>
      <c r="P18" s="620"/>
      <c r="Q18" s="620"/>
      <c r="R18" s="620"/>
      <c r="S18" s="620"/>
    </row>
    <row r="19" spans="1:20">
      <c r="A19" s="459"/>
      <c r="B19" s="459"/>
      <c r="C19" s="459"/>
      <c r="D19" s="459"/>
      <c r="E19" s="459"/>
      <c r="F19" s="622"/>
      <c r="G19" s="459"/>
      <c r="H19" s="622"/>
      <c r="I19" s="459"/>
      <c r="J19" s="459"/>
      <c r="K19" s="616"/>
      <c r="L19" s="616"/>
      <c r="M19" s="26"/>
      <c r="N19" s="26"/>
      <c r="O19" s="26"/>
      <c r="P19" s="26"/>
      <c r="Q19" s="26"/>
      <c r="R19" s="26"/>
      <c r="S19" s="26"/>
    </row>
    <row r="20" spans="1:20">
      <c r="A20" s="459"/>
      <c r="B20" s="623" t="s">
        <v>70</v>
      </c>
      <c r="C20" s="624" t="s">
        <v>77</v>
      </c>
      <c r="D20" s="623" t="s">
        <v>78</v>
      </c>
      <c r="E20" s="623" t="s">
        <v>2</v>
      </c>
      <c r="F20" s="623" t="s">
        <v>65</v>
      </c>
      <c r="G20" s="625" t="s">
        <v>821</v>
      </c>
      <c r="H20" s="625" t="s">
        <v>822</v>
      </c>
      <c r="I20" s="625" t="s">
        <v>823</v>
      </c>
      <c r="J20" s="459"/>
      <c r="K20" s="618" t="s">
        <v>69</v>
      </c>
      <c r="L20" s="619" t="s">
        <v>818</v>
      </c>
      <c r="M20" s="618" t="s">
        <v>70</v>
      </c>
      <c r="N20" s="618" t="s">
        <v>71</v>
      </c>
      <c r="O20" s="618" t="s">
        <v>72</v>
      </c>
      <c r="P20" s="618" t="s">
        <v>73</v>
      </c>
      <c r="Q20" s="618" t="s">
        <v>74</v>
      </c>
      <c r="R20" s="618" t="s">
        <v>75</v>
      </c>
      <c r="S20" s="618" t="s">
        <v>0</v>
      </c>
    </row>
    <row r="21" spans="1:20" ht="24" customHeight="1" thickBot="1">
      <c r="A21" s="459"/>
      <c r="B21" s="626" t="s">
        <v>79</v>
      </c>
      <c r="C21" s="626" t="s">
        <v>81</v>
      </c>
      <c r="D21" s="626" t="s">
        <v>82</v>
      </c>
      <c r="E21" s="626"/>
      <c r="F21" s="626"/>
      <c r="G21" s="626" t="s">
        <v>824</v>
      </c>
      <c r="H21" s="626" t="s">
        <v>825</v>
      </c>
      <c r="I21" s="626" t="s">
        <v>826</v>
      </c>
      <c r="J21" s="459"/>
      <c r="K21" s="621" t="s">
        <v>827</v>
      </c>
      <c r="L21" s="621" t="s">
        <v>819</v>
      </c>
      <c r="M21" s="621" t="s">
        <v>828</v>
      </c>
      <c r="N21" s="621" t="s">
        <v>80</v>
      </c>
      <c r="O21" s="621" t="s">
        <v>829</v>
      </c>
      <c r="P21" s="621" t="s">
        <v>830</v>
      </c>
      <c r="Q21" s="621" t="s">
        <v>831</v>
      </c>
      <c r="R21" s="621" t="s">
        <v>832</v>
      </c>
      <c r="S21" s="621" t="s">
        <v>833</v>
      </c>
    </row>
    <row r="22" spans="1:20" ht="15.75" thickBot="1">
      <c r="A22" s="459"/>
      <c r="B22" s="626" t="s">
        <v>834</v>
      </c>
      <c r="C22" s="627"/>
      <c r="D22" s="627"/>
      <c r="E22" s="627"/>
      <c r="F22" s="627"/>
      <c r="G22" s="627" t="s">
        <v>88</v>
      </c>
      <c r="H22" s="627" t="s">
        <v>844</v>
      </c>
      <c r="I22" s="627" t="s">
        <v>88</v>
      </c>
      <c r="J22" s="459"/>
      <c r="K22" s="621" t="s">
        <v>27</v>
      </c>
      <c r="L22" s="628"/>
      <c r="M22" s="628"/>
      <c r="N22" s="628"/>
      <c r="O22" s="628"/>
      <c r="P22" s="628"/>
      <c r="Q22" s="628"/>
      <c r="R22" s="628"/>
      <c r="S22" s="628"/>
    </row>
    <row r="23" spans="1:20">
      <c r="A23" s="459"/>
      <c r="B23" s="620" t="s">
        <v>835</v>
      </c>
      <c r="C23" s="620"/>
      <c r="D23" s="620" t="str">
        <f t="shared" ref="D23:D34" si="0">M5</f>
        <v>WLK</v>
      </c>
      <c r="E23" s="620"/>
      <c r="F23" s="620"/>
      <c r="G23" s="620"/>
      <c r="H23" s="620">
        <v>1</v>
      </c>
      <c r="I23" s="620"/>
      <c r="J23" s="459"/>
      <c r="K23" s="617" t="s">
        <v>845</v>
      </c>
      <c r="L23" s="617"/>
      <c r="M23" s="617" t="str">
        <f>B23</f>
        <v>MINWALK</v>
      </c>
      <c r="N23" s="617" t="str">
        <f>Commodities!C6</f>
        <v>Walking (TRA)</v>
      </c>
      <c r="O23" s="617" t="s">
        <v>88</v>
      </c>
      <c r="P23" s="617" t="s">
        <v>875</v>
      </c>
      <c r="Q23" s="617"/>
      <c r="R23" s="617"/>
      <c r="S23" s="617"/>
      <c r="T23" s="617"/>
    </row>
    <row r="24" spans="1:20">
      <c r="A24" s="459"/>
      <c r="B24" s="620" t="s">
        <v>836</v>
      </c>
      <c r="C24" s="620"/>
      <c r="D24" s="620" t="str">
        <f t="shared" si="0"/>
        <v>CYC</v>
      </c>
      <c r="E24" s="620"/>
      <c r="F24" s="620"/>
      <c r="G24" s="620"/>
      <c r="H24" s="620">
        <v>1</v>
      </c>
      <c r="I24" s="620"/>
      <c r="J24" s="459"/>
      <c r="K24" s="617"/>
      <c r="L24" s="617"/>
      <c r="M24" s="617" t="str">
        <f t="shared" ref="M24:M30" si="1">B24</f>
        <v>MINCYCLING</v>
      </c>
      <c r="N24" s="617" t="str">
        <f>Commodities!C7</f>
        <v>Cycling (TRA)</v>
      </c>
      <c r="O24" s="617" t="s">
        <v>88</v>
      </c>
      <c r="P24" s="617" t="s">
        <v>875</v>
      </c>
      <c r="Q24" s="617"/>
      <c r="R24" s="617"/>
      <c r="S24" s="617"/>
      <c r="T24" s="617"/>
    </row>
    <row r="25" spans="1:20">
      <c r="A25" s="459"/>
      <c r="B25" s="620" t="s">
        <v>837</v>
      </c>
      <c r="C25" s="620"/>
      <c r="D25" s="620" t="str">
        <f t="shared" si="0"/>
        <v>OILGSL</v>
      </c>
      <c r="E25" s="620"/>
      <c r="F25" s="620"/>
      <c r="G25" s="620"/>
      <c r="H25" s="620">
        <v>20</v>
      </c>
      <c r="I25" s="620"/>
      <c r="J25" s="459"/>
      <c r="K25" s="617"/>
      <c r="L25" s="617"/>
      <c r="M25" s="617" t="str">
        <f t="shared" si="1"/>
        <v>MINGASOLINE</v>
      </c>
      <c r="N25" s="617" t="str">
        <f>Commodities!C8</f>
        <v>Gasoline (TRA)</v>
      </c>
      <c r="O25" s="617" t="s">
        <v>88</v>
      </c>
      <c r="P25" s="617" t="s">
        <v>875</v>
      </c>
      <c r="Q25" s="617"/>
      <c r="R25" s="617"/>
      <c r="S25" s="617"/>
      <c r="T25" s="617"/>
    </row>
    <row r="26" spans="1:20">
      <c r="A26" s="459"/>
      <c r="B26" s="620" t="s">
        <v>838</v>
      </c>
      <c r="C26" s="620"/>
      <c r="D26" s="620" t="str">
        <f t="shared" si="0"/>
        <v>OILDST</v>
      </c>
      <c r="E26" s="620"/>
      <c r="F26" s="620"/>
      <c r="G26" s="620"/>
      <c r="H26" s="620">
        <v>20</v>
      </c>
      <c r="I26" s="620"/>
      <c r="J26" s="459"/>
      <c r="K26" s="617"/>
      <c r="L26" s="617"/>
      <c r="M26" s="617" t="str">
        <f t="shared" si="1"/>
        <v>MINDIESEL</v>
      </c>
      <c r="N26" s="617" t="str">
        <f>Commodities!C9</f>
        <v>Diesel (TRA)</v>
      </c>
      <c r="O26" s="617" t="s">
        <v>88</v>
      </c>
      <c r="P26" s="617" t="s">
        <v>875</v>
      </c>
      <c r="Q26" s="617"/>
      <c r="R26" s="617"/>
      <c r="S26" s="617"/>
      <c r="T26" s="617"/>
    </row>
    <row r="27" spans="1:20">
      <c r="A27" s="459"/>
      <c r="B27" s="620" t="s">
        <v>839</v>
      </c>
      <c r="C27" s="620"/>
      <c r="D27" s="620" t="str">
        <f t="shared" si="0"/>
        <v>BIOETH</v>
      </c>
      <c r="E27" s="620"/>
      <c r="F27" s="620"/>
      <c r="G27" s="620"/>
      <c r="H27" s="620">
        <v>40</v>
      </c>
      <c r="I27" s="620"/>
      <c r="J27" s="459"/>
      <c r="K27" s="617"/>
      <c r="L27" s="617"/>
      <c r="M27" s="617" t="str">
        <f t="shared" si="1"/>
        <v>MINETHANOL</v>
      </c>
      <c r="N27" s="617" t="str">
        <f>Commodities!C10</f>
        <v>BioEthanol (TRA)</v>
      </c>
      <c r="O27" s="617" t="s">
        <v>88</v>
      </c>
      <c r="P27" s="617" t="s">
        <v>875</v>
      </c>
      <c r="Q27" s="617"/>
      <c r="R27" s="617"/>
      <c r="S27" s="617"/>
      <c r="T27" s="617"/>
    </row>
    <row r="28" spans="1:20">
      <c r="A28" s="459"/>
      <c r="B28" s="620" t="s">
        <v>840</v>
      </c>
      <c r="C28" s="620"/>
      <c r="D28" s="620" t="str">
        <f t="shared" si="0"/>
        <v>BIODST</v>
      </c>
      <c r="E28" s="620"/>
      <c r="F28" s="620"/>
      <c r="G28" s="620"/>
      <c r="H28" s="620">
        <v>40</v>
      </c>
      <c r="I28" s="620"/>
      <c r="J28" s="459"/>
      <c r="K28" s="617"/>
      <c r="L28" s="617"/>
      <c r="M28" s="617" t="str">
        <f t="shared" si="1"/>
        <v>MINBIODIESEL</v>
      </c>
      <c r="N28" s="617" t="str">
        <f>Commodities!C11</f>
        <v>BioDiesel (TRA)</v>
      </c>
      <c r="O28" s="617" t="s">
        <v>88</v>
      </c>
      <c r="P28" s="617" t="s">
        <v>875</v>
      </c>
      <c r="Q28" s="617"/>
      <c r="R28" s="617"/>
      <c r="S28" s="617"/>
      <c r="T28" s="617"/>
    </row>
    <row r="29" spans="1:20">
      <c r="A29" s="459"/>
      <c r="B29" s="620" t="s">
        <v>841</v>
      </c>
      <c r="C29" s="620"/>
      <c r="D29" s="620" t="str">
        <f t="shared" si="0"/>
        <v>CNG</v>
      </c>
      <c r="E29" s="620"/>
      <c r="F29" s="620"/>
      <c r="G29" s="620"/>
      <c r="H29" s="620">
        <v>20</v>
      </c>
      <c r="I29" s="620"/>
      <c r="J29" s="459"/>
      <c r="K29" s="617"/>
      <c r="L29" s="617"/>
      <c r="M29" s="617" t="str">
        <f t="shared" si="1"/>
        <v>MINCNG</v>
      </c>
      <c r="N29" s="617" t="str">
        <f>Commodities!C12</f>
        <v>CNG (TRA)</v>
      </c>
      <c r="O29" s="617" t="s">
        <v>88</v>
      </c>
      <c r="P29" s="617" t="s">
        <v>875</v>
      </c>
      <c r="Q29" s="617"/>
      <c r="R29" s="617"/>
      <c r="S29" s="617"/>
      <c r="T29" s="617"/>
    </row>
    <row r="30" spans="1:20">
      <c r="A30" s="459"/>
      <c r="B30" s="620" t="s">
        <v>842</v>
      </c>
      <c r="C30" s="620"/>
      <c r="D30" s="620" t="str">
        <f t="shared" si="0"/>
        <v>BNG</v>
      </c>
      <c r="E30" s="620"/>
      <c r="F30" s="620"/>
      <c r="G30" s="620"/>
      <c r="H30" s="620">
        <v>40</v>
      </c>
      <c r="I30" s="620"/>
      <c r="J30" s="459"/>
      <c r="K30" s="617"/>
      <c r="L30" s="617"/>
      <c r="M30" s="617" t="str">
        <f t="shared" si="1"/>
        <v>MINBCNG</v>
      </c>
      <c r="N30" s="617" t="str">
        <f>Commodities!C13</f>
        <v>BioCNG (TRA)</v>
      </c>
      <c r="O30" s="617" t="s">
        <v>88</v>
      </c>
      <c r="P30" s="617" t="s">
        <v>875</v>
      </c>
      <c r="Q30" s="617"/>
      <c r="R30" s="617"/>
      <c r="S30" s="617"/>
      <c r="T30" s="617"/>
    </row>
    <row r="31" spans="1:20">
      <c r="A31" s="459"/>
      <c r="B31" s="620" t="s">
        <v>861</v>
      </c>
      <c r="C31" s="620"/>
      <c r="D31" s="620" t="str">
        <f t="shared" si="0"/>
        <v>GASLNG</v>
      </c>
      <c r="E31" s="620"/>
      <c r="F31" s="620"/>
      <c r="G31" s="620"/>
      <c r="H31" s="620">
        <v>80</v>
      </c>
      <c r="I31" s="620"/>
      <c r="J31" s="459"/>
      <c r="K31" s="617"/>
      <c r="L31" s="617"/>
      <c r="M31" s="617" t="str">
        <f>B31</f>
        <v>MINLNG</v>
      </c>
      <c r="N31" s="617" t="str">
        <f>Commodities!C15</f>
        <v>LNG (TRA)</v>
      </c>
      <c r="O31" s="617" t="s">
        <v>88</v>
      </c>
      <c r="P31" s="617" t="s">
        <v>875</v>
      </c>
      <c r="Q31" s="617"/>
      <c r="R31" s="617"/>
      <c r="S31" s="617"/>
      <c r="T31" s="617"/>
    </row>
    <row r="32" spans="1:20">
      <c r="A32" s="459"/>
      <c r="B32" s="620" t="s">
        <v>862</v>
      </c>
      <c r="C32" s="620"/>
      <c r="D32" s="620" t="str">
        <f t="shared" si="0"/>
        <v>H2</v>
      </c>
      <c r="E32" s="620"/>
      <c r="F32" s="620"/>
      <c r="G32" s="620"/>
      <c r="H32" s="620">
        <v>80</v>
      </c>
      <c r="I32" s="620"/>
      <c r="J32" s="459"/>
      <c r="K32" s="617"/>
      <c r="L32" s="617"/>
      <c r="M32" s="617" t="str">
        <f>B32</f>
        <v>MINH2</v>
      </c>
      <c r="N32" s="617" t="str">
        <f>Commodities!C16</f>
        <v>Hydrogen (TRA)</v>
      </c>
      <c r="O32" s="617" t="s">
        <v>88</v>
      </c>
      <c r="P32" s="617" t="s">
        <v>875</v>
      </c>
      <c r="Q32" s="617"/>
      <c r="R32" s="617"/>
      <c r="S32" s="617"/>
      <c r="T32" s="617"/>
    </row>
    <row r="33" spans="1:20">
      <c r="A33" s="459"/>
      <c r="B33" s="650" t="s">
        <v>843</v>
      </c>
      <c r="C33" s="650"/>
      <c r="D33" s="649" t="str">
        <f t="shared" si="0"/>
        <v>OILKER</v>
      </c>
      <c r="E33" s="650"/>
      <c r="F33" s="650"/>
      <c r="G33" s="650"/>
      <c r="H33" s="650">
        <v>20</v>
      </c>
      <c r="I33" s="650"/>
      <c r="J33" s="459"/>
      <c r="K33" s="649"/>
      <c r="L33" s="649"/>
      <c r="M33" s="649" t="str">
        <f>B33</f>
        <v>MINKEROSENE</v>
      </c>
      <c r="N33" s="649" t="str">
        <f>Commodities!C17</f>
        <v>Kerosene (TRA)</v>
      </c>
      <c r="O33" s="649" t="s">
        <v>88</v>
      </c>
      <c r="P33" s="649" t="s">
        <v>875</v>
      </c>
      <c r="Q33" s="649"/>
      <c r="R33" s="649"/>
      <c r="S33" s="649"/>
      <c r="T33" s="617"/>
    </row>
    <row r="34" spans="1:20">
      <c r="A34" s="459"/>
      <c r="B34" s="661" t="s">
        <v>877</v>
      </c>
      <c r="C34" s="663"/>
      <c r="D34" s="649" t="str">
        <f t="shared" si="0"/>
        <v>ELCC</v>
      </c>
      <c r="E34" s="663"/>
      <c r="F34" s="663"/>
      <c r="G34" s="663"/>
      <c r="H34" s="663">
        <v>40</v>
      </c>
      <c r="I34" s="663"/>
      <c r="J34" s="459"/>
      <c r="K34" s="661" t="s">
        <v>876</v>
      </c>
      <c r="L34" s="661"/>
      <c r="M34" s="661" t="str">
        <f>B34</f>
        <v>IMPELC</v>
      </c>
      <c r="N34" s="661" t="s">
        <v>878</v>
      </c>
      <c r="O34" s="661" t="s">
        <v>88</v>
      </c>
      <c r="P34" s="661"/>
      <c r="Q34" s="662" t="s">
        <v>90</v>
      </c>
      <c r="R34" s="661"/>
      <c r="S34" s="661"/>
      <c r="T34" s="617"/>
    </row>
    <row r="35" spans="1:20">
      <c r="A35" s="459"/>
      <c r="B35" s="459"/>
      <c r="C35" s="459"/>
      <c r="D35" s="459"/>
      <c r="E35" s="459"/>
      <c r="F35" s="459"/>
      <c r="G35" s="459"/>
      <c r="H35" s="459"/>
      <c r="I35" s="459"/>
      <c r="J35" s="459"/>
      <c r="K35" s="459"/>
      <c r="L35" s="459"/>
      <c r="M35" s="459"/>
      <c r="N35" s="459"/>
      <c r="O35" s="459"/>
      <c r="P35" s="459"/>
      <c r="Q35" s="459"/>
      <c r="R35" s="459"/>
      <c r="S35" s="459"/>
      <c r="T35" s="617"/>
    </row>
    <row r="36" spans="1:20">
      <c r="A36" s="620"/>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tabSelected="1" zoomScaleNormal="100" workbookViewId="0">
      <selection activeCell="C16" sqref="C16"/>
    </sheetView>
  </sheetViews>
  <sheetFormatPr defaultColWidth="8.85546875" defaultRowHeight="15"/>
  <cols>
    <col min="1" max="1" width="3.28515625" style="459" customWidth="1"/>
    <col min="2" max="2" width="15.85546875" style="459" bestFit="1" customWidth="1"/>
    <col min="3" max="3" width="12.140625" style="459" bestFit="1" customWidth="1"/>
    <col min="4" max="4" width="11.28515625" style="459" customWidth="1"/>
    <col min="5" max="5" width="7.85546875" style="459" bestFit="1" customWidth="1"/>
    <col min="6" max="6" width="12.85546875" style="459" bestFit="1" customWidth="1"/>
    <col min="7" max="7" width="10.7109375" style="459" bestFit="1" customWidth="1"/>
    <col min="8" max="8" width="9.5703125" style="459" bestFit="1" customWidth="1"/>
    <col min="9" max="9" width="3.7109375" style="459" customWidth="1"/>
    <col min="10" max="10" width="12.28515625" style="459" customWidth="1"/>
    <col min="11" max="11" width="8.85546875" style="459"/>
    <col min="12" max="12" width="15.140625" style="459" customWidth="1"/>
    <col min="13" max="13" width="49" style="459" customWidth="1"/>
    <col min="14" max="15" width="8.85546875" style="459"/>
    <col min="16" max="16" width="12.85546875" style="459" customWidth="1"/>
    <col min="17" max="17" width="15.28515625" style="459" customWidth="1"/>
    <col min="18" max="16384" width="8.85546875" style="459"/>
  </cols>
  <sheetData>
    <row r="2" spans="2:18">
      <c r="D2" s="622" t="s">
        <v>76</v>
      </c>
      <c r="E2" s="622"/>
      <c r="G2" s="622"/>
      <c r="J2" s="616" t="s">
        <v>60</v>
      </c>
      <c r="K2" s="616"/>
      <c r="L2" s="26"/>
      <c r="M2" s="26"/>
      <c r="N2" s="26"/>
      <c r="O2" s="26"/>
      <c r="P2" s="26"/>
      <c r="Q2" s="26"/>
      <c r="R2" s="26"/>
    </row>
    <row r="3" spans="2:18">
      <c r="B3" s="623" t="s">
        <v>70</v>
      </c>
      <c r="C3" s="624" t="s">
        <v>77</v>
      </c>
      <c r="D3" s="623" t="s">
        <v>78</v>
      </c>
      <c r="E3" s="651" t="s">
        <v>868</v>
      </c>
      <c r="F3" s="625" t="s">
        <v>879</v>
      </c>
      <c r="G3" s="625" t="s">
        <v>822</v>
      </c>
      <c r="H3" s="625" t="s">
        <v>823</v>
      </c>
      <c r="J3" s="618" t="s">
        <v>69</v>
      </c>
      <c r="K3" s="619" t="s">
        <v>818</v>
      </c>
      <c r="L3" s="618" t="s">
        <v>70</v>
      </c>
      <c r="M3" s="618" t="s">
        <v>71</v>
      </c>
      <c r="N3" s="618" t="s">
        <v>72</v>
      </c>
      <c r="O3" s="618" t="s">
        <v>73</v>
      </c>
      <c r="P3" s="618" t="s">
        <v>74</v>
      </c>
      <c r="Q3" s="618" t="s">
        <v>75</v>
      </c>
      <c r="R3" s="618" t="s">
        <v>0</v>
      </c>
    </row>
    <row r="4" spans="2:18" ht="35.25" thickBot="1">
      <c r="B4" s="626" t="s">
        <v>79</v>
      </c>
      <c r="C4" s="626" t="s">
        <v>81</v>
      </c>
      <c r="D4" s="626" t="s">
        <v>82</v>
      </c>
      <c r="E4" s="626" t="s">
        <v>809</v>
      </c>
      <c r="F4" s="626" t="s">
        <v>880</v>
      </c>
      <c r="G4" s="626" t="s">
        <v>825</v>
      </c>
      <c r="H4" s="626" t="s">
        <v>826</v>
      </c>
      <c r="J4" s="621" t="s">
        <v>827</v>
      </c>
      <c r="K4" s="621" t="s">
        <v>819</v>
      </c>
      <c r="L4" s="621" t="s">
        <v>828</v>
      </c>
      <c r="M4" s="621" t="s">
        <v>80</v>
      </c>
      <c r="N4" s="621" t="s">
        <v>829</v>
      </c>
      <c r="O4" s="621" t="s">
        <v>830</v>
      </c>
      <c r="P4" s="621" t="s">
        <v>831</v>
      </c>
      <c r="Q4" s="621" t="s">
        <v>832</v>
      </c>
      <c r="R4" s="621" t="s">
        <v>833</v>
      </c>
    </row>
    <row r="5" spans="2:18" ht="15.75" thickBot="1">
      <c r="B5" s="626" t="s">
        <v>834</v>
      </c>
      <c r="C5" s="627"/>
      <c r="D5" s="627"/>
      <c r="E5" s="627"/>
      <c r="F5" s="627" t="s">
        <v>881</v>
      </c>
      <c r="G5" s="627" t="s">
        <v>844</v>
      </c>
      <c r="H5" s="627" t="s">
        <v>88</v>
      </c>
      <c r="J5" s="621" t="s">
        <v>27</v>
      </c>
      <c r="K5" s="628"/>
      <c r="L5" s="628"/>
      <c r="M5" s="628"/>
      <c r="N5" s="628"/>
      <c r="O5" s="628"/>
      <c r="P5" s="628"/>
      <c r="Q5" s="628"/>
      <c r="R5" s="628"/>
    </row>
    <row r="6" spans="2:18" s="664" customFormat="1" ht="12.75">
      <c r="B6" s="617" t="str">
        <f>"FT-TRA"&amp;C6</f>
        <v>FT-TRAWLK</v>
      </c>
      <c r="C6" s="620" t="str">
        <f>Primary!D23</f>
        <v>WLK</v>
      </c>
      <c r="D6" s="617" t="str">
        <f>Commodities!B6</f>
        <v>TRAWLK</v>
      </c>
      <c r="E6" s="664">
        <v>1</v>
      </c>
      <c r="F6" s="664">
        <v>50</v>
      </c>
      <c r="G6" s="664">
        <v>0.01</v>
      </c>
      <c r="J6" s="617" t="s">
        <v>867</v>
      </c>
      <c r="K6" s="666"/>
      <c r="L6" s="666" t="str">
        <f t="shared" ref="L6:L17" si="0">B6</f>
        <v>FT-TRAWLK</v>
      </c>
      <c r="M6" s="667" t="str">
        <f>"TRA "&amp;Commodities!C6</f>
        <v>TRA Walking (TRA)</v>
      </c>
      <c r="N6" s="666" t="s">
        <v>88</v>
      </c>
      <c r="O6" s="666" t="s">
        <v>875</v>
      </c>
      <c r="P6" s="666"/>
      <c r="Q6" s="666"/>
      <c r="R6" s="666"/>
    </row>
    <row r="7" spans="2:18" s="664" customFormat="1" ht="12.75">
      <c r="B7" s="617" t="str">
        <f t="shared" ref="B7:B13" si="1">"FT-TRA"&amp;C7</f>
        <v>FT-TRACYC</v>
      </c>
      <c r="C7" s="620" t="str">
        <f>Primary!D24</f>
        <v>CYC</v>
      </c>
      <c r="D7" s="617" t="str">
        <f>Commodities!B7</f>
        <v>TRACYC</v>
      </c>
      <c r="E7" s="664">
        <v>1</v>
      </c>
      <c r="F7" s="664">
        <v>50</v>
      </c>
      <c r="G7" s="664">
        <v>0.01</v>
      </c>
      <c r="J7" s="617"/>
      <c r="K7" s="666"/>
      <c r="L7" s="666" t="str">
        <f t="shared" si="0"/>
        <v>FT-TRACYC</v>
      </c>
      <c r="M7" s="667" t="str">
        <f>"TRA "&amp;Commodities!C7</f>
        <v>TRA Cycling (TRA)</v>
      </c>
      <c r="N7" s="666" t="s">
        <v>88</v>
      </c>
      <c r="O7" s="666" t="s">
        <v>875</v>
      </c>
      <c r="P7" s="666"/>
      <c r="Q7" s="666"/>
      <c r="R7" s="666"/>
    </row>
    <row r="8" spans="2:18" s="664" customFormat="1" ht="12.75">
      <c r="B8" s="617" t="str">
        <f>"FT-TRA"&amp;RIGHT(C8,3)</f>
        <v>FT-TRAGSL</v>
      </c>
      <c r="C8" s="620" t="str">
        <f>Primary!D25</f>
        <v>OILGSL</v>
      </c>
      <c r="D8" s="617" t="str">
        <f>Commodities!B8</f>
        <v>TRAGSL</v>
      </c>
      <c r="E8" s="664">
        <v>1</v>
      </c>
      <c r="F8" s="664">
        <v>50</v>
      </c>
      <c r="G8" s="664">
        <v>0.01</v>
      </c>
      <c r="J8" s="617"/>
      <c r="K8" s="666"/>
      <c r="L8" s="666" t="str">
        <f t="shared" si="0"/>
        <v>FT-TRAGSL</v>
      </c>
      <c r="M8" s="667" t="str">
        <f>"TRA "&amp;Commodities!C8</f>
        <v>TRA Gasoline (TRA)</v>
      </c>
      <c r="N8" s="666" t="s">
        <v>88</v>
      </c>
      <c r="O8" s="666" t="s">
        <v>875</v>
      </c>
      <c r="P8" s="666"/>
      <c r="Q8" s="666"/>
      <c r="R8" s="666"/>
    </row>
    <row r="9" spans="2:18" s="664" customFormat="1" ht="12.75">
      <c r="B9" s="617" t="str">
        <f>"FT-TRA"&amp;RIGHT(C9,3)</f>
        <v>FT-TRADST</v>
      </c>
      <c r="C9" s="620" t="str">
        <f>Primary!D26</f>
        <v>OILDST</v>
      </c>
      <c r="D9" s="617" t="str">
        <f>Commodities!B9</f>
        <v>TRADST</v>
      </c>
      <c r="E9" s="664">
        <v>1</v>
      </c>
      <c r="F9" s="664">
        <v>50</v>
      </c>
      <c r="G9" s="664">
        <v>0.01</v>
      </c>
      <c r="J9" s="617"/>
      <c r="L9" s="666" t="str">
        <f t="shared" si="0"/>
        <v>FT-TRADST</v>
      </c>
      <c r="M9" s="667" t="str">
        <f>"TRA "&amp;Commodities!C9</f>
        <v>TRA Diesel (TRA)</v>
      </c>
      <c r="N9" s="666" t="s">
        <v>88</v>
      </c>
      <c r="O9" s="666" t="s">
        <v>875</v>
      </c>
    </row>
    <row r="10" spans="2:18" s="664" customFormat="1" ht="12.75">
      <c r="B10" s="617" t="str">
        <f>"FT-"&amp;D10</f>
        <v>FT-TRAETH</v>
      </c>
      <c r="C10" s="620" t="s">
        <v>1119</v>
      </c>
      <c r="D10" s="617" t="str">
        <f>Commodities!B10</f>
        <v>TRAETH</v>
      </c>
      <c r="E10" s="664">
        <v>1</v>
      </c>
      <c r="F10" s="664">
        <v>50</v>
      </c>
      <c r="G10" s="664">
        <v>0.01</v>
      </c>
      <c r="J10" s="617"/>
      <c r="L10" s="666" t="str">
        <f t="shared" si="0"/>
        <v>FT-TRAETH</v>
      </c>
      <c r="M10" s="667" t="str">
        <f>"TRA "&amp;Commodities!C10</f>
        <v>TRA BioEthanol (TRA)</v>
      </c>
      <c r="N10" s="666" t="s">
        <v>88</v>
      </c>
      <c r="O10" s="666" t="s">
        <v>875</v>
      </c>
    </row>
    <row r="11" spans="2:18" s="664" customFormat="1" ht="12.75">
      <c r="B11" s="617" t="str">
        <f>"FT-"&amp;D11</f>
        <v>FT-TRABDL</v>
      </c>
      <c r="C11" s="620" t="s">
        <v>1120</v>
      </c>
      <c r="D11" s="617" t="str">
        <f>Commodities!B11</f>
        <v>TRABDL</v>
      </c>
      <c r="E11" s="664">
        <v>1</v>
      </c>
      <c r="F11" s="664">
        <v>50</v>
      </c>
      <c r="G11" s="664">
        <v>0.01</v>
      </c>
      <c r="J11" s="617"/>
      <c r="L11" s="666" t="str">
        <f t="shared" si="0"/>
        <v>FT-TRABDL</v>
      </c>
      <c r="M11" s="667" t="str">
        <f>"TRA "&amp;Commodities!C11</f>
        <v>TRA BioDiesel (TRA)</v>
      </c>
      <c r="N11" s="666" t="s">
        <v>88</v>
      </c>
      <c r="O11" s="666" t="s">
        <v>875</v>
      </c>
    </row>
    <row r="12" spans="2:18" s="664" customFormat="1" ht="12.75">
      <c r="B12" s="617" t="str">
        <f>"FT-"&amp;D12</f>
        <v>FT-TRACNG</v>
      </c>
      <c r="C12" s="620" t="s">
        <v>1117</v>
      </c>
      <c r="D12" s="617" t="str">
        <f>Commodities!B12</f>
        <v>TRACNG</v>
      </c>
      <c r="E12" s="664">
        <v>1</v>
      </c>
      <c r="F12" s="664">
        <v>50</v>
      </c>
      <c r="G12" s="664">
        <v>0.01</v>
      </c>
      <c r="J12" s="617"/>
      <c r="L12" s="666" t="str">
        <f t="shared" si="0"/>
        <v>FT-TRACNG</v>
      </c>
      <c r="M12" s="667" t="str">
        <f>"TRA "&amp;Commodities!C12</f>
        <v>TRA CNG (TRA)</v>
      </c>
      <c r="N12" s="666" t="s">
        <v>88</v>
      </c>
      <c r="O12" s="666" t="s">
        <v>875</v>
      </c>
    </row>
    <row r="13" spans="2:18" s="664" customFormat="1" ht="12.75">
      <c r="B13" s="617" t="str">
        <f>"FT-"&amp;D13</f>
        <v>FT-TRABNG</v>
      </c>
      <c r="C13" s="620" t="s">
        <v>1118</v>
      </c>
      <c r="D13" s="617" t="str">
        <f>Commodities!B13</f>
        <v>TRABNG</v>
      </c>
      <c r="E13" s="664">
        <v>1</v>
      </c>
      <c r="F13" s="664">
        <v>50</v>
      </c>
      <c r="G13" s="664">
        <v>0.01</v>
      </c>
      <c r="J13" s="617"/>
      <c r="L13" s="666" t="str">
        <f t="shared" si="0"/>
        <v>FT-TRABNG</v>
      </c>
      <c r="M13" s="667" t="str">
        <f>"TRA "&amp;Commodities!C13</f>
        <v>TRA BioCNG (TRA)</v>
      </c>
      <c r="N13" s="666" t="s">
        <v>88</v>
      </c>
      <c r="O13" s="666" t="s">
        <v>875</v>
      </c>
    </row>
    <row r="14" spans="2:18" s="664" customFormat="1" ht="12.75">
      <c r="B14" s="617" t="str">
        <f>"FT-TRA"&amp;LEFT(C14,3)</f>
        <v>FT-TRAELC</v>
      </c>
      <c r="C14" s="664" t="str">
        <f>Primary!D34</f>
        <v>ELCC</v>
      </c>
      <c r="D14" s="664" t="str">
        <f>Commodities!B14</f>
        <v>TRAELC</v>
      </c>
      <c r="E14" s="665">
        <v>1</v>
      </c>
      <c r="F14" s="664">
        <v>50</v>
      </c>
      <c r="G14" s="664">
        <v>0.01</v>
      </c>
      <c r="L14" s="666" t="str">
        <f t="shared" si="0"/>
        <v>FT-TRAELC</v>
      </c>
      <c r="M14" s="667" t="str">
        <f>"TRA "&amp;Commodities!C14</f>
        <v>TRA Electricity (TRA)</v>
      </c>
      <c r="N14" s="666" t="s">
        <v>88</v>
      </c>
      <c r="O14" s="666" t="s">
        <v>875</v>
      </c>
      <c r="P14" s="666" t="s">
        <v>90</v>
      </c>
    </row>
    <row r="15" spans="2:18" s="664" customFormat="1" ht="12.75">
      <c r="B15" s="617" t="str">
        <f>"FT-TRA"&amp;RIGHT(C15,3)</f>
        <v>FT-TRALNG</v>
      </c>
      <c r="C15" s="620" t="str">
        <f>Primary!D31</f>
        <v>GASLNG</v>
      </c>
      <c r="D15" s="617" t="str">
        <f>Commodities!B15</f>
        <v>TRALNG</v>
      </c>
      <c r="E15" s="664">
        <v>1</v>
      </c>
      <c r="F15" s="664">
        <v>50</v>
      </c>
      <c r="G15" s="664">
        <v>0.01</v>
      </c>
      <c r="J15" s="617"/>
      <c r="L15" s="666" t="str">
        <f t="shared" si="0"/>
        <v>FT-TRALNG</v>
      </c>
      <c r="M15" s="667" t="str">
        <f>"TRA "&amp;Commodities!C15</f>
        <v>TRA LNG (TRA)</v>
      </c>
      <c r="N15" s="666" t="s">
        <v>88</v>
      </c>
      <c r="O15" s="666" t="s">
        <v>875</v>
      </c>
    </row>
    <row r="16" spans="2:18" s="664" customFormat="1" ht="12.75">
      <c r="B16" s="617" t="str">
        <f>"FT-TRA"&amp;C16</f>
        <v>FT-TRAH2</v>
      </c>
      <c r="C16" s="620" t="str">
        <f>Primary!D32</f>
        <v>H2</v>
      </c>
      <c r="D16" s="617" t="str">
        <f>Commodities!B16</f>
        <v>TRAHYD</v>
      </c>
      <c r="E16" s="664">
        <v>1</v>
      </c>
      <c r="F16" s="664">
        <v>50</v>
      </c>
      <c r="G16" s="664">
        <v>0.01</v>
      </c>
      <c r="J16" s="617"/>
      <c r="L16" s="666" t="str">
        <f t="shared" si="0"/>
        <v>FT-TRAH2</v>
      </c>
      <c r="M16" s="667" t="str">
        <f>"TRA "&amp;Commodities!C16</f>
        <v>TRA Hydrogen (TRA)</v>
      </c>
      <c r="N16" s="666" t="s">
        <v>88</v>
      </c>
      <c r="O16" s="666" t="s">
        <v>875</v>
      </c>
    </row>
    <row r="17" spans="1:18" s="664" customFormat="1" ht="12.75">
      <c r="B17" s="649" t="str">
        <f>"FT-TRA"&amp;RIGHT(C17,3)</f>
        <v>FT-TRAKER</v>
      </c>
      <c r="C17" s="650" t="str">
        <f>Primary!D33</f>
        <v>OILKER</v>
      </c>
      <c r="D17" s="649" t="str">
        <f>Commodities!B17</f>
        <v>TRAKER</v>
      </c>
      <c r="E17" s="668">
        <v>1</v>
      </c>
      <c r="F17" s="668">
        <v>50</v>
      </c>
      <c r="G17" s="668">
        <v>0.01</v>
      </c>
      <c r="H17" s="668"/>
      <c r="J17" s="649"/>
      <c r="K17" s="668"/>
      <c r="L17" s="669" t="str">
        <f t="shared" si="0"/>
        <v>FT-TRAKER</v>
      </c>
      <c r="M17" s="767" t="str">
        <f>"TRA "&amp;Commodities!C17</f>
        <v>TRA Kerosene (TRA)</v>
      </c>
      <c r="N17" s="669" t="s">
        <v>88</v>
      </c>
      <c r="O17" s="669" t="s">
        <v>875</v>
      </c>
      <c r="P17" s="668"/>
      <c r="Q17" s="668"/>
      <c r="R17" s="668"/>
    </row>
    <row r="18" spans="1:18" s="664" customFormat="1" ht="12.75">
      <c r="A18" s="620"/>
    </row>
    <row r="19" spans="1:18" s="664" customFormat="1" ht="12.75"/>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115" zoomScaleNormal="115" workbookViewId="0">
      <selection activeCell="B44" sqref="B44"/>
    </sheetView>
  </sheetViews>
  <sheetFormatPr defaultRowHeight="15"/>
  <cols>
    <col min="1" max="1" width="16.28515625" customWidth="1"/>
    <col min="2" max="2" width="12" bestFit="1" customWidth="1"/>
    <col min="3" max="3" width="51.85546875" bestFit="1" customWidth="1"/>
    <col min="4" max="5" width="8.85546875" customWidth="1"/>
    <col min="6" max="6" width="10.7109375" customWidth="1"/>
    <col min="7" max="7" width="11" customWidth="1"/>
    <col min="8" max="8" width="10.42578125" customWidth="1"/>
    <col min="11" max="11" width="26" bestFit="1" customWidth="1"/>
    <col min="12" max="12" width="60.285156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806" t="s">
        <v>593</v>
      </c>
      <c r="L4" s="806"/>
    </row>
    <row r="5" spans="1:13" ht="45.75" thickBot="1">
      <c r="A5" s="473" t="s">
        <v>469</v>
      </c>
      <c r="B5" s="473" t="s">
        <v>470</v>
      </c>
      <c r="C5" s="473" t="s">
        <v>471</v>
      </c>
      <c r="D5" s="473" t="s">
        <v>64</v>
      </c>
      <c r="E5" s="473" t="s">
        <v>472</v>
      </c>
      <c r="F5" s="473" t="s">
        <v>473</v>
      </c>
      <c r="G5" s="473" t="s">
        <v>474</v>
      </c>
      <c r="H5" s="473" t="s">
        <v>475</v>
      </c>
      <c r="K5" s="41" t="s">
        <v>490</v>
      </c>
      <c r="L5" s="27" t="s">
        <v>108</v>
      </c>
    </row>
    <row r="6" spans="1:13">
      <c r="A6" s="56" t="s">
        <v>85</v>
      </c>
      <c r="B6" s="768" t="s">
        <v>480</v>
      </c>
      <c r="C6" s="768" t="s">
        <v>1020</v>
      </c>
      <c r="D6" s="56" t="s">
        <v>88</v>
      </c>
      <c r="E6" s="56"/>
      <c r="F6" s="56"/>
      <c r="G6" s="56"/>
      <c r="H6" s="56"/>
      <c r="K6" s="427" t="s">
        <v>21</v>
      </c>
      <c r="L6" s="519"/>
    </row>
    <row r="7" spans="1:13" s="24" customFormat="1">
      <c r="A7" s="56"/>
      <c r="B7" s="768" t="s">
        <v>479</v>
      </c>
      <c r="C7" s="768" t="s">
        <v>1021</v>
      </c>
      <c r="D7" s="56" t="s">
        <v>88</v>
      </c>
      <c r="E7" s="56"/>
      <c r="F7" s="56"/>
      <c r="G7" s="56"/>
      <c r="H7" s="56"/>
      <c r="K7" s="770" t="s">
        <v>666</v>
      </c>
      <c r="L7" s="770"/>
      <c r="M7"/>
    </row>
    <row r="8" spans="1:13" s="24" customFormat="1">
      <c r="A8"/>
      <c r="B8" s="768" t="s">
        <v>83</v>
      </c>
      <c r="C8" s="768" t="s">
        <v>1022</v>
      </c>
      <c r="D8" s="56" t="s">
        <v>88</v>
      </c>
      <c r="E8" s="56"/>
      <c r="F8" s="56"/>
      <c r="G8" s="56"/>
      <c r="H8" s="56"/>
      <c r="K8" s="771" t="s">
        <v>1040</v>
      </c>
      <c r="L8" s="771" t="s">
        <v>1041</v>
      </c>
      <c r="M8"/>
    </row>
    <row r="9" spans="1:13" s="93" customFormat="1">
      <c r="A9" s="56"/>
      <c r="B9" s="768" t="s">
        <v>86</v>
      </c>
      <c r="C9" s="768" t="s">
        <v>1023</v>
      </c>
      <c r="D9" s="56" t="s">
        <v>88</v>
      </c>
      <c r="E9" s="56"/>
      <c r="F9" s="56"/>
      <c r="G9" s="56"/>
      <c r="H9" s="56"/>
      <c r="K9" s="771" t="s">
        <v>1042</v>
      </c>
      <c r="L9" s="771" t="s">
        <v>1043</v>
      </c>
    </row>
    <row r="10" spans="1:13">
      <c r="A10" s="56"/>
      <c r="B10" s="768" t="s">
        <v>215</v>
      </c>
      <c r="C10" s="768" t="s">
        <v>1024</v>
      </c>
      <c r="D10" s="56" t="s">
        <v>88</v>
      </c>
      <c r="E10" s="56"/>
      <c r="F10" s="56"/>
      <c r="G10" s="56"/>
      <c r="H10" s="56"/>
      <c r="K10" s="770" t="s">
        <v>538</v>
      </c>
      <c r="L10" s="770"/>
    </row>
    <row r="11" spans="1:13" s="24" customFormat="1">
      <c r="A11" s="56"/>
      <c r="B11" s="768" t="s">
        <v>216</v>
      </c>
      <c r="C11" s="768" t="s">
        <v>1025</v>
      </c>
      <c r="D11" s="56" t="s">
        <v>88</v>
      </c>
      <c r="E11" s="56"/>
      <c r="F11" s="56"/>
      <c r="G11" s="56"/>
      <c r="H11" s="56"/>
      <c r="K11" s="771" t="s">
        <v>1044</v>
      </c>
      <c r="L11" s="771" t="s">
        <v>1045</v>
      </c>
    </row>
    <row r="12" spans="1:13" s="42" customFormat="1">
      <c r="A12" s="56"/>
      <c r="B12" s="768" t="s">
        <v>476</v>
      </c>
      <c r="C12" s="768" t="s">
        <v>1026</v>
      </c>
      <c r="D12" s="56" t="s">
        <v>88</v>
      </c>
      <c r="E12" s="56"/>
      <c r="F12" s="56"/>
      <c r="G12" s="56"/>
      <c r="H12" s="56"/>
      <c r="K12" s="770" t="s">
        <v>322</v>
      </c>
      <c r="L12" s="770"/>
    </row>
    <row r="13" spans="1:13" s="93" customFormat="1">
      <c r="A13" s="56"/>
      <c r="B13" s="768" t="s">
        <v>478</v>
      </c>
      <c r="C13" s="768" t="s">
        <v>1027</v>
      </c>
      <c r="D13" s="56" t="s">
        <v>88</v>
      </c>
      <c r="E13" s="56"/>
      <c r="F13" s="56"/>
      <c r="G13" s="56"/>
      <c r="H13" s="56"/>
      <c r="K13" s="771" t="s">
        <v>1046</v>
      </c>
      <c r="L13" s="771" t="s">
        <v>1047</v>
      </c>
    </row>
    <row r="14" spans="1:13" s="42" customFormat="1">
      <c r="A14" s="637"/>
      <c r="B14" s="768" t="s">
        <v>87</v>
      </c>
      <c r="C14" s="768" t="s">
        <v>1028</v>
      </c>
      <c r="D14" s="637" t="s">
        <v>88</v>
      </c>
      <c r="E14" s="56"/>
      <c r="F14" s="56" t="s">
        <v>90</v>
      </c>
      <c r="G14" s="637"/>
      <c r="H14" s="637" t="s">
        <v>89</v>
      </c>
      <c r="K14" s="771" t="s">
        <v>1048</v>
      </c>
      <c r="L14" s="771" t="s">
        <v>1049</v>
      </c>
    </row>
    <row r="15" spans="1:13" s="42" customFormat="1">
      <c r="B15" s="768" t="s">
        <v>860</v>
      </c>
      <c r="C15" s="768" t="s">
        <v>1029</v>
      </c>
      <c r="D15" s="637" t="s">
        <v>88</v>
      </c>
      <c r="E15" s="56"/>
      <c r="F15" s="56"/>
      <c r="K15" s="771" t="s">
        <v>1050</v>
      </c>
      <c r="L15" s="771" t="s">
        <v>1051</v>
      </c>
    </row>
    <row r="16" spans="1:13" s="24" customFormat="1">
      <c r="B16" s="768" t="s">
        <v>1030</v>
      </c>
      <c r="C16" s="768" t="s">
        <v>1031</v>
      </c>
      <c r="D16" s="637" t="s">
        <v>88</v>
      </c>
      <c r="E16" s="56"/>
      <c r="F16" s="56"/>
      <c r="K16" s="771" t="s">
        <v>1052</v>
      </c>
      <c r="L16" s="771" t="s">
        <v>1053</v>
      </c>
    </row>
    <row r="17" spans="1:12" s="24" customFormat="1">
      <c r="A17" s="716"/>
      <c r="B17" s="768" t="s">
        <v>94</v>
      </c>
      <c r="C17" s="768" t="s">
        <v>1032</v>
      </c>
      <c r="D17" s="716" t="s">
        <v>88</v>
      </c>
      <c r="E17" s="716"/>
      <c r="F17" s="716"/>
      <c r="G17" s="716"/>
      <c r="H17" s="716"/>
      <c r="K17" s="771" t="s">
        <v>1054</v>
      </c>
      <c r="L17" s="771" t="s">
        <v>1055</v>
      </c>
    </row>
    <row r="18" spans="1:12" s="24" customFormat="1">
      <c r="A18" s="716"/>
      <c r="B18" s="768" t="s">
        <v>1033</v>
      </c>
      <c r="C18" s="768" t="s">
        <v>1034</v>
      </c>
      <c r="D18" s="747" t="s">
        <v>88</v>
      </c>
      <c r="E18" s="716"/>
      <c r="F18" s="716"/>
      <c r="G18" s="716"/>
      <c r="H18" s="716"/>
      <c r="I18" s="56"/>
      <c r="K18" s="771" t="s">
        <v>1056</v>
      </c>
      <c r="L18" s="771" t="s">
        <v>1057</v>
      </c>
    </row>
    <row r="19" spans="1:12" s="93" customFormat="1">
      <c r="B19" s="768" t="s">
        <v>1035</v>
      </c>
      <c r="C19" s="768" t="s">
        <v>1036</v>
      </c>
      <c r="D19" s="747" t="s">
        <v>88</v>
      </c>
      <c r="I19" s="56"/>
      <c r="K19" s="771" t="s">
        <v>1058</v>
      </c>
      <c r="L19" s="771" t="s">
        <v>1059</v>
      </c>
    </row>
    <row r="20" spans="1:12" s="93" customFormat="1">
      <c r="A20" s="1"/>
      <c r="B20" s="768" t="s">
        <v>1002</v>
      </c>
      <c r="C20" s="768" t="s">
        <v>1037</v>
      </c>
      <c r="D20" s="1" t="s">
        <v>88</v>
      </c>
      <c r="E20" s="1"/>
      <c r="F20" s="1"/>
      <c r="G20" s="1"/>
      <c r="H20" s="1"/>
      <c r="I20" s="56"/>
      <c r="K20" s="771" t="s">
        <v>1060</v>
      </c>
      <c r="L20" s="771" t="s">
        <v>1061</v>
      </c>
    </row>
    <row r="21" spans="1:12" s="93" customFormat="1">
      <c r="A21" s="458"/>
      <c r="B21" s="769" t="s">
        <v>1038</v>
      </c>
      <c r="C21" s="769" t="s">
        <v>1039</v>
      </c>
      <c r="D21" s="458" t="s">
        <v>88</v>
      </c>
      <c r="E21" s="458"/>
      <c r="F21" s="458"/>
      <c r="G21" s="458"/>
      <c r="H21" s="458"/>
      <c r="I21" s="56"/>
      <c r="K21" s="771" t="s">
        <v>1062</v>
      </c>
      <c r="L21" s="771" t="s">
        <v>1063</v>
      </c>
    </row>
    <row r="22" spans="1:12">
      <c r="A22" s="56" t="s">
        <v>91</v>
      </c>
      <c r="B22" s="56" t="s">
        <v>968</v>
      </c>
      <c r="C22" s="26" t="s">
        <v>973</v>
      </c>
      <c r="D22" s="394" t="s">
        <v>872</v>
      </c>
      <c r="E22" s="56"/>
      <c r="F22" s="56"/>
      <c r="G22" s="56"/>
      <c r="H22" s="56"/>
      <c r="K22" s="770" t="s">
        <v>590</v>
      </c>
      <c r="L22" s="770"/>
    </row>
    <row r="23" spans="1:12" s="42" customFormat="1">
      <c r="A23" s="56"/>
      <c r="B23" s="56" t="s">
        <v>969</v>
      </c>
      <c r="C23" s="26" t="s">
        <v>971</v>
      </c>
      <c r="D23" s="394" t="s">
        <v>872</v>
      </c>
      <c r="E23" s="56"/>
      <c r="F23" s="56"/>
      <c r="G23" s="56"/>
      <c r="H23" s="56"/>
      <c r="K23" s="771" t="s">
        <v>1064</v>
      </c>
      <c r="L23" s="771" t="s">
        <v>1065</v>
      </c>
    </row>
    <row r="24" spans="1:12">
      <c r="A24" s="56"/>
      <c r="B24" s="56" t="s">
        <v>970</v>
      </c>
      <c r="C24" s="26" t="s">
        <v>972</v>
      </c>
      <c r="D24" s="459" t="s">
        <v>872</v>
      </c>
      <c r="E24" s="56"/>
      <c r="F24" s="56"/>
      <c r="G24" s="56"/>
      <c r="H24" s="56"/>
      <c r="K24" s="771" t="s">
        <v>1066</v>
      </c>
      <c r="L24" s="771" t="s">
        <v>1067</v>
      </c>
    </row>
    <row r="25" spans="1:12" s="24" customFormat="1">
      <c r="A25" s="394"/>
      <c r="B25" s="56" t="s">
        <v>712</v>
      </c>
      <c r="C25" s="56" t="s">
        <v>852</v>
      </c>
      <c r="D25" s="459" t="s">
        <v>985</v>
      </c>
      <c r="E25" s="56"/>
      <c r="F25" s="56"/>
      <c r="G25" s="56"/>
      <c r="H25" s="56"/>
      <c r="K25" s="771" t="s">
        <v>1068</v>
      </c>
      <c r="L25" s="771" t="s">
        <v>1069</v>
      </c>
    </row>
    <row r="26" spans="1:12" s="24" customFormat="1">
      <c r="A26" s="394"/>
      <c r="B26" s="56" t="s">
        <v>167</v>
      </c>
      <c r="C26" s="56" t="s">
        <v>851</v>
      </c>
      <c r="D26" s="716" t="s">
        <v>985</v>
      </c>
      <c r="E26" s="56"/>
      <c r="F26" s="56"/>
      <c r="G26" s="56"/>
      <c r="H26" s="56"/>
      <c r="K26" s="770" t="s">
        <v>591</v>
      </c>
      <c r="L26" s="770"/>
    </row>
    <row r="27" spans="1:12" s="24" customFormat="1">
      <c r="A27" s="394"/>
      <c r="B27" s="56" t="s">
        <v>747</v>
      </c>
      <c r="C27" s="56" t="s">
        <v>850</v>
      </c>
      <c r="D27" s="394" t="s">
        <v>88</v>
      </c>
      <c r="E27" s="56"/>
      <c r="F27" s="56"/>
      <c r="G27" s="56"/>
      <c r="H27" s="56"/>
      <c r="K27" s="771" t="s">
        <v>1070</v>
      </c>
      <c r="L27" s="771" t="s">
        <v>1071</v>
      </c>
    </row>
    <row r="28" spans="1:12" s="24" customFormat="1">
      <c r="A28" s="459"/>
      <c r="B28" s="459" t="s">
        <v>213</v>
      </c>
      <c r="C28" s="459" t="s">
        <v>849</v>
      </c>
      <c r="D28" s="459" t="s">
        <v>88</v>
      </c>
      <c r="E28" s="56"/>
      <c r="F28" s="56"/>
      <c r="G28" s="56"/>
      <c r="H28" s="56"/>
      <c r="K28" s="770" t="s">
        <v>24</v>
      </c>
      <c r="L28" s="770"/>
    </row>
    <row r="29" spans="1:12" s="24" customFormat="1">
      <c r="A29" s="394"/>
      <c r="B29" s="394" t="s">
        <v>214</v>
      </c>
      <c r="C29" s="394" t="s">
        <v>848</v>
      </c>
      <c r="D29" s="394" t="s">
        <v>88</v>
      </c>
      <c r="E29" s="56"/>
      <c r="F29" s="56"/>
      <c r="G29" s="56"/>
      <c r="H29" s="56"/>
      <c r="K29" s="771" t="s">
        <v>1072</v>
      </c>
      <c r="L29" s="771" t="s">
        <v>1073</v>
      </c>
    </row>
    <row r="30" spans="1:12" s="24" customFormat="1">
      <c r="A30" s="394"/>
      <c r="B30" s="394" t="s">
        <v>755</v>
      </c>
      <c r="C30" s="394" t="s">
        <v>847</v>
      </c>
      <c r="D30" s="394" t="s">
        <v>88</v>
      </c>
      <c r="E30" s="56"/>
      <c r="F30" s="56"/>
      <c r="G30" s="56"/>
      <c r="H30" s="56"/>
      <c r="J30" s="442"/>
      <c r="K30" s="771" t="s">
        <v>1074</v>
      </c>
      <c r="L30" s="771" t="s">
        <v>1075</v>
      </c>
    </row>
    <row r="31" spans="1:12" s="24" customFormat="1" ht="15.75" thickBot="1">
      <c r="A31" s="393"/>
      <c r="B31" s="393" t="s">
        <v>756</v>
      </c>
      <c r="C31" s="393" t="s">
        <v>846</v>
      </c>
      <c r="D31" s="393" t="s">
        <v>88</v>
      </c>
      <c r="E31" s="428"/>
      <c r="F31" s="428"/>
      <c r="G31" s="428"/>
      <c r="H31" s="428"/>
      <c r="J31" s="442"/>
      <c r="K31" s="771" t="s">
        <v>1076</v>
      </c>
      <c r="L31" s="771" t="s">
        <v>1077</v>
      </c>
    </row>
    <row r="32" spans="1:12" s="24" customFormat="1" ht="15.75" thickBot="1">
      <c r="A32" s="394" t="s">
        <v>102</v>
      </c>
      <c r="B32" s="29" t="s">
        <v>97</v>
      </c>
      <c r="C32" s="56" t="s">
        <v>229</v>
      </c>
      <c r="D32" s="394" t="s">
        <v>106</v>
      </c>
      <c r="E32" s="56"/>
      <c r="F32" s="56"/>
      <c r="G32" s="56"/>
      <c r="H32" s="56"/>
      <c r="J32" s="442"/>
      <c r="K32" s="772" t="s">
        <v>670</v>
      </c>
      <c r="L32" s="772"/>
    </row>
    <row r="33" spans="1:14" s="24" customFormat="1">
      <c r="A33" s="394"/>
      <c r="B33" s="29" t="s">
        <v>98</v>
      </c>
      <c r="C33" s="56" t="s">
        <v>103</v>
      </c>
      <c r="D33" s="394" t="s">
        <v>106</v>
      </c>
      <c r="E33" s="56"/>
      <c r="F33" s="56"/>
      <c r="G33" s="56"/>
      <c r="H33" s="56"/>
      <c r="J33" s="442"/>
      <c r="K33" s="770" t="s">
        <v>713</v>
      </c>
      <c r="L33" s="770"/>
    </row>
    <row r="34" spans="1:14" s="24" customFormat="1">
      <c r="A34" s="394"/>
      <c r="B34" s="29" t="s">
        <v>99</v>
      </c>
      <c r="C34" s="56" t="s">
        <v>104</v>
      </c>
      <c r="D34" s="394" t="s">
        <v>106</v>
      </c>
      <c r="E34" s="56"/>
      <c r="F34" s="56"/>
      <c r="G34" s="56"/>
      <c r="H34" s="56"/>
      <c r="J34" s="442"/>
      <c r="K34" s="771" t="s">
        <v>1078</v>
      </c>
      <c r="L34" s="771" t="s">
        <v>1079</v>
      </c>
    </row>
    <row r="35" spans="1:14">
      <c r="A35" s="394"/>
      <c r="B35" s="29" t="s">
        <v>100</v>
      </c>
      <c r="C35" s="56" t="s">
        <v>105</v>
      </c>
      <c r="D35" s="394" t="s">
        <v>106</v>
      </c>
      <c r="E35" s="56"/>
      <c r="F35" s="56"/>
      <c r="G35" s="56"/>
      <c r="H35" s="56"/>
      <c r="J35" s="442"/>
      <c r="K35" s="771" t="s">
        <v>1080</v>
      </c>
      <c r="L35" s="771" t="s">
        <v>1081</v>
      </c>
    </row>
    <row r="36" spans="1:14" s="24" customFormat="1" ht="15.75" thickBot="1">
      <c r="A36" s="394"/>
      <c r="B36" s="56" t="s">
        <v>110</v>
      </c>
      <c r="C36" s="56" t="s">
        <v>218</v>
      </c>
      <c r="D36" s="394" t="s">
        <v>106</v>
      </c>
      <c r="E36" s="56"/>
      <c r="F36" s="56"/>
      <c r="G36" s="56"/>
      <c r="H36" s="56"/>
      <c r="J36" s="442"/>
      <c r="K36" s="771" t="s">
        <v>1082</v>
      </c>
      <c r="L36" s="771" t="s">
        <v>1083</v>
      </c>
    </row>
    <row r="37" spans="1:14" s="24" customFormat="1" ht="15.75" thickBot="1">
      <c r="A37" s="429"/>
      <c r="B37" s="430" t="s">
        <v>111</v>
      </c>
      <c r="C37" s="430" t="s">
        <v>219</v>
      </c>
      <c r="D37" s="429" t="s">
        <v>106</v>
      </c>
      <c r="E37" s="430"/>
      <c r="F37" s="430"/>
      <c r="G37" s="430"/>
      <c r="H37" s="430"/>
      <c r="J37" s="442"/>
      <c r="K37" s="772" t="s">
        <v>1084</v>
      </c>
      <c r="L37" s="772"/>
    </row>
    <row r="38" spans="1:14">
      <c r="A38" s="1"/>
      <c r="B38" s="637"/>
      <c r="C38" s="637"/>
      <c r="D38" s="1"/>
      <c r="E38" s="637"/>
      <c r="F38" s="637"/>
      <c r="G38" s="637"/>
      <c r="H38" s="637"/>
      <c r="K38" s="771" t="s">
        <v>1085</v>
      </c>
      <c r="L38" s="771" t="s">
        <v>1086</v>
      </c>
    </row>
    <row r="39" spans="1:14">
      <c r="A39" s="573" t="s">
        <v>749</v>
      </c>
      <c r="G39" s="56"/>
      <c r="H39" s="56"/>
      <c r="K39" s="771" t="s">
        <v>1087</v>
      </c>
      <c r="L39" s="771" t="s">
        <v>1088</v>
      </c>
    </row>
    <row r="40" spans="1:14" ht="15.75" thickBot="1">
      <c r="A40" s="573" t="s">
        <v>750</v>
      </c>
      <c r="G40" s="459"/>
      <c r="H40" s="459"/>
      <c r="K40" s="771" t="s">
        <v>1089</v>
      </c>
      <c r="L40" s="771" t="s">
        <v>1090</v>
      </c>
    </row>
    <row r="41" spans="1:14" ht="15.75" thickBot="1">
      <c r="A41" s="573" t="s">
        <v>748</v>
      </c>
      <c r="G41" s="459"/>
      <c r="H41" s="459"/>
      <c r="K41" s="772" t="s">
        <v>95</v>
      </c>
      <c r="L41" s="772"/>
    </row>
    <row r="42" spans="1:14">
      <c r="A42" s="573" t="s">
        <v>751</v>
      </c>
      <c r="G42" s="459"/>
      <c r="H42" s="459"/>
      <c r="K42" s="771" t="s">
        <v>1091</v>
      </c>
      <c r="L42" s="771" t="s">
        <v>1092</v>
      </c>
    </row>
    <row r="43" spans="1:14" ht="15.75" thickBot="1">
      <c r="K43" s="773" t="s">
        <v>1093</v>
      </c>
      <c r="L43" s="773" t="s">
        <v>1094</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2:AP54"/>
  <sheetViews>
    <sheetView zoomScale="70" zoomScaleNormal="70" workbookViewId="0">
      <selection activeCell="M24" sqref="M24"/>
    </sheetView>
  </sheetViews>
  <sheetFormatPr defaultRowHeight="15"/>
  <cols>
    <col min="1" max="1" width="14.28515625" style="716" customWidth="1"/>
    <col min="2" max="2" width="18.140625" customWidth="1"/>
    <col min="3" max="3" width="12" customWidth="1"/>
    <col min="5" max="5" width="11.28515625" customWidth="1"/>
    <col min="7" max="7" width="12" bestFit="1" customWidth="1"/>
    <col min="8" max="11" width="15.85546875" customWidth="1"/>
    <col min="12" max="12" width="11.85546875" style="716" customWidth="1"/>
    <col min="14" max="15" width="12.85546875" customWidth="1"/>
    <col min="16" max="16" width="33.7109375" customWidth="1"/>
  </cols>
  <sheetData>
    <row r="2" spans="3:21">
      <c r="L2"/>
      <c r="M2" s="716"/>
    </row>
    <row r="3" spans="3:21">
      <c r="C3" s="56"/>
      <c r="D3" s="56"/>
      <c r="E3" s="56"/>
      <c r="F3" s="730" t="s">
        <v>76</v>
      </c>
      <c r="G3" s="56"/>
      <c r="I3" s="56"/>
      <c r="J3" s="56"/>
      <c r="K3" s="56"/>
      <c r="L3" s="56"/>
      <c r="M3" s="56"/>
      <c r="O3" s="730" t="s">
        <v>60</v>
      </c>
      <c r="P3" s="40"/>
      <c r="Q3" s="40"/>
      <c r="R3" s="40"/>
      <c r="S3" s="40"/>
      <c r="T3" s="40"/>
    </row>
    <row r="4" spans="3:21" ht="15.75" thickBot="1">
      <c r="C4" s="41" t="s">
        <v>70</v>
      </c>
      <c r="D4" s="41" t="s">
        <v>77</v>
      </c>
      <c r="E4" s="41" t="s">
        <v>78</v>
      </c>
      <c r="F4" s="731" t="s">
        <v>65</v>
      </c>
      <c r="G4" s="731" t="s">
        <v>868</v>
      </c>
      <c r="H4" s="731" t="s">
        <v>1095</v>
      </c>
      <c r="I4" s="731" t="s">
        <v>1013</v>
      </c>
      <c r="J4" s="731" t="s">
        <v>1014</v>
      </c>
      <c r="K4" s="731" t="s">
        <v>1015</v>
      </c>
      <c r="L4" s="731" t="s">
        <v>1016</v>
      </c>
      <c r="M4" s="731" t="s">
        <v>1017</v>
      </c>
      <c r="N4" s="56"/>
      <c r="O4" s="41" t="s">
        <v>69</v>
      </c>
      <c r="P4" s="41" t="s">
        <v>70</v>
      </c>
      <c r="Q4" s="41" t="s">
        <v>71</v>
      </c>
      <c r="R4" s="41" t="s">
        <v>72</v>
      </c>
      <c r="S4" s="41" t="s">
        <v>73</v>
      </c>
      <c r="T4" s="41" t="s">
        <v>74</v>
      </c>
      <c r="U4" s="41" t="s">
        <v>75</v>
      </c>
    </row>
    <row r="5" spans="3:21">
      <c r="C5" s="56" t="str">
        <f>P5</f>
        <v>TRAGSL_BLD</v>
      </c>
      <c r="D5" s="56" t="str">
        <f>Commodities!B8</f>
        <v>TRAGSL</v>
      </c>
      <c r="E5" s="56"/>
      <c r="F5" s="56" t="s">
        <v>1018</v>
      </c>
      <c r="G5" s="56">
        <v>1</v>
      </c>
      <c r="H5" s="56">
        <v>5</v>
      </c>
      <c r="I5" s="732">
        <f>1-J51</f>
        <v>0.9548414346182118</v>
      </c>
      <c r="J5" s="732">
        <f>1-L51</f>
        <v>0.95</v>
      </c>
      <c r="K5" s="732">
        <f>1-V51</f>
        <v>0.9</v>
      </c>
      <c r="L5" s="732">
        <f>1-AF51</f>
        <v>0.9</v>
      </c>
      <c r="M5" s="732">
        <f>1-AP51</f>
        <v>0.9</v>
      </c>
      <c r="N5" s="56"/>
      <c r="O5" s="56" t="s">
        <v>867</v>
      </c>
      <c r="P5" s="56" t="s">
        <v>998</v>
      </c>
      <c r="Q5" s="56" t="s">
        <v>1009</v>
      </c>
      <c r="R5" s="716" t="s">
        <v>88</v>
      </c>
      <c r="S5" s="716" t="s">
        <v>875</v>
      </c>
      <c r="T5" s="56"/>
      <c r="U5" s="56"/>
    </row>
    <row r="6" spans="3:21">
      <c r="C6" s="56"/>
      <c r="D6" s="56" t="str">
        <f>Commodities!B10</f>
        <v>TRAETH</v>
      </c>
      <c r="E6" s="56"/>
      <c r="F6" s="56" t="s">
        <v>1018</v>
      </c>
      <c r="G6" s="56"/>
      <c r="H6" s="56">
        <v>5</v>
      </c>
      <c r="I6" s="766">
        <f>1-I5</f>
        <v>4.5158565381788196E-2</v>
      </c>
      <c r="J6" s="766">
        <f t="shared" ref="J6:M6" si="0">1-J5</f>
        <v>5.0000000000000044E-2</v>
      </c>
      <c r="K6" s="766">
        <f t="shared" si="0"/>
        <v>9.9999999999999978E-2</v>
      </c>
      <c r="L6" s="766">
        <f t="shared" si="0"/>
        <v>9.9999999999999978E-2</v>
      </c>
      <c r="M6" s="766">
        <f t="shared" si="0"/>
        <v>9.9999999999999978E-2</v>
      </c>
      <c r="N6" s="56"/>
      <c r="O6" s="56"/>
      <c r="P6" s="716" t="s">
        <v>999</v>
      </c>
      <c r="Q6" s="56" t="s">
        <v>1010</v>
      </c>
      <c r="R6" s="716" t="s">
        <v>88</v>
      </c>
      <c r="S6" s="716" t="s">
        <v>875</v>
      </c>
      <c r="T6" s="56"/>
      <c r="U6" s="56"/>
    </row>
    <row r="7" spans="3:21">
      <c r="C7" s="56"/>
      <c r="D7" s="56"/>
      <c r="E7" s="56" t="str">
        <f>Commodities!B18</f>
        <v>TRAGSE</v>
      </c>
      <c r="F7" s="428"/>
      <c r="G7" s="56"/>
      <c r="H7" s="56"/>
      <c r="I7" s="56"/>
      <c r="J7" s="56"/>
      <c r="K7" s="56"/>
      <c r="L7" s="56"/>
      <c r="M7" s="56"/>
      <c r="N7" s="56"/>
      <c r="O7" s="637"/>
      <c r="P7" s="637" t="s">
        <v>1000</v>
      </c>
      <c r="Q7" s="637" t="s">
        <v>1001</v>
      </c>
      <c r="R7" s="1" t="s">
        <v>88</v>
      </c>
      <c r="S7" s="1" t="s">
        <v>875</v>
      </c>
      <c r="T7" s="637"/>
      <c r="U7" s="637"/>
    </row>
    <row r="8" spans="3:21">
      <c r="C8" s="733" t="str">
        <f>P6</f>
        <v>TRADST_BLD</v>
      </c>
      <c r="D8" s="733" t="str">
        <f>Commodities!B9</f>
        <v>TRADST</v>
      </c>
      <c r="E8" s="733"/>
      <c r="F8" s="56" t="s">
        <v>1018</v>
      </c>
      <c r="G8" s="733">
        <v>1</v>
      </c>
      <c r="H8" s="733">
        <v>5</v>
      </c>
      <c r="I8" s="734">
        <f>1-J52</f>
        <v>0.95912212653292017</v>
      </c>
      <c r="J8" s="734">
        <f>1-L52</f>
        <v>0.94884746867213698</v>
      </c>
      <c r="K8" s="734">
        <f>1-V52</f>
        <v>0.9</v>
      </c>
      <c r="L8" s="734">
        <f>1-AG52</f>
        <v>0.9</v>
      </c>
      <c r="M8" s="734">
        <f>1-AP52</f>
        <v>0.9</v>
      </c>
      <c r="N8" s="56"/>
      <c r="O8" s="428"/>
      <c r="P8" s="428" t="s">
        <v>1011</v>
      </c>
      <c r="Q8" s="428" t="s">
        <v>1012</v>
      </c>
      <c r="R8" s="458" t="s">
        <v>88</v>
      </c>
      <c r="S8" s="458" t="s">
        <v>875</v>
      </c>
      <c r="T8" s="428"/>
      <c r="U8" s="428"/>
    </row>
    <row r="9" spans="3:21">
      <c r="C9" s="56"/>
      <c r="D9" s="56" t="str">
        <f>Commodities!B11</f>
        <v>TRABDL</v>
      </c>
      <c r="E9" s="56"/>
      <c r="F9" s="56" t="s">
        <v>1018</v>
      </c>
      <c r="G9" s="56"/>
      <c r="H9" s="56">
        <v>5</v>
      </c>
      <c r="I9" s="766">
        <f>1-I8</f>
        <v>4.0877873467079828E-2</v>
      </c>
      <c r="J9" s="766">
        <f t="shared" ref="J9" si="1">1-J8</f>
        <v>5.1152531327863016E-2</v>
      </c>
      <c r="K9" s="766">
        <f t="shared" ref="K9" si="2">1-K8</f>
        <v>9.9999999999999978E-2</v>
      </c>
      <c r="L9" s="766">
        <f t="shared" ref="L9" si="3">1-L8</f>
        <v>9.9999999999999978E-2</v>
      </c>
      <c r="M9" s="766">
        <f t="shared" ref="M9" si="4">1-M8</f>
        <v>9.9999999999999978E-2</v>
      </c>
      <c r="N9" s="56"/>
      <c r="O9" s="56"/>
      <c r="P9" s="56"/>
      <c r="Q9" s="56"/>
      <c r="R9" s="56"/>
      <c r="S9" s="56"/>
      <c r="T9" s="56"/>
      <c r="U9" s="56"/>
    </row>
    <row r="10" spans="3:21">
      <c r="C10" s="428"/>
      <c r="D10" s="428"/>
      <c r="E10" s="428" t="str">
        <f>Commodities!B19</f>
        <v>TRADSB</v>
      </c>
      <c r="F10" s="428"/>
      <c r="G10" s="428"/>
      <c r="H10" s="428"/>
      <c r="I10" s="428"/>
      <c r="J10" s="428"/>
      <c r="K10" s="428"/>
      <c r="L10" s="428"/>
      <c r="M10" s="428"/>
      <c r="N10" s="56"/>
      <c r="O10" s="56"/>
      <c r="P10" s="56"/>
      <c r="Q10" s="56"/>
      <c r="R10" s="56"/>
      <c r="S10" s="56"/>
      <c r="T10" s="56"/>
      <c r="U10" s="56"/>
    </row>
    <row r="11" spans="3:21">
      <c r="C11" s="733" t="str">
        <f>$P$7</f>
        <v>TRAE85_BLD</v>
      </c>
      <c r="D11" s="733" t="str">
        <f>Commodities!B8</f>
        <v>TRAGSL</v>
      </c>
      <c r="E11" s="733"/>
      <c r="F11" s="56" t="s">
        <v>1018</v>
      </c>
      <c r="G11" s="733">
        <v>1</v>
      </c>
      <c r="H11" s="733">
        <v>5</v>
      </c>
      <c r="I11" s="735">
        <v>0.15</v>
      </c>
      <c r="J11" s="735">
        <v>0.15</v>
      </c>
      <c r="K11" s="735">
        <v>0.15</v>
      </c>
      <c r="L11" s="735">
        <v>0.15</v>
      </c>
      <c r="M11" s="735">
        <v>0.15</v>
      </c>
      <c r="N11" s="56"/>
      <c r="O11" s="716"/>
      <c r="P11" s="716"/>
      <c r="Q11" s="716"/>
      <c r="R11" s="716"/>
      <c r="S11" s="716"/>
      <c r="T11" s="56"/>
      <c r="U11" s="56"/>
    </row>
    <row r="12" spans="3:21">
      <c r="C12" s="56"/>
      <c r="D12" s="56" t="str">
        <f>Commodities!B10</f>
        <v>TRAETH</v>
      </c>
      <c r="E12" s="56"/>
      <c r="F12" s="56" t="s">
        <v>1018</v>
      </c>
      <c r="G12" s="56"/>
      <c r="H12" s="56">
        <v>5</v>
      </c>
      <c r="I12" s="766">
        <f>1-I11</f>
        <v>0.85</v>
      </c>
      <c r="J12" s="766">
        <f t="shared" ref="J12" si="5">1-J11</f>
        <v>0.85</v>
      </c>
      <c r="K12" s="766">
        <f t="shared" ref="K12" si="6">1-K11</f>
        <v>0.85</v>
      </c>
      <c r="L12" s="766">
        <f t="shared" ref="L12" si="7">1-L11</f>
        <v>0.85</v>
      </c>
      <c r="M12" s="766">
        <f t="shared" ref="M12" si="8">1-M11</f>
        <v>0.85</v>
      </c>
      <c r="N12" s="56"/>
      <c r="O12" s="716"/>
      <c r="P12" s="716"/>
      <c r="Q12" s="716"/>
      <c r="R12" s="716"/>
      <c r="S12" s="716"/>
      <c r="T12" s="56"/>
      <c r="U12" s="56"/>
    </row>
    <row r="13" spans="3:21">
      <c r="C13" s="428"/>
      <c r="D13" s="428"/>
      <c r="E13" s="428" t="str">
        <f>Commodities!B20</f>
        <v>TRAE85</v>
      </c>
      <c r="F13" s="428"/>
      <c r="G13" s="428"/>
      <c r="H13" s="428"/>
      <c r="I13" s="428"/>
      <c r="J13" s="428"/>
      <c r="K13" s="428"/>
      <c r="L13" s="428"/>
      <c r="M13" s="428"/>
      <c r="N13" s="56"/>
      <c r="O13" s="716"/>
      <c r="P13" s="716"/>
      <c r="Q13" s="716"/>
      <c r="R13" s="716"/>
      <c r="S13" s="716"/>
      <c r="T13" s="56"/>
      <c r="U13" s="56"/>
    </row>
    <row r="14" spans="3:21">
      <c r="C14" s="733" t="str">
        <f>$P$8</f>
        <v>TRABCNG_BLD</v>
      </c>
      <c r="D14" s="733" t="str">
        <f>Commodities!B12</f>
        <v>TRACNG</v>
      </c>
      <c r="E14" s="733"/>
      <c r="F14" s="56" t="s">
        <v>1018</v>
      </c>
      <c r="G14" s="733">
        <v>1</v>
      </c>
      <c r="H14" s="733">
        <v>5</v>
      </c>
      <c r="I14" s="735">
        <v>0.5</v>
      </c>
      <c r="J14" s="735">
        <v>0.5</v>
      </c>
      <c r="K14" s="735">
        <v>0.5</v>
      </c>
      <c r="L14" s="735">
        <v>0.5</v>
      </c>
      <c r="M14" s="735">
        <v>0.5</v>
      </c>
      <c r="N14" s="56"/>
      <c r="O14" s="716"/>
      <c r="P14" s="716"/>
      <c r="Q14" s="716"/>
      <c r="R14" s="716"/>
      <c r="S14" s="716"/>
      <c r="T14" s="56"/>
      <c r="U14" s="56"/>
    </row>
    <row r="15" spans="3:21">
      <c r="C15" s="56"/>
      <c r="D15" s="56" t="str">
        <f>Commodities!B13</f>
        <v>TRABNG</v>
      </c>
      <c r="E15" s="56"/>
      <c r="F15" s="56" t="s">
        <v>1018</v>
      </c>
      <c r="G15" s="56"/>
      <c r="H15" s="56">
        <v>5</v>
      </c>
      <c r="I15" s="766">
        <f>1-I14</f>
        <v>0.5</v>
      </c>
      <c r="J15" s="766">
        <f t="shared" ref="J15" si="9">1-J14</f>
        <v>0.5</v>
      </c>
      <c r="K15" s="766">
        <f t="shared" ref="K15" si="10">1-K14</f>
        <v>0.5</v>
      </c>
      <c r="L15" s="766">
        <f t="shared" ref="L15" si="11">1-L14</f>
        <v>0.5</v>
      </c>
      <c r="M15" s="766">
        <f t="shared" ref="M15" si="12">1-M14</f>
        <v>0.5</v>
      </c>
      <c r="N15" s="716"/>
      <c r="O15" s="716"/>
      <c r="P15" s="716"/>
      <c r="Q15" s="716"/>
      <c r="R15" s="716"/>
      <c r="S15" s="716"/>
    </row>
    <row r="16" spans="3:21">
      <c r="C16" s="428"/>
      <c r="D16" s="428"/>
      <c r="E16" s="428" t="str">
        <f>Commodities!B21</f>
        <v>TRANGB</v>
      </c>
      <c r="F16" s="428"/>
      <c r="G16" s="428"/>
      <c r="H16" s="428"/>
      <c r="I16" s="428"/>
      <c r="J16" s="428"/>
      <c r="K16" s="428"/>
      <c r="L16" s="428"/>
      <c r="M16" s="428"/>
      <c r="N16" s="716"/>
      <c r="O16" s="716"/>
      <c r="P16" s="716"/>
      <c r="Q16" s="716"/>
      <c r="R16" s="716"/>
      <c r="S16" s="716"/>
    </row>
    <row r="17" spans="1:19">
      <c r="L17"/>
      <c r="N17" s="716"/>
      <c r="O17" s="716"/>
      <c r="P17" s="716"/>
      <c r="Q17" s="716"/>
      <c r="R17" s="716"/>
      <c r="S17" s="716"/>
    </row>
    <row r="18" spans="1:19">
      <c r="L18"/>
      <c r="M18" s="716"/>
      <c r="O18" s="716"/>
      <c r="P18" s="716"/>
      <c r="Q18" s="716"/>
      <c r="R18" s="716"/>
      <c r="S18" s="716"/>
    </row>
    <row r="19" spans="1:19">
      <c r="A19" s="736" t="s">
        <v>481</v>
      </c>
      <c r="B19" s="737"/>
      <c r="L19"/>
      <c r="M19" s="716"/>
      <c r="O19" s="716"/>
      <c r="P19" s="716"/>
      <c r="Q19" s="716"/>
      <c r="R19" s="716"/>
      <c r="S19" s="716"/>
    </row>
    <row r="20" spans="1:19">
      <c r="A20" s="738" t="s">
        <v>482</v>
      </c>
      <c r="B20" s="739" t="s">
        <v>483</v>
      </c>
      <c r="L20"/>
      <c r="M20" s="716"/>
      <c r="O20" s="716"/>
      <c r="P20" s="716"/>
      <c r="Q20" s="716"/>
      <c r="R20" s="716"/>
      <c r="S20" s="716"/>
    </row>
    <row r="21" spans="1:19">
      <c r="A21" s="740" t="s">
        <v>20</v>
      </c>
      <c r="B21" s="741">
        <v>1041376950</v>
      </c>
      <c r="L21"/>
      <c r="M21" s="716"/>
      <c r="O21" s="716"/>
      <c r="P21" s="716"/>
      <c r="Q21" s="716"/>
      <c r="R21" s="716"/>
      <c r="S21" s="716"/>
    </row>
    <row r="22" spans="1:19">
      <c r="A22" s="742" t="s">
        <v>484</v>
      </c>
      <c r="B22" s="741">
        <v>53868503</v>
      </c>
    </row>
    <row r="23" spans="1:19">
      <c r="A23" s="742" t="s">
        <v>19</v>
      </c>
      <c r="B23" s="743">
        <v>3392228806</v>
      </c>
    </row>
    <row r="24" spans="1:19">
      <c r="A24" s="742" t="s">
        <v>485</v>
      </c>
      <c r="B24" s="743">
        <v>162101602</v>
      </c>
    </row>
    <row r="25" spans="1:19">
      <c r="A25" s="744" t="s">
        <v>486</v>
      </c>
      <c r="B25" s="745"/>
    </row>
    <row r="26" spans="1:19">
      <c r="A26" s="745"/>
      <c r="B26" s="745"/>
    </row>
    <row r="27" spans="1:19">
      <c r="A27" s="745"/>
      <c r="B27" s="745"/>
    </row>
    <row r="28" spans="1:19">
      <c r="A28" s="736" t="s">
        <v>487</v>
      </c>
      <c r="B28" s="737"/>
    </row>
    <row r="29" spans="1:19">
      <c r="A29" s="738" t="s">
        <v>482</v>
      </c>
      <c r="B29" s="739" t="s">
        <v>487</v>
      </c>
    </row>
    <row r="30" spans="1:19">
      <c r="A30" s="740" t="s">
        <v>20</v>
      </c>
      <c r="B30" s="741">
        <v>35</v>
      </c>
    </row>
    <row r="31" spans="1:19">
      <c r="A31" s="742" t="s">
        <v>484</v>
      </c>
      <c r="B31" s="741">
        <v>32</v>
      </c>
    </row>
    <row r="32" spans="1:19">
      <c r="A32" s="742" t="s">
        <v>19</v>
      </c>
      <c r="B32" s="743">
        <v>37</v>
      </c>
    </row>
    <row r="33" spans="1:42">
      <c r="A33" s="742" t="s">
        <v>485</v>
      </c>
      <c r="B33" s="743">
        <v>33</v>
      </c>
    </row>
    <row r="34" spans="1:42">
      <c r="A34" s="745"/>
      <c r="B34" s="745"/>
    </row>
    <row r="35" spans="1:42">
      <c r="A35" s="745"/>
      <c r="B35" s="745"/>
    </row>
    <row r="36" spans="1:42">
      <c r="A36" s="736" t="s">
        <v>488</v>
      </c>
      <c r="B36" s="737"/>
    </row>
    <row r="37" spans="1:42">
      <c r="A37" s="738" t="s">
        <v>482</v>
      </c>
      <c r="B37" s="739" t="s">
        <v>489</v>
      </c>
    </row>
    <row r="38" spans="1:42">
      <c r="A38" s="740" t="s">
        <v>20</v>
      </c>
      <c r="B38" s="746">
        <f>(B21*B30)/((B21*B30)+(B22*B31))</f>
        <v>0.9548414346182118</v>
      </c>
    </row>
    <row r="39" spans="1:42">
      <c r="A39" s="742" t="s">
        <v>484</v>
      </c>
      <c r="B39" s="746">
        <f>(B22*B31)/((B21*B30)+(B22*B31))</f>
        <v>4.5158565381788147E-2</v>
      </c>
    </row>
    <row r="40" spans="1:42">
      <c r="A40" s="742" t="s">
        <v>19</v>
      </c>
      <c r="B40" s="746">
        <f>(B23*B32)/((B23*B32)+(B24*B33))</f>
        <v>0.95912212653292017</v>
      </c>
    </row>
    <row r="41" spans="1:42">
      <c r="A41" s="742" t="s">
        <v>485</v>
      </c>
      <c r="B41" s="746">
        <f>(B24*B33)/((B23*B32)+(B24*B33))</f>
        <v>4.087787346707978E-2</v>
      </c>
    </row>
    <row r="45" spans="1:42" ht="15.75" thickBot="1">
      <c r="A45" s="716" t="s">
        <v>1008</v>
      </c>
    </row>
    <row r="46" spans="1:42">
      <c r="A46" s="752" t="s">
        <v>1003</v>
      </c>
      <c r="B46" s="753">
        <v>2010</v>
      </c>
      <c r="C46" s="753">
        <v>2011</v>
      </c>
      <c r="D46" s="753">
        <v>2012</v>
      </c>
      <c r="E46" s="753">
        <v>2013</v>
      </c>
      <c r="F46" s="753">
        <v>2014</v>
      </c>
      <c r="G46" s="753">
        <v>2015</v>
      </c>
      <c r="H46" s="753">
        <v>2016</v>
      </c>
      <c r="I46" s="753">
        <v>2017</v>
      </c>
      <c r="J46" s="753">
        <v>2018</v>
      </c>
      <c r="K46" s="753">
        <v>2019</v>
      </c>
      <c r="L46" s="753">
        <v>2020</v>
      </c>
      <c r="M46" s="753">
        <v>2021</v>
      </c>
      <c r="N46" s="753">
        <v>2022</v>
      </c>
      <c r="O46" s="753">
        <v>2023</v>
      </c>
      <c r="P46" s="753">
        <v>2024</v>
      </c>
      <c r="Q46" s="753">
        <v>2025</v>
      </c>
      <c r="R46" s="753">
        <v>2026</v>
      </c>
      <c r="S46" s="753">
        <v>2027</v>
      </c>
      <c r="T46" s="753">
        <v>2028</v>
      </c>
      <c r="U46" s="753">
        <v>2029</v>
      </c>
      <c r="V46" s="753">
        <v>2030</v>
      </c>
      <c r="W46" s="753">
        <v>2031</v>
      </c>
      <c r="X46" s="753">
        <v>2032</v>
      </c>
      <c r="Y46" s="753">
        <v>2033</v>
      </c>
      <c r="Z46" s="753">
        <v>2034</v>
      </c>
      <c r="AA46" s="753">
        <v>2035</v>
      </c>
      <c r="AB46" s="753">
        <v>2036</v>
      </c>
      <c r="AC46" s="753">
        <v>2037</v>
      </c>
      <c r="AD46" s="753">
        <v>2038</v>
      </c>
      <c r="AE46" s="753">
        <v>2039</v>
      </c>
      <c r="AF46" s="753">
        <v>2040</v>
      </c>
      <c r="AG46" s="753">
        <v>2041</v>
      </c>
      <c r="AH46" s="753">
        <v>2042</v>
      </c>
      <c r="AI46" s="753">
        <v>2043</v>
      </c>
      <c r="AJ46" s="753">
        <v>2044</v>
      </c>
      <c r="AK46" s="753">
        <v>2045</v>
      </c>
      <c r="AL46" s="753">
        <v>2046</v>
      </c>
      <c r="AM46" s="753">
        <v>2047</v>
      </c>
      <c r="AN46" s="753">
        <v>2048</v>
      </c>
      <c r="AO46" s="753">
        <v>2049</v>
      </c>
      <c r="AP46" s="757">
        <v>2050</v>
      </c>
    </row>
    <row r="47" spans="1:42">
      <c r="A47" s="748" t="s">
        <v>18</v>
      </c>
      <c r="B47" s="758">
        <v>1919438353</v>
      </c>
      <c r="C47" s="758">
        <v>1770757195</v>
      </c>
      <c r="D47" s="758">
        <v>1624514247</v>
      </c>
      <c r="E47" s="758">
        <v>1517484617</v>
      </c>
      <c r="F47" s="759">
        <v>1437055035</v>
      </c>
      <c r="G47" s="759">
        <v>1362450472</v>
      </c>
      <c r="H47" s="759">
        <v>1272730975</v>
      </c>
      <c r="I47" s="759">
        <v>1146348261</v>
      </c>
      <c r="J47" s="759">
        <v>1041376950</v>
      </c>
      <c r="K47" s="759">
        <v>989982198</v>
      </c>
      <c r="L47" s="760" t="s">
        <v>17</v>
      </c>
      <c r="M47" s="760" t="s">
        <v>17</v>
      </c>
      <c r="N47" s="760" t="s">
        <v>17</v>
      </c>
      <c r="O47" s="760" t="s">
        <v>17</v>
      </c>
      <c r="P47" s="760" t="s">
        <v>17</v>
      </c>
      <c r="Q47" s="760" t="s">
        <v>17</v>
      </c>
      <c r="R47" s="760" t="s">
        <v>17</v>
      </c>
      <c r="S47" s="760" t="s">
        <v>17</v>
      </c>
      <c r="T47" s="760" t="s">
        <v>17</v>
      </c>
      <c r="U47" s="760" t="s">
        <v>17</v>
      </c>
      <c r="V47" s="760" t="s">
        <v>17</v>
      </c>
      <c r="W47" s="760" t="s">
        <v>17</v>
      </c>
      <c r="X47" s="760" t="s">
        <v>17</v>
      </c>
      <c r="Y47" s="760" t="s">
        <v>17</v>
      </c>
      <c r="Z47" s="760" t="s">
        <v>17</v>
      </c>
      <c r="AA47" s="760" t="s">
        <v>17</v>
      </c>
      <c r="AB47" s="760" t="s">
        <v>17</v>
      </c>
      <c r="AC47" s="760" t="s">
        <v>17</v>
      </c>
      <c r="AD47" s="760" t="s">
        <v>17</v>
      </c>
      <c r="AE47" s="760" t="s">
        <v>17</v>
      </c>
      <c r="AF47" s="760" t="s">
        <v>17</v>
      </c>
      <c r="AG47" s="760" t="s">
        <v>17</v>
      </c>
      <c r="AH47" s="760" t="s">
        <v>17</v>
      </c>
      <c r="AI47" s="760" t="s">
        <v>17</v>
      </c>
      <c r="AJ47" s="760" t="s">
        <v>17</v>
      </c>
      <c r="AK47" s="760" t="s">
        <v>17</v>
      </c>
      <c r="AL47" s="760" t="s">
        <v>17</v>
      </c>
      <c r="AM47" s="760" t="s">
        <v>17</v>
      </c>
      <c r="AN47" s="760" t="s">
        <v>17</v>
      </c>
      <c r="AO47" s="760" t="s">
        <v>17</v>
      </c>
      <c r="AP47" s="749" t="s">
        <v>17</v>
      </c>
    </row>
    <row r="48" spans="1:42">
      <c r="A48" s="748" t="s">
        <v>1004</v>
      </c>
      <c r="B48" s="758">
        <v>32285257</v>
      </c>
      <c r="C48" s="758">
        <v>57428620</v>
      </c>
      <c r="D48" s="758">
        <v>55648948</v>
      </c>
      <c r="E48" s="758">
        <v>56388985</v>
      </c>
      <c r="F48" s="759">
        <v>52569970</v>
      </c>
      <c r="G48" s="759">
        <v>58834520</v>
      </c>
      <c r="H48" s="759">
        <v>63084385</v>
      </c>
      <c r="I48" s="759">
        <v>58476031</v>
      </c>
      <c r="J48" s="759">
        <v>53868503</v>
      </c>
      <c r="K48" s="759">
        <v>51730645</v>
      </c>
      <c r="L48" s="760"/>
      <c r="M48" s="760"/>
      <c r="N48" s="760"/>
      <c r="O48" s="760"/>
      <c r="P48" s="760"/>
      <c r="Q48" s="760"/>
      <c r="R48" s="760"/>
      <c r="S48" s="760"/>
      <c r="T48" s="760"/>
      <c r="U48" s="760"/>
      <c r="V48" s="760"/>
      <c r="W48" s="760"/>
      <c r="X48" s="760"/>
      <c r="Y48" s="760"/>
      <c r="Z48" s="760"/>
      <c r="AA48" s="760"/>
      <c r="AB48" s="760"/>
      <c r="AC48" s="760"/>
      <c r="AD48" s="760"/>
      <c r="AE48" s="760"/>
      <c r="AF48" s="760"/>
      <c r="AG48" s="760"/>
      <c r="AH48" s="760"/>
      <c r="AI48" s="760"/>
      <c r="AJ48" s="760"/>
      <c r="AK48" s="760"/>
      <c r="AL48" s="760"/>
      <c r="AM48" s="760"/>
      <c r="AN48" s="760"/>
      <c r="AO48" s="760"/>
      <c r="AP48" s="749"/>
    </row>
    <row r="49" spans="1:42">
      <c r="A49" s="748" t="s">
        <v>19</v>
      </c>
      <c r="B49" s="758">
        <v>2487370477</v>
      </c>
      <c r="C49" s="758">
        <v>2454495889</v>
      </c>
      <c r="D49" s="758">
        <v>2441127259</v>
      </c>
      <c r="E49" s="758">
        <v>2548493422</v>
      </c>
      <c r="F49" s="759">
        <v>2706015956</v>
      </c>
      <c r="G49" s="759">
        <v>2952899074</v>
      </c>
      <c r="H49" s="759">
        <v>3187676279</v>
      </c>
      <c r="I49" s="759">
        <v>3242587996</v>
      </c>
      <c r="J49" s="759">
        <v>3392228806</v>
      </c>
      <c r="K49" s="759">
        <v>3419565001</v>
      </c>
      <c r="L49" s="760" t="s">
        <v>17</v>
      </c>
      <c r="M49" s="760" t="s">
        <v>17</v>
      </c>
      <c r="N49" s="760" t="s">
        <v>17</v>
      </c>
      <c r="O49" s="760" t="s">
        <v>17</v>
      </c>
      <c r="P49" s="760" t="s">
        <v>17</v>
      </c>
      <c r="Q49" s="760" t="s">
        <v>17</v>
      </c>
      <c r="R49" s="760" t="s">
        <v>17</v>
      </c>
      <c r="S49" s="760" t="s">
        <v>17</v>
      </c>
      <c r="T49" s="760" t="s">
        <v>17</v>
      </c>
      <c r="U49" s="760" t="s">
        <v>17</v>
      </c>
      <c r="V49" s="760" t="s">
        <v>17</v>
      </c>
      <c r="W49" s="760" t="s">
        <v>17</v>
      </c>
      <c r="X49" s="760" t="s">
        <v>17</v>
      </c>
      <c r="Y49" s="760" t="s">
        <v>17</v>
      </c>
      <c r="Z49" s="760" t="s">
        <v>17</v>
      </c>
      <c r="AA49" s="760" t="s">
        <v>17</v>
      </c>
      <c r="AB49" s="760" t="s">
        <v>17</v>
      </c>
      <c r="AC49" s="760" t="s">
        <v>17</v>
      </c>
      <c r="AD49" s="760" t="s">
        <v>17</v>
      </c>
      <c r="AE49" s="760" t="s">
        <v>17</v>
      </c>
      <c r="AF49" s="760" t="s">
        <v>17</v>
      </c>
      <c r="AG49" s="760" t="s">
        <v>17</v>
      </c>
      <c r="AH49" s="760" t="s">
        <v>17</v>
      </c>
      <c r="AI49" s="760" t="s">
        <v>17</v>
      </c>
      <c r="AJ49" s="760" t="s">
        <v>17</v>
      </c>
      <c r="AK49" s="760" t="s">
        <v>17</v>
      </c>
      <c r="AL49" s="760" t="s">
        <v>17</v>
      </c>
      <c r="AM49" s="760" t="s">
        <v>17</v>
      </c>
      <c r="AN49" s="760" t="s">
        <v>17</v>
      </c>
      <c r="AO49" s="760" t="s">
        <v>17</v>
      </c>
      <c r="AP49" s="749" t="s">
        <v>17</v>
      </c>
    </row>
    <row r="50" spans="1:42">
      <c r="A50" s="748" t="s">
        <v>1005</v>
      </c>
      <c r="B50" s="758">
        <v>64523884</v>
      </c>
      <c r="C50" s="758">
        <v>86912448</v>
      </c>
      <c r="D50" s="758">
        <v>70292126</v>
      </c>
      <c r="E50" s="758">
        <v>93969733</v>
      </c>
      <c r="F50" s="759">
        <v>114350795</v>
      </c>
      <c r="G50" s="759">
        <v>124868316</v>
      </c>
      <c r="H50" s="759">
        <v>109734839</v>
      </c>
      <c r="I50" s="759">
        <v>167296383</v>
      </c>
      <c r="J50" s="759">
        <v>162101602</v>
      </c>
      <c r="K50" s="759">
        <v>206694716</v>
      </c>
      <c r="L50" s="760" t="s">
        <v>17</v>
      </c>
      <c r="M50" s="760" t="s">
        <v>17</v>
      </c>
      <c r="N50" s="760" t="s">
        <v>17</v>
      </c>
      <c r="O50" s="760" t="s">
        <v>17</v>
      </c>
      <c r="P50" s="760" t="s">
        <v>17</v>
      </c>
      <c r="Q50" s="760" t="s">
        <v>17</v>
      </c>
      <c r="R50" s="760" t="s">
        <v>17</v>
      </c>
      <c r="S50" s="760" t="s">
        <v>17</v>
      </c>
      <c r="T50" s="760" t="s">
        <v>17</v>
      </c>
      <c r="U50" s="760" t="s">
        <v>17</v>
      </c>
      <c r="V50" s="760" t="s">
        <v>17</v>
      </c>
      <c r="W50" s="760" t="s">
        <v>17</v>
      </c>
      <c r="X50" s="760" t="s">
        <v>17</v>
      </c>
      <c r="Y50" s="760" t="s">
        <v>17</v>
      </c>
      <c r="Z50" s="760" t="s">
        <v>17</v>
      </c>
      <c r="AA50" s="760" t="s">
        <v>17</v>
      </c>
      <c r="AB50" s="760" t="s">
        <v>17</v>
      </c>
      <c r="AC50" s="760" t="s">
        <v>17</v>
      </c>
      <c r="AD50" s="760" t="s">
        <v>17</v>
      </c>
      <c r="AE50" s="760" t="s">
        <v>17</v>
      </c>
      <c r="AF50" s="760" t="s">
        <v>17</v>
      </c>
      <c r="AG50" s="760" t="s">
        <v>17</v>
      </c>
      <c r="AH50" s="760" t="s">
        <v>17</v>
      </c>
      <c r="AI50" s="760" t="s">
        <v>17</v>
      </c>
      <c r="AJ50" s="760" t="s">
        <v>17</v>
      </c>
      <c r="AK50" s="760" t="s">
        <v>17</v>
      </c>
      <c r="AL50" s="760" t="s">
        <v>17</v>
      </c>
      <c r="AM50" s="760" t="s">
        <v>17</v>
      </c>
      <c r="AN50" s="760" t="s">
        <v>17</v>
      </c>
      <c r="AO50" s="760" t="s">
        <v>17</v>
      </c>
      <c r="AP50" s="749" t="s">
        <v>17</v>
      </c>
    </row>
    <row r="51" spans="1:42">
      <c r="A51" s="748" t="s">
        <v>1006</v>
      </c>
      <c r="B51" s="34">
        <f>(B48*$B$31)/((B47*$B$30)+(B48*$B$31))</f>
        <v>1.5145516204215181E-2</v>
      </c>
      <c r="C51" s="34">
        <f>(C48*$B$31)/((C47*$B$30)+(C48*$B$31))</f>
        <v>2.8797905972103247E-2</v>
      </c>
      <c r="D51" s="34">
        <f t="shared" ref="D51:J51" si="13">(D48*$B$31)/((D47*$B$30)+(D48*$B$31))</f>
        <v>3.0368414760730378E-2</v>
      </c>
      <c r="E51" s="34">
        <f t="shared" si="13"/>
        <v>3.2858075556639568E-2</v>
      </c>
      <c r="F51" s="34">
        <f t="shared" si="13"/>
        <v>3.2363717874721816E-2</v>
      </c>
      <c r="G51" s="34">
        <f t="shared" si="13"/>
        <v>3.7981898491944534E-2</v>
      </c>
      <c r="H51" s="34">
        <f t="shared" si="13"/>
        <v>4.3352976300632597E-2</v>
      </c>
      <c r="I51" s="34">
        <f t="shared" si="13"/>
        <v>4.4560145308969144E-2</v>
      </c>
      <c r="J51" s="34">
        <f t="shared" si="13"/>
        <v>4.5158565381788147E-2</v>
      </c>
      <c r="K51" s="34">
        <f>(K48*$B$31)/((K47*$B$30)+(K48*$B$31))</f>
        <v>4.5596796420089687E-2</v>
      </c>
      <c r="L51" s="754">
        <v>0.05</v>
      </c>
      <c r="M51" s="34">
        <f>L51+(($V$51-$L$51)/10)</f>
        <v>5.5E-2</v>
      </c>
      <c r="N51" s="34">
        <f t="shared" ref="N51:U51" si="14">M51+(($V$51-$L$51)/10)</f>
        <v>0.06</v>
      </c>
      <c r="O51" s="34">
        <f t="shared" si="14"/>
        <v>6.5000000000000002E-2</v>
      </c>
      <c r="P51" s="34">
        <f t="shared" si="14"/>
        <v>7.0000000000000007E-2</v>
      </c>
      <c r="Q51" s="34">
        <f t="shared" si="14"/>
        <v>7.5000000000000011E-2</v>
      </c>
      <c r="R51" s="34">
        <f t="shared" si="14"/>
        <v>8.0000000000000016E-2</v>
      </c>
      <c r="S51" s="34">
        <f t="shared" si="14"/>
        <v>8.500000000000002E-2</v>
      </c>
      <c r="T51" s="34">
        <f t="shared" si="14"/>
        <v>9.0000000000000024E-2</v>
      </c>
      <c r="U51" s="34">
        <f t="shared" si="14"/>
        <v>9.5000000000000029E-2</v>
      </c>
      <c r="V51" s="404">
        <v>0.1</v>
      </c>
      <c r="W51" s="34">
        <f>V51</f>
        <v>0.1</v>
      </c>
      <c r="X51" s="34">
        <f t="shared" ref="X51:AI51" si="15">W51</f>
        <v>0.1</v>
      </c>
      <c r="Y51" s="34">
        <f t="shared" si="15"/>
        <v>0.1</v>
      </c>
      <c r="Z51" s="34">
        <f t="shared" si="15"/>
        <v>0.1</v>
      </c>
      <c r="AA51" s="34">
        <f t="shared" si="15"/>
        <v>0.1</v>
      </c>
      <c r="AB51" s="34">
        <f t="shared" si="15"/>
        <v>0.1</v>
      </c>
      <c r="AC51" s="34">
        <f t="shared" si="15"/>
        <v>0.1</v>
      </c>
      <c r="AD51" s="34">
        <f t="shared" si="15"/>
        <v>0.1</v>
      </c>
      <c r="AE51" s="34">
        <f t="shared" si="15"/>
        <v>0.1</v>
      </c>
      <c r="AF51" s="34">
        <f t="shared" si="15"/>
        <v>0.1</v>
      </c>
      <c r="AG51" s="34">
        <f t="shared" si="15"/>
        <v>0.1</v>
      </c>
      <c r="AH51" s="34">
        <f t="shared" si="15"/>
        <v>0.1</v>
      </c>
      <c r="AI51" s="34">
        <f t="shared" si="15"/>
        <v>0.1</v>
      </c>
      <c r="AJ51" s="34">
        <f>AI51</f>
        <v>0.1</v>
      </c>
      <c r="AK51" s="34">
        <f t="shared" ref="AK51:AO51" si="16">AJ51</f>
        <v>0.1</v>
      </c>
      <c r="AL51" s="34">
        <f t="shared" si="16"/>
        <v>0.1</v>
      </c>
      <c r="AM51" s="34">
        <f t="shared" si="16"/>
        <v>0.1</v>
      </c>
      <c r="AN51" s="34">
        <f t="shared" si="16"/>
        <v>0.1</v>
      </c>
      <c r="AO51" s="34">
        <f t="shared" si="16"/>
        <v>0.1</v>
      </c>
      <c r="AP51" s="755">
        <f>AO51</f>
        <v>0.1</v>
      </c>
    </row>
    <row r="52" spans="1:42" ht="15.75" thickBot="1">
      <c r="A52" s="750" t="s">
        <v>1007</v>
      </c>
      <c r="B52" s="751">
        <f>(B50*$B$33)/((B49*$B$32)+(B50*$B$33))</f>
        <v>2.2613031440494664E-2</v>
      </c>
      <c r="C52" s="751">
        <f>(C50*$B$33)/((C49*$B$32)+(C50*$B$33))</f>
        <v>3.0614584580015675E-2</v>
      </c>
      <c r="D52" s="751">
        <f t="shared" ref="D52:K52" si="17">(D50*$B$33)/((D49*$B$32)+(D50*$B$33))</f>
        <v>2.5038929047601442E-2</v>
      </c>
      <c r="E52" s="751">
        <f t="shared" si="17"/>
        <v>3.1839344737629331E-2</v>
      </c>
      <c r="F52" s="751">
        <f t="shared" si="17"/>
        <v>3.6320649339008006E-2</v>
      </c>
      <c r="G52" s="751">
        <f t="shared" si="17"/>
        <v>3.6344417166647852E-2</v>
      </c>
      <c r="H52" s="751">
        <f t="shared" si="17"/>
        <v>2.9788521237398415E-2</v>
      </c>
      <c r="I52" s="751">
        <f t="shared" si="17"/>
        <v>4.3991498039437318E-2</v>
      </c>
      <c r="J52" s="751">
        <f t="shared" si="17"/>
        <v>4.087787346707978E-2</v>
      </c>
      <c r="K52" s="751">
        <f t="shared" si="17"/>
        <v>5.1152531327863002E-2</v>
      </c>
      <c r="L52" s="751">
        <f>K52</f>
        <v>5.1152531327863002E-2</v>
      </c>
      <c r="M52" s="751">
        <f>L52+(($V$52-$L$52)/10)</f>
        <v>5.6037278195076701E-2</v>
      </c>
      <c r="N52" s="751">
        <f t="shared" ref="N52:U52" si="18">M52+(($V$52-$L$52)/10)</f>
        <v>6.09220250622904E-2</v>
      </c>
      <c r="O52" s="751">
        <f t="shared" si="18"/>
        <v>6.5806771929504099E-2</v>
      </c>
      <c r="P52" s="751">
        <f t="shared" si="18"/>
        <v>7.0691518796717798E-2</v>
      </c>
      <c r="Q52" s="751">
        <f t="shared" si="18"/>
        <v>7.5576265663931497E-2</v>
      </c>
      <c r="R52" s="751">
        <f t="shared" si="18"/>
        <v>8.0461012531145196E-2</v>
      </c>
      <c r="S52" s="751">
        <f t="shared" si="18"/>
        <v>8.5345759398358895E-2</v>
      </c>
      <c r="T52" s="751">
        <f t="shared" si="18"/>
        <v>9.0230506265572594E-2</v>
      </c>
      <c r="U52" s="751">
        <f t="shared" si="18"/>
        <v>9.5115253132786293E-2</v>
      </c>
      <c r="V52" s="761">
        <v>0.1</v>
      </c>
      <c r="W52" s="751">
        <f t="shared" ref="W52:AP52" si="19">V52</f>
        <v>0.1</v>
      </c>
      <c r="X52" s="751">
        <f t="shared" si="19"/>
        <v>0.1</v>
      </c>
      <c r="Y52" s="751">
        <f t="shared" si="19"/>
        <v>0.1</v>
      </c>
      <c r="Z52" s="751">
        <f t="shared" si="19"/>
        <v>0.1</v>
      </c>
      <c r="AA52" s="751">
        <f t="shared" si="19"/>
        <v>0.1</v>
      </c>
      <c r="AB52" s="751">
        <f t="shared" si="19"/>
        <v>0.1</v>
      </c>
      <c r="AC52" s="751">
        <f t="shared" si="19"/>
        <v>0.1</v>
      </c>
      <c r="AD52" s="751">
        <f t="shared" si="19"/>
        <v>0.1</v>
      </c>
      <c r="AE52" s="751">
        <f t="shared" si="19"/>
        <v>0.1</v>
      </c>
      <c r="AF52" s="751">
        <f t="shared" si="19"/>
        <v>0.1</v>
      </c>
      <c r="AG52" s="751">
        <f t="shared" si="19"/>
        <v>0.1</v>
      </c>
      <c r="AH52" s="751">
        <f t="shared" si="19"/>
        <v>0.1</v>
      </c>
      <c r="AI52" s="751">
        <f t="shared" si="19"/>
        <v>0.1</v>
      </c>
      <c r="AJ52" s="751">
        <f t="shared" si="19"/>
        <v>0.1</v>
      </c>
      <c r="AK52" s="751">
        <f t="shared" si="19"/>
        <v>0.1</v>
      </c>
      <c r="AL52" s="751">
        <f t="shared" si="19"/>
        <v>0.1</v>
      </c>
      <c r="AM52" s="751">
        <f t="shared" si="19"/>
        <v>0.1</v>
      </c>
      <c r="AN52" s="751">
        <f t="shared" si="19"/>
        <v>0.1</v>
      </c>
      <c r="AO52" s="751">
        <f t="shared" si="19"/>
        <v>0.1</v>
      </c>
      <c r="AP52" s="756">
        <f t="shared" si="19"/>
        <v>0.1</v>
      </c>
    </row>
    <row r="53" spans="1:42">
      <c r="A53" s="744" t="s">
        <v>486</v>
      </c>
    </row>
    <row r="54" spans="1:42">
      <c r="K54"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N304"/>
  <sheetViews>
    <sheetView topLeftCell="AD144" zoomScale="85" zoomScaleNormal="85" workbookViewId="0">
      <selection activeCell="AJ163" sqref="AJ163"/>
    </sheetView>
  </sheetViews>
  <sheetFormatPr defaultRowHeight="15"/>
  <cols>
    <col min="1" max="1" width="24.5703125" customWidth="1"/>
    <col min="2" max="2" width="22.42578125" bestFit="1" customWidth="1"/>
    <col min="3" max="3" width="55.85546875" customWidth="1"/>
    <col min="4" max="4" width="32" customWidth="1"/>
    <col min="5" max="5" width="12.85546875" customWidth="1"/>
    <col min="6" max="6" width="10.7109375" customWidth="1"/>
    <col min="7" max="29" width="9.28515625" customWidth="1"/>
    <col min="32" max="32" width="8.7109375" customWidth="1"/>
    <col min="33" max="33" width="34.42578125" bestFit="1" customWidth="1"/>
    <col min="34" max="34" width="27.28515625" bestFit="1" customWidth="1"/>
    <col min="35" max="36" width="26.7109375" bestFit="1" customWidth="1"/>
    <col min="37" max="37" width="27.7109375" bestFit="1" customWidth="1"/>
    <col min="38" max="39" width="27.28515625" bestFit="1" customWidth="1"/>
    <col min="40" max="44" width="26.7109375" bestFit="1" customWidth="1"/>
    <col min="45" max="45" width="27.7109375" bestFit="1" customWidth="1"/>
    <col min="46" max="60" width="26.7109375" bestFit="1" customWidth="1"/>
    <col min="63" max="63" width="26.7109375" customWidth="1"/>
    <col min="64" max="90" width="21.7109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29"/>
      <c r="C2" s="629"/>
      <c r="D2" s="629"/>
      <c r="E2" s="629"/>
      <c r="F2" s="629"/>
      <c r="G2" s="629"/>
      <c r="H2" s="629"/>
      <c r="I2" s="37"/>
      <c r="J2" s="37"/>
      <c r="K2" s="37"/>
      <c r="L2" s="37"/>
      <c r="M2" s="37"/>
      <c r="N2" s="37"/>
      <c r="O2" s="37"/>
      <c r="P2" s="37"/>
      <c r="Q2" s="37"/>
      <c r="R2" s="37"/>
      <c r="S2" s="37"/>
      <c r="T2" s="37"/>
      <c r="U2" s="37"/>
      <c r="V2" s="37"/>
      <c r="W2" s="37"/>
      <c r="X2" s="37"/>
      <c r="Y2" s="37"/>
      <c r="Z2" s="37"/>
      <c r="AA2" s="37"/>
      <c r="AB2" s="37"/>
      <c r="AC2" s="37"/>
      <c r="AD2" s="448"/>
      <c r="AE2" s="448"/>
    </row>
    <row r="3" spans="1:31">
      <c r="A3" s="630" t="s">
        <v>69</v>
      </c>
      <c r="B3" s="631" t="s">
        <v>70</v>
      </c>
      <c r="C3" s="631" t="s">
        <v>71</v>
      </c>
      <c r="D3" s="631" t="s">
        <v>72</v>
      </c>
      <c r="E3" s="631" t="s">
        <v>73</v>
      </c>
      <c r="F3" s="631" t="s">
        <v>74</v>
      </c>
      <c r="G3" s="631" t="s">
        <v>75</v>
      </c>
      <c r="H3" s="631"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2" t="s">
        <v>668</v>
      </c>
      <c r="B4" s="633"/>
      <c r="C4" s="633"/>
      <c r="D4" s="633"/>
      <c r="E4" s="633"/>
      <c r="F4" s="633"/>
      <c r="G4" s="633"/>
      <c r="H4" s="633"/>
      <c r="I4" s="37"/>
      <c r="J4" s="37"/>
      <c r="K4" s="37"/>
      <c r="L4" s="37"/>
      <c r="M4" s="37"/>
      <c r="N4" s="37"/>
      <c r="O4" s="37"/>
      <c r="P4" s="37"/>
      <c r="Q4" s="37"/>
      <c r="R4" s="37"/>
      <c r="S4" s="37"/>
      <c r="T4" s="37"/>
      <c r="U4" s="37"/>
      <c r="V4" s="37"/>
      <c r="W4" s="37"/>
      <c r="X4" s="37"/>
      <c r="Y4" s="37"/>
      <c r="Z4" s="37"/>
      <c r="AA4" s="37"/>
      <c r="AB4" s="37"/>
      <c r="AC4" s="37"/>
    </row>
    <row r="5" spans="1:31" s="459" customFormat="1">
      <c r="A5" s="634" t="s">
        <v>667</v>
      </c>
      <c r="B5" s="634"/>
      <c r="C5" s="634"/>
      <c r="D5" s="634"/>
      <c r="E5" s="634"/>
      <c r="F5" s="634"/>
      <c r="G5" s="634"/>
      <c r="H5" s="634"/>
      <c r="I5" s="37"/>
      <c r="J5" s="37"/>
      <c r="K5" s="37"/>
      <c r="L5" s="37"/>
      <c r="M5" s="37"/>
      <c r="N5" s="37"/>
      <c r="O5" s="37"/>
      <c r="P5" s="37"/>
      <c r="Q5" s="37"/>
      <c r="R5" s="37"/>
      <c r="S5" s="37"/>
      <c r="T5" s="37"/>
      <c r="U5" s="37"/>
      <c r="V5" s="37"/>
      <c r="W5" s="37"/>
      <c r="X5" s="37"/>
      <c r="Y5" s="37"/>
      <c r="Z5" s="37"/>
      <c r="AA5" s="37"/>
      <c r="AB5" s="37"/>
      <c r="AC5" s="37"/>
    </row>
    <row r="6" spans="1:31" s="459" customFormat="1">
      <c r="A6" s="635" t="s">
        <v>853</v>
      </c>
      <c r="B6" s="629" t="str">
        <f>Commodities!K8</f>
        <v>T-WLK_WLK</v>
      </c>
      <c r="C6" s="629" t="str">
        <f>Commodities!L8</f>
        <v>TRA Walking</v>
      </c>
      <c r="D6" s="635" t="s">
        <v>872</v>
      </c>
      <c r="E6" s="635" t="s">
        <v>873</v>
      </c>
      <c r="F6" s="629"/>
      <c r="G6" s="635"/>
      <c r="H6" s="629"/>
      <c r="I6" s="37"/>
      <c r="J6" s="37"/>
      <c r="K6" s="37"/>
      <c r="L6" s="37"/>
      <c r="M6" s="37"/>
      <c r="N6" s="37"/>
      <c r="O6" s="37"/>
      <c r="P6" s="37"/>
      <c r="Q6" s="37"/>
      <c r="R6" s="37"/>
      <c r="S6" s="37"/>
      <c r="T6" s="37"/>
      <c r="U6" s="37"/>
      <c r="V6" s="37"/>
      <c r="W6" s="37"/>
      <c r="X6" s="37"/>
      <c r="Y6" s="37"/>
      <c r="Z6" s="37"/>
      <c r="AA6" s="37"/>
      <c r="AB6" s="37"/>
      <c r="AC6" s="37"/>
    </row>
    <row r="7" spans="1:31" s="459" customFormat="1">
      <c r="A7" s="629"/>
      <c r="B7" s="629" t="str">
        <f>Commodities!K9</f>
        <v>T-CYC_CYC</v>
      </c>
      <c r="C7" s="629" t="str">
        <f>Commodities!L9</f>
        <v>TRA Cycling</v>
      </c>
      <c r="D7" s="635" t="s">
        <v>872</v>
      </c>
      <c r="E7" s="635" t="s">
        <v>873</v>
      </c>
      <c r="F7" s="629"/>
      <c r="G7" s="635"/>
      <c r="H7" s="629"/>
      <c r="I7" s="127"/>
      <c r="J7" s="37"/>
      <c r="K7" s="37"/>
      <c r="L7" s="37"/>
      <c r="M7" s="37"/>
      <c r="N7" s="37"/>
      <c r="O7" s="37"/>
      <c r="P7" s="37"/>
      <c r="Q7" s="37"/>
      <c r="R7" s="37"/>
      <c r="S7" s="37"/>
      <c r="T7" s="37"/>
      <c r="U7" s="37"/>
      <c r="V7" s="37"/>
      <c r="W7" s="37"/>
      <c r="X7" s="37"/>
      <c r="Y7" s="37"/>
      <c r="Z7" s="37"/>
      <c r="AA7" s="37"/>
      <c r="AB7" s="37"/>
      <c r="AC7" s="37"/>
    </row>
    <row r="8" spans="1:31">
      <c r="A8" s="634" t="s">
        <v>539</v>
      </c>
      <c r="B8" s="634"/>
      <c r="C8" s="634"/>
      <c r="D8" s="634"/>
      <c r="E8" s="634"/>
      <c r="F8" s="634"/>
      <c r="G8" s="634"/>
      <c r="H8" s="634"/>
      <c r="I8" s="127"/>
      <c r="J8" s="37"/>
      <c r="K8" s="37"/>
      <c r="L8" s="37"/>
      <c r="M8" s="37"/>
      <c r="N8" s="37"/>
      <c r="O8" s="37"/>
      <c r="P8" s="37"/>
      <c r="Q8" s="37"/>
      <c r="R8" s="37"/>
      <c r="S8" s="37"/>
      <c r="T8" s="37"/>
      <c r="U8" s="37"/>
      <c r="V8" s="37"/>
      <c r="W8" s="37"/>
      <c r="X8" s="37"/>
      <c r="Y8" s="37"/>
      <c r="Z8" s="37"/>
      <c r="AA8" s="37"/>
      <c r="AB8" s="37"/>
      <c r="AC8" s="37"/>
      <c r="AD8" s="448"/>
      <c r="AE8" s="448"/>
    </row>
    <row r="9" spans="1:31">
      <c r="A9" s="26"/>
      <c r="B9" s="629" t="str">
        <f>Commodities!K11</f>
        <v>T-MOT-ICE_GSL00</v>
      </c>
      <c r="C9" s="629" t="str">
        <f>Commodities!L11</f>
        <v>TRA Motorcycles: Gasoline ICEs - Existing</v>
      </c>
      <c r="D9" s="635" t="s">
        <v>872</v>
      </c>
      <c r="E9" s="635" t="s">
        <v>873</v>
      </c>
      <c r="F9" s="629"/>
      <c r="G9" s="635"/>
      <c r="H9" s="629"/>
      <c r="I9" s="37"/>
      <c r="J9" s="37"/>
      <c r="K9" s="37"/>
      <c r="L9" s="37"/>
      <c r="M9" s="37"/>
      <c r="N9" s="37"/>
      <c r="O9" s="37"/>
      <c r="P9" s="37"/>
      <c r="Q9" s="37"/>
      <c r="R9" s="37"/>
      <c r="S9" s="37"/>
      <c r="T9" s="37"/>
      <c r="U9" s="37"/>
      <c r="V9" s="37"/>
      <c r="W9" s="37"/>
      <c r="X9" s="37"/>
      <c r="Y9" s="37"/>
      <c r="Z9" s="37"/>
      <c r="AA9" s="37"/>
      <c r="AB9" s="37"/>
      <c r="AC9" s="37"/>
      <c r="AD9" s="448"/>
      <c r="AE9" s="448"/>
    </row>
    <row r="10" spans="1:31">
      <c r="A10" s="634" t="s">
        <v>540</v>
      </c>
      <c r="B10" s="634"/>
      <c r="C10" s="634"/>
      <c r="D10" s="636"/>
      <c r="E10" s="634"/>
      <c r="F10" s="634"/>
      <c r="G10" s="634"/>
      <c r="H10" s="634"/>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29"/>
      <c r="B11" s="629" t="str">
        <f>Commodities!K13</f>
        <v>T-CAR-ICE_GSL00</v>
      </c>
      <c r="C11" s="629" t="str">
        <f>Commodities!L13</f>
        <v>TRA Cars: Gasoline ICEs - Existing</v>
      </c>
      <c r="D11" s="635" t="s">
        <v>872</v>
      </c>
      <c r="E11" s="635" t="s">
        <v>873</v>
      </c>
      <c r="F11" s="629"/>
      <c r="G11" s="635"/>
      <c r="H11" s="629"/>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29"/>
      <c r="B12" s="629" t="str">
        <f>Commodities!K14</f>
        <v>T-CAR-ICE_DST00</v>
      </c>
      <c r="C12" s="629" t="str">
        <f>Commodities!L14</f>
        <v>TRA Cars: Diesel ICEs - Existing</v>
      </c>
      <c r="D12" s="635" t="s">
        <v>872</v>
      </c>
      <c r="E12" s="635" t="s">
        <v>873</v>
      </c>
      <c r="F12" s="629"/>
      <c r="G12" s="635"/>
      <c r="H12" s="629"/>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29"/>
      <c r="B13" s="629" t="str">
        <f>Commodities!K15</f>
        <v>T-CAR-ICE_DF00</v>
      </c>
      <c r="C13" s="629" t="str">
        <f>Commodities!L15</f>
        <v>TRA Cars: Dual fuel ICEs - Existing</v>
      </c>
      <c r="D13" s="635" t="s">
        <v>872</v>
      </c>
      <c r="E13" s="635" t="s">
        <v>873</v>
      </c>
      <c r="F13" s="629"/>
      <c r="G13" s="635"/>
      <c r="H13" s="629"/>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29"/>
      <c r="B14" s="629" t="str">
        <f>Commodities!K16</f>
        <v>T-CAR-ICE_E8500</v>
      </c>
      <c r="C14" s="629" t="str">
        <f>Commodities!L16</f>
        <v>TRA Cars: Flex fuel ICEs - Existing</v>
      </c>
      <c r="D14" s="635" t="s">
        <v>872</v>
      </c>
      <c r="E14" s="635" t="s">
        <v>873</v>
      </c>
      <c r="F14" s="629"/>
      <c r="G14" s="635"/>
      <c r="H14" s="629"/>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29"/>
      <c r="B15" s="629" t="str">
        <f>Commodities!K17</f>
        <v>T-CAR-HEV_GSL00</v>
      </c>
      <c r="C15" s="629" t="str">
        <f>Commodities!L17</f>
        <v>TRA Cars: Gasoline HEV - Existing</v>
      </c>
      <c r="D15" s="635" t="s">
        <v>872</v>
      </c>
      <c r="E15" s="635" t="s">
        <v>873</v>
      </c>
      <c r="F15" s="629"/>
      <c r="G15" s="635"/>
      <c r="H15" s="629"/>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29"/>
      <c r="B16" s="629" t="str">
        <f>Commodities!K18</f>
        <v>T-CAR-HEV_DST00</v>
      </c>
      <c r="C16" s="629" t="str">
        <f>Commodities!L18</f>
        <v>TRA Cars: Diesel HEV - Existing</v>
      </c>
      <c r="D16" s="635" t="s">
        <v>872</v>
      </c>
      <c r="E16" s="635" t="s">
        <v>873</v>
      </c>
      <c r="F16" s="629"/>
      <c r="G16" s="635"/>
      <c r="H16" s="629"/>
      <c r="I16" s="37"/>
      <c r="J16" s="37"/>
      <c r="K16" s="37"/>
      <c r="L16" s="37"/>
      <c r="M16" s="37"/>
      <c r="N16" s="37"/>
      <c r="O16" s="37"/>
      <c r="P16" s="37"/>
      <c r="Q16" s="37"/>
      <c r="R16" s="37"/>
      <c r="S16" s="37"/>
      <c r="T16" s="37"/>
      <c r="U16" s="37"/>
      <c r="V16" s="37"/>
      <c r="W16" s="37"/>
      <c r="X16" s="37"/>
      <c r="Y16" s="37"/>
      <c r="Z16" s="37"/>
      <c r="AA16" s="37"/>
      <c r="AB16" s="37"/>
      <c r="AC16" s="37"/>
    </row>
    <row r="17" spans="1:31">
      <c r="A17" s="629"/>
      <c r="B17" s="629" t="str">
        <f>Commodities!K19</f>
        <v>T-CAR-PHEV_GSL00</v>
      </c>
      <c r="C17" s="629" t="str">
        <f>Commodities!L19</f>
        <v>TRA Cars: Gasoline PHEV - Existing</v>
      </c>
      <c r="D17" s="635" t="s">
        <v>872</v>
      </c>
      <c r="E17" s="635" t="s">
        <v>873</v>
      </c>
      <c r="F17" s="629"/>
      <c r="G17" s="635"/>
      <c r="H17" s="629"/>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29"/>
      <c r="B18" s="629" t="str">
        <f>Commodities!K20</f>
        <v>T-CAR-PHEV_DST00</v>
      </c>
      <c r="C18" s="629" t="str">
        <f>Commodities!L20</f>
        <v>TRA Cars: Diesel PHEV - Existing</v>
      </c>
      <c r="D18" s="635" t="s">
        <v>872</v>
      </c>
      <c r="E18" s="635" t="s">
        <v>873</v>
      </c>
      <c r="F18" s="629"/>
      <c r="G18" s="635"/>
      <c r="H18" s="629"/>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29"/>
      <c r="B19" s="629" t="str">
        <f>Commodities!K21</f>
        <v>T-CAR-BEV_ELC00</v>
      </c>
      <c r="C19" s="629" t="str">
        <f>Commodities!L21</f>
        <v>TRA Cars: Battery Electric Vehicle - Existing</v>
      </c>
      <c r="D19" s="635" t="s">
        <v>872</v>
      </c>
      <c r="E19" s="635" t="s">
        <v>873</v>
      </c>
      <c r="F19" s="629"/>
      <c r="G19" s="635"/>
      <c r="H19" s="629"/>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4" t="s">
        <v>555</v>
      </c>
      <c r="B20" s="634"/>
      <c r="C20" s="634"/>
      <c r="D20" s="636"/>
      <c r="E20" s="634"/>
      <c r="F20" s="634"/>
      <c r="G20" s="634"/>
      <c r="H20" s="634"/>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29"/>
      <c r="B21" s="629" t="str">
        <f>Commodities!K23</f>
        <v>T-TAX-ICE_GSL00</v>
      </c>
      <c r="C21" s="629" t="str">
        <f>Commodities!L23</f>
        <v>TRA Taxis: Gasoline ICEs - Existing</v>
      </c>
      <c r="D21" s="635" t="s">
        <v>872</v>
      </c>
      <c r="E21" s="635" t="s">
        <v>873</v>
      </c>
      <c r="F21" s="629"/>
      <c r="G21" s="635"/>
      <c r="H21" s="629"/>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29"/>
      <c r="B22" s="629" t="str">
        <f>Commodities!K24</f>
        <v>T-TAX-ICE_DST00</v>
      </c>
      <c r="C22" s="629" t="str">
        <f>Commodities!L24</f>
        <v>TRA Taxis: Diesel ICEs - Existing</v>
      </c>
      <c r="D22" s="635" t="s">
        <v>872</v>
      </c>
      <c r="E22" s="635" t="s">
        <v>873</v>
      </c>
      <c r="F22" s="629"/>
      <c r="G22" s="635"/>
      <c r="H22" s="629"/>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29"/>
      <c r="B23" s="629" t="str">
        <f>Commodities!K25</f>
        <v>T-TAX-HEV_GSL00</v>
      </c>
      <c r="C23" s="629" t="str">
        <f>Commodities!L25</f>
        <v>TRA Taxis: Gasoline HEVs - Existing</v>
      </c>
      <c r="D23" s="635" t="s">
        <v>872</v>
      </c>
      <c r="E23" s="635" t="s">
        <v>873</v>
      </c>
      <c r="F23" s="629"/>
      <c r="G23" s="635"/>
      <c r="H23" s="629"/>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4" t="s">
        <v>594</v>
      </c>
      <c r="B24" s="634"/>
      <c r="C24" s="634"/>
      <c r="D24" s="636"/>
      <c r="E24" s="634"/>
      <c r="F24" s="634"/>
      <c r="G24" s="634"/>
      <c r="H24" s="634"/>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29"/>
      <c r="B25" s="629" t="str">
        <f>Commodities!K27</f>
        <v>T-BUS-ICE_DST00</v>
      </c>
      <c r="C25" s="629" t="str">
        <f>Commodities!L27</f>
        <v>TRA BUS: Diesel ICEs - Existing</v>
      </c>
      <c r="D25" s="635" t="s">
        <v>872</v>
      </c>
      <c r="E25" s="635" t="s">
        <v>873</v>
      </c>
      <c r="F25" s="629"/>
      <c r="G25" s="635"/>
      <c r="H25" s="629"/>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4" t="s">
        <v>115</v>
      </c>
      <c r="B26" s="634"/>
      <c r="C26" s="634"/>
      <c r="D26" s="636"/>
      <c r="E26" s="634"/>
      <c r="F26" s="634"/>
      <c r="G26" s="634"/>
      <c r="H26" s="634"/>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29"/>
      <c r="B27" s="629" t="str">
        <f>Commodities!K29</f>
        <v>T-LPT-EV_ELC00</v>
      </c>
      <c r="C27" s="629" t="str">
        <f>Commodities!L29</f>
        <v>TRA Light Passenger Train: Electric - Existing</v>
      </c>
      <c r="D27" s="635" t="s">
        <v>872</v>
      </c>
      <c r="E27" s="635" t="s">
        <v>873</v>
      </c>
      <c r="F27" s="629"/>
      <c r="G27" s="635"/>
      <c r="H27" s="629"/>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29"/>
      <c r="B28" s="629" t="str">
        <f>Commodities!K30</f>
        <v>T-HPT-EV_ELC00</v>
      </c>
      <c r="C28" s="629" t="str">
        <f>Commodities!L30</f>
        <v>TRA Heavy Passenger Train: Electric - Existing</v>
      </c>
      <c r="D28" s="635" t="s">
        <v>872</v>
      </c>
      <c r="E28" s="635" t="s">
        <v>873</v>
      </c>
      <c r="F28" s="629"/>
      <c r="G28" s="635"/>
      <c r="H28" s="629"/>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29"/>
      <c r="B29" s="629" t="str">
        <f>Commodities!K31</f>
        <v>T-HPT-ICE_DST00</v>
      </c>
      <c r="C29" s="629" t="str">
        <f>Commodities!L31</f>
        <v>TRA Heavy Passenger Train: Diesel - Existing</v>
      </c>
      <c r="D29" s="635" t="s">
        <v>872</v>
      </c>
      <c r="E29" s="635" t="s">
        <v>873</v>
      </c>
      <c r="F29" s="629"/>
      <c r="G29" s="635"/>
      <c r="H29" s="629"/>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2" t="s">
        <v>669</v>
      </c>
      <c r="B30" s="633"/>
      <c r="C30" s="633"/>
      <c r="D30" s="633"/>
      <c r="E30" s="633"/>
      <c r="F30" s="633"/>
      <c r="G30" s="633"/>
      <c r="H30" s="633"/>
      <c r="I30" s="127"/>
      <c r="J30" s="127"/>
    </row>
    <row r="31" spans="1:31" s="459" customFormat="1">
      <c r="A31" s="634" t="s">
        <v>859</v>
      </c>
      <c r="B31" s="634"/>
      <c r="C31" s="634"/>
      <c r="D31" s="636"/>
      <c r="E31" s="634"/>
      <c r="F31" s="634"/>
      <c r="G31" s="634"/>
      <c r="H31" s="634"/>
      <c r="I31" s="127"/>
      <c r="J31" s="127"/>
      <c r="K31" s="127"/>
    </row>
    <row r="32" spans="1:31" s="459" customFormat="1">
      <c r="A32" s="629"/>
      <c r="B32" s="629" t="str">
        <f>Commodities!K34</f>
        <v>T-LGT-ICE_GSL00</v>
      </c>
      <c r="C32" s="629" t="str">
        <f>Commodities!L34</f>
        <v>TRA Light Goods Truck: Gasoline ICEs - Existing</v>
      </c>
      <c r="D32" s="635" t="s">
        <v>985</v>
      </c>
      <c r="E32" s="635" t="s">
        <v>873</v>
      </c>
      <c r="F32" s="629"/>
      <c r="G32" s="635"/>
      <c r="H32" s="629"/>
      <c r="I32" s="127"/>
      <c r="J32" s="127"/>
      <c r="K32" s="127"/>
    </row>
    <row r="33" spans="1:91" s="459" customFormat="1">
      <c r="A33" s="629"/>
      <c r="B33" s="629" t="str">
        <f>Commodities!K35</f>
        <v>T-HGT-ICE_DST00</v>
      </c>
      <c r="C33" s="629" t="str">
        <f>Commodities!L35</f>
        <v>TRA Heavy Goods Truck: Diesel ICEs - Existing</v>
      </c>
      <c r="D33" s="635" t="s">
        <v>985</v>
      </c>
      <c r="E33" s="635" t="s">
        <v>873</v>
      </c>
      <c r="F33" s="629"/>
      <c r="G33" s="635"/>
      <c r="H33" s="629"/>
      <c r="I33" s="127"/>
      <c r="J33" s="127"/>
      <c r="K33" s="127"/>
    </row>
    <row r="34" spans="1:91" s="459" customFormat="1">
      <c r="A34" s="629"/>
      <c r="B34" s="629" t="str">
        <f>Commodities!K36</f>
        <v>T-GTR-ICE_DST00</v>
      </c>
      <c r="C34" s="629" t="str">
        <f>Commodities!L36</f>
        <v>TRA Goods Train: ICE Diesel Train - Existing</v>
      </c>
      <c r="D34" s="635" t="s">
        <v>985</v>
      </c>
      <c r="E34" s="635" t="s">
        <v>64</v>
      </c>
      <c r="F34" s="629"/>
      <c r="G34" s="635"/>
      <c r="H34" s="629"/>
      <c r="I34" s="127"/>
      <c r="J34" s="127"/>
      <c r="K34" s="127"/>
    </row>
    <row r="35" spans="1:91" s="459" customFormat="1">
      <c r="A35" s="632" t="s">
        <v>752</v>
      </c>
      <c r="B35" s="633"/>
      <c r="C35" s="633"/>
      <c r="D35" s="670"/>
      <c r="E35" s="633"/>
      <c r="F35" s="633"/>
      <c r="G35" s="633"/>
      <c r="H35" s="633"/>
      <c r="I35" s="127"/>
      <c r="J35" s="127"/>
      <c r="K35" s="127"/>
    </row>
    <row r="36" spans="1:91" s="459" customFormat="1">
      <c r="A36" s="629"/>
      <c r="B36" s="629" t="str">
        <f>Commodities!K38</f>
        <v>T-TUR_CON00</v>
      </c>
      <c r="C36" s="629" t="str">
        <f>Commodities!L38</f>
        <v>TRA Tourism: Conventional Tourism Vehicles - Existing</v>
      </c>
      <c r="D36" s="635" t="s">
        <v>88</v>
      </c>
      <c r="E36" s="28" t="s">
        <v>875</v>
      </c>
      <c r="F36" s="629"/>
      <c r="G36" s="635"/>
      <c r="H36" s="629"/>
      <c r="I36" s="127"/>
      <c r="J36" s="127"/>
      <c r="K36" s="127"/>
    </row>
    <row r="37" spans="1:91" s="459" customFormat="1">
      <c r="A37" s="629"/>
      <c r="B37" s="629" t="str">
        <f>Commodities!K39</f>
        <v>T-NAV_CON00</v>
      </c>
      <c r="C37" s="629" t="str">
        <f>Commodities!L39</f>
        <v>TRA Navigation: Conventional Navigation Vehicles - Existing</v>
      </c>
      <c r="D37" s="635" t="s">
        <v>88</v>
      </c>
      <c r="E37" s="28" t="s">
        <v>875</v>
      </c>
      <c r="F37" s="629"/>
      <c r="G37" s="635"/>
      <c r="H37" s="629"/>
      <c r="I37" s="127"/>
      <c r="J37" s="127"/>
      <c r="K37" s="127"/>
    </row>
    <row r="38" spans="1:91" s="459" customFormat="1">
      <c r="A38" s="629"/>
      <c r="B38" s="629" t="str">
        <f>Commodities!K40</f>
        <v>T-OTH_CON00</v>
      </c>
      <c r="C38" s="629" t="str">
        <f>Commodities!L40</f>
        <v xml:space="preserve">TRA Unspecified: Conventional Unspecified Vehicles - Existing </v>
      </c>
      <c r="D38" s="635" t="s">
        <v>88</v>
      </c>
      <c r="E38" s="28" t="s">
        <v>875</v>
      </c>
      <c r="F38" s="629"/>
      <c r="G38" s="635"/>
      <c r="H38" s="629"/>
      <c r="I38" s="127"/>
      <c r="J38" s="127"/>
      <c r="K38" s="127"/>
    </row>
    <row r="39" spans="1:91" s="459" customFormat="1">
      <c r="A39" s="632" t="s">
        <v>754</v>
      </c>
      <c r="B39" s="633"/>
      <c r="C39" s="633"/>
      <c r="D39" s="633"/>
      <c r="E39" s="633"/>
      <c r="F39" s="633"/>
      <c r="G39" s="633"/>
      <c r="H39" s="633"/>
      <c r="I39" s="127"/>
      <c r="J39" s="127"/>
      <c r="K39" s="647"/>
    </row>
    <row r="40" spans="1:91" s="459" customFormat="1">
      <c r="A40" s="26"/>
      <c r="B40" s="26" t="str">
        <f>Commodities!K42</f>
        <v>T-AVI_DOM00</v>
      </c>
      <c r="C40" s="26" t="str">
        <f>Commodities!L42</f>
        <v>TRA Domestic Aviation: Aviation for Domestic Flights</v>
      </c>
      <c r="D40" s="635" t="s">
        <v>88</v>
      </c>
      <c r="E40" s="28" t="s">
        <v>875</v>
      </c>
      <c r="F40" s="26"/>
      <c r="G40" s="635"/>
      <c r="H40" s="26"/>
      <c r="I40" s="127"/>
      <c r="J40" s="127"/>
      <c r="K40" s="127"/>
    </row>
    <row r="41" spans="1:91" s="459" customFormat="1">
      <c r="A41" s="638"/>
      <c r="B41" s="638" t="str">
        <f>Commodities!K43</f>
        <v>T-AVI_INT00</v>
      </c>
      <c r="C41" s="638" t="str">
        <f>Commodities!L43</f>
        <v>TRA International Aviation: Aviation for International Flights</v>
      </c>
      <c r="D41" s="640" t="s">
        <v>88</v>
      </c>
      <c r="E41" s="129" t="s">
        <v>875</v>
      </c>
      <c r="F41" s="638"/>
      <c r="G41" s="640"/>
      <c r="H41" s="638"/>
      <c r="I41" s="127"/>
      <c r="J41" s="127"/>
      <c r="K41" s="127"/>
      <c r="BK41" s="716"/>
      <c r="BL41" s="716"/>
      <c r="BM41" s="716"/>
      <c r="BN41" s="716"/>
      <c r="BO41" s="716"/>
      <c r="BP41" s="716"/>
      <c r="BQ41" s="716"/>
      <c r="BR41" s="716"/>
      <c r="BS41" s="716"/>
      <c r="BT41" s="716"/>
      <c r="BU41" s="716"/>
      <c r="BV41" s="716"/>
      <c r="BW41" s="716"/>
      <c r="BX41" s="716"/>
      <c r="BY41" s="716"/>
      <c r="BZ41" s="716"/>
      <c r="CA41" s="716"/>
      <c r="CB41" s="716"/>
      <c r="CC41" s="716"/>
      <c r="CD41" s="716"/>
      <c r="CE41" s="716"/>
      <c r="CF41" s="716"/>
      <c r="CG41" s="716"/>
      <c r="CH41" s="716"/>
      <c r="CI41" s="716"/>
      <c r="CJ41" s="716"/>
      <c r="CK41" s="716"/>
      <c r="CL41" s="716"/>
      <c r="CM41" s="716"/>
    </row>
    <row r="42" spans="1:91" s="459" customFormat="1">
      <c r="I42" s="127"/>
      <c r="J42" s="127"/>
      <c r="K42" s="127"/>
      <c r="AK42" s="716"/>
      <c r="BK42" s="716"/>
      <c r="BL42" s="716"/>
      <c r="BM42" s="716"/>
      <c r="BN42" s="716"/>
      <c r="BO42" s="716"/>
      <c r="BP42" s="716"/>
      <c r="BQ42" s="716"/>
      <c r="BR42" s="716"/>
      <c r="BS42" s="716"/>
      <c r="BT42" s="716"/>
      <c r="BU42" s="716"/>
      <c r="BV42" s="716"/>
      <c r="BW42" s="716"/>
      <c r="BX42" s="716"/>
      <c r="BY42" s="716"/>
      <c r="BZ42" s="716"/>
      <c r="CA42" s="716"/>
      <c r="CB42" s="716"/>
      <c r="CC42" s="716"/>
      <c r="CD42" s="716"/>
      <c r="CE42" s="716"/>
      <c r="CF42" s="716"/>
      <c r="CG42" s="716"/>
      <c r="CH42" s="716"/>
      <c r="CI42" s="716"/>
      <c r="CJ42" s="716"/>
      <c r="CK42" s="716"/>
      <c r="CL42" s="716"/>
      <c r="CM42" s="716"/>
    </row>
    <row r="43" spans="1:91" s="459" customFormat="1">
      <c r="A43" s="127"/>
      <c r="B43" s="127"/>
      <c r="C43" s="127"/>
      <c r="D43" s="28"/>
      <c r="E43" s="28"/>
      <c r="F43" s="127"/>
      <c r="G43" s="127"/>
      <c r="H43" s="586"/>
      <c r="I43" s="127"/>
      <c r="J43" s="127"/>
      <c r="BK43" s="716"/>
      <c r="BL43" s="716"/>
      <c r="BM43" s="716"/>
      <c r="BN43" s="716"/>
      <c r="BO43" s="716"/>
      <c r="BP43" s="716"/>
      <c r="BQ43" s="716"/>
      <c r="BR43" s="716"/>
      <c r="BS43" s="716"/>
      <c r="BT43" s="716"/>
      <c r="BU43" s="716"/>
      <c r="BV43" s="716"/>
      <c r="BW43" s="716"/>
      <c r="BX43" s="716"/>
      <c r="BY43" s="716"/>
      <c r="BZ43" s="716"/>
      <c r="CA43" s="716"/>
      <c r="CB43" s="716"/>
      <c r="CC43" s="716"/>
      <c r="CD43" s="716"/>
      <c r="CE43" s="716"/>
      <c r="CF43" s="716"/>
      <c r="CG43" s="716"/>
      <c r="CH43" s="716"/>
      <c r="CI43" s="716"/>
      <c r="CJ43" s="716"/>
      <c r="CK43" s="716"/>
      <c r="CL43" s="716"/>
      <c r="CM43" s="716"/>
    </row>
    <row r="44" spans="1:9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c r="BK44" s="716"/>
      <c r="BL44" s="716"/>
      <c r="BM44" s="716"/>
      <c r="BN44" s="716"/>
      <c r="BO44" s="716"/>
      <c r="BP44" s="716"/>
      <c r="BQ44" s="716"/>
      <c r="BR44" s="716"/>
      <c r="BS44" s="716"/>
      <c r="BT44" s="716"/>
      <c r="BU44" s="716"/>
      <c r="BV44" s="716"/>
      <c r="BW44" s="716"/>
      <c r="BX44" s="716"/>
      <c r="BY44" s="716"/>
      <c r="BZ44" s="716"/>
      <c r="CA44" s="716"/>
      <c r="CB44" s="716"/>
      <c r="CC44" s="716"/>
      <c r="CD44" s="716"/>
      <c r="CE44" s="716"/>
      <c r="CF44" s="716"/>
      <c r="CG44" s="716"/>
      <c r="CH44" s="716"/>
      <c r="CI44" s="716"/>
      <c r="CJ44" s="716"/>
      <c r="CK44" s="716"/>
      <c r="CL44" s="716"/>
      <c r="CM44" s="716"/>
    </row>
    <row r="45" spans="1:9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BK45" s="716"/>
      <c r="BL45" s="716"/>
      <c r="BM45" s="716"/>
      <c r="BN45" s="716"/>
      <c r="BO45" s="716"/>
      <c r="BP45" s="716"/>
      <c r="BQ45" s="716"/>
      <c r="BR45" s="716"/>
      <c r="BS45" s="716"/>
      <c r="BT45" s="716"/>
      <c r="BU45" s="716"/>
      <c r="BV45" s="716"/>
      <c r="BW45" s="716"/>
      <c r="BX45" s="716"/>
      <c r="BY45" s="716"/>
      <c r="BZ45" s="716"/>
      <c r="CA45" s="716"/>
      <c r="CB45" s="716"/>
      <c r="CC45" s="716"/>
      <c r="CD45" s="716"/>
      <c r="CE45" s="716"/>
      <c r="CF45" s="716"/>
      <c r="CG45" s="716"/>
      <c r="CH45" s="716"/>
      <c r="CI45" s="716"/>
      <c r="CJ45" s="716"/>
      <c r="CK45" s="716"/>
      <c r="CL45" s="716"/>
      <c r="CM45" s="716"/>
    </row>
    <row r="46" spans="1:9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G46" t="s">
        <v>1108</v>
      </c>
      <c r="BK46" s="716" t="s">
        <v>325</v>
      </c>
      <c r="BL46" s="716"/>
      <c r="BM46" s="716"/>
      <c r="BN46" s="716"/>
      <c r="BO46" s="716"/>
      <c r="BP46" s="716"/>
      <c r="BQ46" s="716"/>
      <c r="BR46" s="716"/>
      <c r="BS46" s="716"/>
      <c r="BT46" s="716"/>
      <c r="BU46" s="716"/>
      <c r="BV46" s="716"/>
      <c r="BW46" s="716"/>
      <c r="BX46" s="716"/>
      <c r="BY46" s="716"/>
      <c r="BZ46" s="716"/>
      <c r="CA46" s="716"/>
      <c r="CB46" s="716"/>
      <c r="CC46" s="716"/>
      <c r="CD46" s="716"/>
      <c r="CE46" s="716"/>
      <c r="CF46" s="716"/>
      <c r="CG46" s="716"/>
      <c r="CH46" s="716"/>
      <c r="CI46" s="716"/>
      <c r="CJ46" s="716"/>
      <c r="CK46" s="716"/>
      <c r="CL46" s="716"/>
      <c r="CM46" s="716"/>
    </row>
    <row r="47" spans="1:91">
      <c r="A47" s="448"/>
      <c r="C47" s="448"/>
      <c r="D47" s="453" t="s">
        <v>987</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G47" t="s">
        <v>1096</v>
      </c>
      <c r="BK47" s="716" t="s">
        <v>1105</v>
      </c>
      <c r="BL47" s="716"/>
      <c r="BM47" s="716"/>
      <c r="BN47" s="716"/>
      <c r="BO47" s="716"/>
      <c r="BP47" s="716"/>
      <c r="BQ47" s="716"/>
      <c r="BR47" s="716"/>
      <c r="BS47" s="716"/>
      <c r="BT47" s="716"/>
      <c r="BU47" s="716"/>
      <c r="BV47" s="716"/>
      <c r="BW47" s="716"/>
      <c r="BX47" s="716"/>
      <c r="BY47" s="716"/>
      <c r="BZ47" s="716"/>
      <c r="CA47" s="716"/>
      <c r="CB47" s="716"/>
      <c r="CC47" s="716"/>
      <c r="CD47" s="716"/>
      <c r="CE47" s="716"/>
      <c r="CF47" s="716"/>
      <c r="CG47" s="716"/>
      <c r="CH47" s="716"/>
      <c r="CI47" s="716"/>
      <c r="CJ47" s="716"/>
      <c r="CK47" s="716"/>
      <c r="CL47" s="716"/>
      <c r="CM47" s="716"/>
    </row>
    <row r="48" spans="1:91" ht="15.7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c r="AG48" s="41"/>
      <c r="AH48" s="41" t="str">
        <f>E48</f>
        <v>IE</v>
      </c>
      <c r="AI48" s="41" t="str">
        <f t="shared" ref="AI48:BH48" si="0">F48</f>
        <v>IE-CW</v>
      </c>
      <c r="AJ48" s="41" t="str">
        <f t="shared" si="0"/>
        <v>IE-D</v>
      </c>
      <c r="AK48" s="41" t="str">
        <f t="shared" si="0"/>
        <v>IE-KE</v>
      </c>
      <c r="AL48" s="41" t="str">
        <f t="shared" si="0"/>
        <v>IE-KK</v>
      </c>
      <c r="AM48" s="41" t="str">
        <f t="shared" si="0"/>
        <v>IE-LS</v>
      </c>
      <c r="AN48" s="41" t="str">
        <f t="shared" si="0"/>
        <v>IE-LD</v>
      </c>
      <c r="AO48" s="41" t="str">
        <f t="shared" si="0"/>
        <v>IE-LH</v>
      </c>
      <c r="AP48" s="41" t="str">
        <f t="shared" si="0"/>
        <v>IE-MH</v>
      </c>
      <c r="AQ48" s="41" t="str">
        <f t="shared" si="0"/>
        <v>IE-OY</v>
      </c>
      <c r="AR48" s="41" t="str">
        <f t="shared" si="0"/>
        <v>IE-WH</v>
      </c>
      <c r="AS48" s="41" t="str">
        <f t="shared" si="0"/>
        <v>IE-WX</v>
      </c>
      <c r="AT48" s="41" t="str">
        <f t="shared" si="0"/>
        <v>IE-WW</v>
      </c>
      <c r="AU48" s="41" t="str">
        <f t="shared" si="0"/>
        <v>IE-CE</v>
      </c>
      <c r="AV48" s="41" t="str">
        <f t="shared" si="0"/>
        <v>IE-CO</v>
      </c>
      <c r="AW48" s="41" t="str">
        <f t="shared" si="0"/>
        <v>IE-KY</v>
      </c>
      <c r="AX48" s="41" t="str">
        <f t="shared" si="0"/>
        <v>IE-LK</v>
      </c>
      <c r="AY48" s="41" t="str">
        <f t="shared" si="0"/>
        <v>IE-TA</v>
      </c>
      <c r="AZ48" s="41" t="str">
        <f t="shared" si="0"/>
        <v>IE-WD</v>
      </c>
      <c r="BA48" s="41" t="str">
        <f t="shared" si="0"/>
        <v>IE-G</v>
      </c>
      <c r="BB48" s="41" t="str">
        <f t="shared" si="0"/>
        <v>IE-LM</v>
      </c>
      <c r="BC48" s="41" t="str">
        <f t="shared" si="0"/>
        <v>IE-MO</v>
      </c>
      <c r="BD48" s="41" t="str">
        <f t="shared" si="0"/>
        <v>IE-RN</v>
      </c>
      <c r="BE48" s="41" t="str">
        <f t="shared" si="0"/>
        <v>IE-SO</v>
      </c>
      <c r="BF48" s="41" t="str">
        <f t="shared" si="0"/>
        <v>IE-CN</v>
      </c>
      <c r="BG48" s="41" t="str">
        <f t="shared" si="0"/>
        <v>IE-DL</v>
      </c>
      <c r="BH48" s="41" t="str">
        <f t="shared" si="0"/>
        <v>IE-MN</v>
      </c>
      <c r="BK48" s="41" t="s">
        <v>1107</v>
      </c>
      <c r="BL48" s="41" t="str">
        <f t="shared" ref="BL48:CL48" si="1">AH48</f>
        <v>IE</v>
      </c>
      <c r="BM48" s="41" t="str">
        <f t="shared" si="1"/>
        <v>IE-CW</v>
      </c>
      <c r="BN48" s="41" t="str">
        <f t="shared" si="1"/>
        <v>IE-D</v>
      </c>
      <c r="BO48" s="41" t="str">
        <f t="shared" si="1"/>
        <v>IE-KE</v>
      </c>
      <c r="BP48" s="41" t="str">
        <f t="shared" si="1"/>
        <v>IE-KK</v>
      </c>
      <c r="BQ48" s="41" t="str">
        <f t="shared" si="1"/>
        <v>IE-LS</v>
      </c>
      <c r="BR48" s="41" t="str">
        <f t="shared" si="1"/>
        <v>IE-LD</v>
      </c>
      <c r="BS48" s="41" t="str">
        <f t="shared" si="1"/>
        <v>IE-LH</v>
      </c>
      <c r="BT48" s="41" t="str">
        <f t="shared" si="1"/>
        <v>IE-MH</v>
      </c>
      <c r="BU48" s="41" t="str">
        <f t="shared" si="1"/>
        <v>IE-OY</v>
      </c>
      <c r="BV48" s="41" t="str">
        <f t="shared" si="1"/>
        <v>IE-WH</v>
      </c>
      <c r="BW48" s="41" t="str">
        <f t="shared" si="1"/>
        <v>IE-WX</v>
      </c>
      <c r="BX48" s="41" t="str">
        <f t="shared" si="1"/>
        <v>IE-WW</v>
      </c>
      <c r="BY48" s="41" t="str">
        <f t="shared" si="1"/>
        <v>IE-CE</v>
      </c>
      <c r="BZ48" s="41" t="str">
        <f t="shared" si="1"/>
        <v>IE-CO</v>
      </c>
      <c r="CA48" s="41" t="str">
        <f t="shared" si="1"/>
        <v>IE-KY</v>
      </c>
      <c r="CB48" s="41" t="str">
        <f t="shared" si="1"/>
        <v>IE-LK</v>
      </c>
      <c r="CC48" s="41" t="str">
        <f t="shared" si="1"/>
        <v>IE-TA</v>
      </c>
      <c r="CD48" s="41" t="str">
        <f t="shared" si="1"/>
        <v>IE-WD</v>
      </c>
      <c r="CE48" s="41" t="str">
        <f t="shared" si="1"/>
        <v>IE-G</v>
      </c>
      <c r="CF48" s="41" t="str">
        <f t="shared" si="1"/>
        <v>IE-LM</v>
      </c>
      <c r="CG48" s="41" t="str">
        <f t="shared" si="1"/>
        <v>IE-MO</v>
      </c>
      <c r="CH48" s="41" t="str">
        <f t="shared" si="1"/>
        <v>IE-RN</v>
      </c>
      <c r="CI48" s="41" t="str">
        <f t="shared" si="1"/>
        <v>IE-SO</v>
      </c>
      <c r="CJ48" s="41" t="str">
        <f t="shared" si="1"/>
        <v>IE-CN</v>
      </c>
      <c r="CK48" s="41" t="str">
        <f t="shared" si="1"/>
        <v>IE-DL</v>
      </c>
      <c r="CL48" s="41" t="str">
        <f t="shared" si="1"/>
        <v>IE-MN</v>
      </c>
      <c r="CM48" s="716"/>
    </row>
    <row r="49" spans="1:91" s="459" customFormat="1" ht="15.75">
      <c r="A49" s="455" t="s">
        <v>539</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c r="AG49" s="455" t="str">
        <f>A49</f>
        <v>*Two-wheelers</v>
      </c>
      <c r="AH49" s="776"/>
      <c r="AI49" s="776"/>
      <c r="AJ49" s="776"/>
      <c r="AK49" s="776"/>
      <c r="AL49" s="776"/>
      <c r="AM49" s="776"/>
      <c r="AN49" s="776"/>
      <c r="AO49" s="776"/>
      <c r="AP49" s="776"/>
      <c r="AQ49" s="776"/>
      <c r="AR49" s="776"/>
      <c r="AS49" s="776"/>
      <c r="AT49" s="776"/>
      <c r="AU49" s="776"/>
      <c r="AV49" s="776"/>
      <c r="AW49" s="776"/>
      <c r="AX49" s="776"/>
      <c r="AY49" s="776"/>
      <c r="AZ49" s="776"/>
      <c r="BA49" s="776"/>
      <c r="BB49" s="776"/>
      <c r="BC49" s="776"/>
      <c r="BD49" s="776"/>
      <c r="BE49" s="776"/>
      <c r="BF49" s="776"/>
      <c r="BG49" s="776"/>
      <c r="BH49" s="776"/>
      <c r="BK49" s="455" t="s">
        <v>1106</v>
      </c>
      <c r="BL49" s="776"/>
      <c r="BM49" s="776"/>
      <c r="BN49" s="776"/>
      <c r="BO49" s="776"/>
      <c r="BP49" s="776"/>
      <c r="BQ49" s="776"/>
      <c r="BR49" s="776"/>
      <c r="BS49" s="776"/>
      <c r="BT49" s="776"/>
      <c r="BU49" s="776"/>
      <c r="BV49" s="776"/>
      <c r="BW49" s="776"/>
      <c r="BX49" s="776"/>
      <c r="BY49" s="776"/>
      <c r="BZ49" s="776"/>
      <c r="CA49" s="776"/>
      <c r="CB49" s="776"/>
      <c r="CC49" s="776"/>
      <c r="CD49" s="776"/>
      <c r="CE49" s="776"/>
      <c r="CF49" s="776"/>
      <c r="CG49" s="776"/>
      <c r="CH49" s="776"/>
      <c r="CI49" s="776"/>
      <c r="CJ49" s="776"/>
      <c r="CK49" s="776"/>
      <c r="CL49" s="776"/>
      <c r="CM49" s="716"/>
    </row>
    <row r="50" spans="1:91" s="459" customFormat="1">
      <c r="A50" s="448" t="str">
        <f>Commodities!K11</f>
        <v>T-MOT-ICE_GSL00</v>
      </c>
      <c r="B50" s="28" t="s">
        <v>873</v>
      </c>
      <c r="C50" s="459" t="str">
        <f>Commodities!B18</f>
        <v>TRAGSE</v>
      </c>
      <c r="D50" s="448" t="str">
        <f>Commodities!B22&amp;","&amp;Commodities!B23</f>
        <v>TRAPS,TRAPM</v>
      </c>
      <c r="E50" s="398">
        <f>SUM(F50:AE50)</f>
        <v>39.851999999999997</v>
      </c>
      <c r="F50" s="398">
        <f>D165/1000</f>
        <v>0.56299999999999994</v>
      </c>
      <c r="G50" s="398">
        <f t="shared" ref="G50:AE50" si="2">E165/1000</f>
        <v>12.616</v>
      </c>
      <c r="H50" s="398">
        <f t="shared" si="2"/>
        <v>2.1680000000000001</v>
      </c>
      <c r="I50" s="398">
        <f t="shared" si="2"/>
        <v>0.872</v>
      </c>
      <c r="J50" s="398">
        <f t="shared" si="2"/>
        <v>0.51300000000000001</v>
      </c>
      <c r="K50" s="398">
        <f t="shared" si="2"/>
        <v>0.21299999999999999</v>
      </c>
      <c r="L50" s="398">
        <f t="shared" si="2"/>
        <v>0.85499999999999998</v>
      </c>
      <c r="M50" s="398">
        <f t="shared" si="2"/>
        <v>1.6839999999999999</v>
      </c>
      <c r="N50" s="398">
        <f t="shared" si="2"/>
        <v>0.66900000000000004</v>
      </c>
      <c r="O50" s="398">
        <f t="shared" si="2"/>
        <v>0.60399999999999998</v>
      </c>
      <c r="P50" s="398">
        <f t="shared" si="2"/>
        <v>1.506</v>
      </c>
      <c r="Q50" s="398">
        <f t="shared" si="2"/>
        <v>1.554</v>
      </c>
      <c r="R50" s="398">
        <f t="shared" si="2"/>
        <v>0.92400000000000004</v>
      </c>
      <c r="S50" s="398">
        <f t="shared" si="2"/>
        <v>5.452</v>
      </c>
      <c r="T50" s="398">
        <f t="shared" si="2"/>
        <v>1.0620000000000001</v>
      </c>
      <c r="U50" s="398">
        <f t="shared" si="2"/>
        <v>1.4890000000000001</v>
      </c>
      <c r="V50" s="398">
        <f t="shared" si="2"/>
        <v>1.4119999999999999</v>
      </c>
      <c r="W50" s="398">
        <f t="shared" si="2"/>
        <v>1.2929999999999999</v>
      </c>
      <c r="X50" s="398">
        <f t="shared" si="2"/>
        <v>1.458</v>
      </c>
      <c r="Y50" s="398">
        <f t="shared" si="2"/>
        <v>0.16</v>
      </c>
      <c r="Z50" s="398">
        <f t="shared" si="2"/>
        <v>0.60499999999999998</v>
      </c>
      <c r="AA50" s="398">
        <f t="shared" si="2"/>
        <v>0.29499999999999998</v>
      </c>
      <c r="AB50" s="398">
        <f t="shared" si="2"/>
        <v>0.4</v>
      </c>
      <c r="AC50" s="398">
        <f t="shared" si="2"/>
        <v>0.44800000000000001</v>
      </c>
      <c r="AD50" s="398">
        <f t="shared" si="2"/>
        <v>0.73599999999999999</v>
      </c>
      <c r="AE50" s="398">
        <f t="shared" si="2"/>
        <v>0.30099999999999999</v>
      </c>
      <c r="AG50" s="101" t="str">
        <f t="shared" ref="AG50:AG70" si="3">A50</f>
        <v>T-MOT-ICE_GSL00</v>
      </c>
      <c r="AH50" s="658">
        <f>E50*AF!D6*ACT2FLO!D50/1000</f>
        <v>0.1197193932</v>
      </c>
      <c r="AI50" s="658">
        <f>F50*AF!E6*ACT2FLO!E50/1000</f>
        <v>1.6330940999999999E-3</v>
      </c>
      <c r="AJ50" s="658">
        <f>G50*AF!F6*ACT2FLO!F50/1000</f>
        <v>3.8829524800000001E-2</v>
      </c>
      <c r="AK50" s="658">
        <f>H50*AF!G6*ACT2FLO!G50/1000</f>
        <v>6.505734400000001E-3</v>
      </c>
      <c r="AL50" s="658">
        <f>I50*AF!H6*ACT2FLO!H50/1000</f>
        <v>2.5437984E-3</v>
      </c>
      <c r="AM50" s="658">
        <f>J50*AF!I6*ACT2FLO!I50/1000</f>
        <v>1.5292530000000002E-3</v>
      </c>
      <c r="AN50" s="658">
        <f>K50*AF!J6*ACT2FLO!J50/1000</f>
        <v>6.2534670000000006E-4</v>
      </c>
      <c r="AO50" s="658">
        <f>L50*AF!K6*ACT2FLO!K50/1000</f>
        <v>2.5938989999999998E-3</v>
      </c>
      <c r="AP50" s="658">
        <f>M50*AF!L6*ACT2FLO!L50/1000</f>
        <v>5.0422328000000001E-3</v>
      </c>
      <c r="AQ50" s="658">
        <f>N50*AF!M6*ACT2FLO!M50/1000</f>
        <v>1.9545504000000003E-3</v>
      </c>
      <c r="AR50" s="658">
        <f>O50*AF!N6*ACT2FLO!N50/1000</f>
        <v>1.7978663999999999E-3</v>
      </c>
      <c r="AS50" s="658">
        <f>P50*AF!O6*ACT2FLO!O50/1000</f>
        <v>4.4015862000000008E-3</v>
      </c>
      <c r="AT50" s="658">
        <f>Q50*AF!P6*ACT2FLO!P50/1000</f>
        <v>4.6495680000000015E-3</v>
      </c>
      <c r="AU50" s="658">
        <f>R50*AF!Q6*ACT2FLO!Q50/1000</f>
        <v>2.7707064000000005E-3</v>
      </c>
      <c r="AV50" s="658">
        <f>S50*AF!R6*ACT2FLO!R50/1000</f>
        <v>1.6120473600000004E-2</v>
      </c>
      <c r="AW50" s="658">
        <f>T50*AF!S6*ACT2FLO!S50/1000</f>
        <v>3.1307760000000005E-3</v>
      </c>
      <c r="AX50" s="658">
        <f>U50*AF!T6*ACT2FLO!T50/1000</f>
        <v>4.4223300000000012E-3</v>
      </c>
      <c r="AY50" s="658">
        <f>V50*AF!U6*ACT2FLO!U50/1000</f>
        <v>4.1843208000000003E-3</v>
      </c>
      <c r="AZ50" s="658">
        <f>W50*AF!V6*ACT2FLO!V50/1000</f>
        <v>3.7662504000000002E-3</v>
      </c>
      <c r="BA50" s="658">
        <f>X50*AF!W6*ACT2FLO!W50/1000</f>
        <v>4.3318637999999994E-3</v>
      </c>
      <c r="BB50" s="658">
        <f>Y50*AF!X6*ACT2FLO!X50/1000</f>
        <v>4.796E-4</v>
      </c>
      <c r="BC50" s="658">
        <f>Z50*AF!Y6*ACT2FLO!Y50/1000</f>
        <v>1.8088290000000003E-3</v>
      </c>
      <c r="BD50" s="658">
        <f>AA50*AF!Z6*ACT2FLO!Z50/1000</f>
        <v>8.8556050000000003E-4</v>
      </c>
      <c r="BE50" s="658">
        <f>AB50*AF!AA6*ACT2FLO!AA50/1000</f>
        <v>1.1651200000000002E-3</v>
      </c>
      <c r="BF50" s="658">
        <f>AC50*AF!AB6*ACT2FLO!AB50/1000</f>
        <v>1.3359808000000001E-3</v>
      </c>
      <c r="BG50" s="658">
        <f>AD50*AF!AC6*ACT2FLO!AC50/1000</f>
        <v>2.2612128000000006E-3</v>
      </c>
      <c r="BH50" s="658">
        <f>AE50*AF!AD6*ACT2FLO!AD50/1000</f>
        <v>9.2045800000000008E-4</v>
      </c>
      <c r="BK50" s="716" t="str">
        <f>A72</f>
        <v>T-LGT-ICE_GSL00</v>
      </c>
      <c r="BL50" s="658">
        <f>E72*AF!D23*ACT2FLO!D68/1000</f>
        <v>2.164755821344027E-2</v>
      </c>
      <c r="BM50" s="658">
        <f>F72*AF!E23*ACT2FLO!E68/1000</f>
        <v>2.5016943769836313E-4</v>
      </c>
      <c r="BN50" s="658">
        <f>G72*AF!F23*ACT2FLO!F68/1000</f>
        <v>7.0973700485429288E-3</v>
      </c>
      <c r="BO50" s="658">
        <f>H72*AF!G23*ACT2FLO!G68/1000</f>
        <v>1.1330261621994527E-3</v>
      </c>
      <c r="BP50" s="658">
        <f>I72*AF!H23*ACT2FLO!H68/1000</f>
        <v>3.3290427902171277E-4</v>
      </c>
      <c r="BQ50" s="658">
        <f>J72*AF!I23*ACT2FLO!I68/1000</f>
        <v>4.8800930608980018E-4</v>
      </c>
      <c r="BR50" s="658">
        <f>K72*AF!J23*ACT2FLO!J68/1000</f>
        <v>1.5783479852955496E-4</v>
      </c>
      <c r="BS50" s="658">
        <f>L72*AF!K23*ACT2FLO!K68/1000</f>
        <v>4.6519470018901668E-4</v>
      </c>
      <c r="BT50" s="658">
        <f>M72*AF!L23*ACT2FLO!L68/1000</f>
        <v>4.1856225537525521E-4</v>
      </c>
      <c r="BU50" s="658">
        <f>N72*AF!M23*ACT2FLO!M68/1000</f>
        <v>2.6660672661329955E-4</v>
      </c>
      <c r="BV50" s="658">
        <f>O72*AF!N23*ACT2FLO!N68/1000</f>
        <v>3.274709422983116E-4</v>
      </c>
      <c r="BW50" s="658">
        <f>P72*AF!O23*ACT2FLO!O68/1000</f>
        <v>7.1472627624083755E-4</v>
      </c>
      <c r="BX50" s="658">
        <f>Q72*AF!P23*ACT2FLO!P68/1000</f>
        <v>9.9390854789583607E-4</v>
      </c>
      <c r="BY50" s="658">
        <f>R72*AF!Q23*ACT2FLO!Q68/1000</f>
        <v>3.9838406396884747E-4</v>
      </c>
      <c r="BZ50" s="658">
        <f>S72*AF!R23*ACT2FLO!R68/1000</f>
        <v>3.7353681740376217E-3</v>
      </c>
      <c r="CA50" s="658">
        <f>T72*AF!S23*ACT2FLO!S68/1000</f>
        <v>6.4125193087460636E-4</v>
      </c>
      <c r="CB50" s="658">
        <f>U72*AF!T23*ACT2FLO!T68/1000</f>
        <v>4.7630273032818384E-4</v>
      </c>
      <c r="CC50" s="658">
        <f>V72*AF!U23*ACT2FLO!U68/1000</f>
        <v>6.2069548116929364E-4</v>
      </c>
      <c r="CD50" s="658">
        <f>W72*AF!V23*ACT2FLO!V68/1000</f>
        <v>1.045959575947751E-3</v>
      </c>
      <c r="CE50" s="658">
        <f>X72*AF!W23*ACT2FLO!W68/1000</f>
        <v>9.8273394314007403E-4</v>
      </c>
      <c r="CF50" s="658">
        <f>Y72*AF!X23*ACT2FLO!X68/1000</f>
        <v>3.9481765597168991E-5</v>
      </c>
      <c r="CG50" s="658">
        <f>Z72*AF!Y23*ACT2FLO!Y68/1000</f>
        <v>3.3154193888290212E-4</v>
      </c>
      <c r="CH50" s="658">
        <f>AA72*AF!Z23*ACT2FLO!Z68/1000</f>
        <v>2.9471417748821126E-4</v>
      </c>
      <c r="CI50" s="658">
        <f>AB72*AF!AA23*ACT2FLO!AA68/1000</f>
        <v>2.1144407638200915E-4</v>
      </c>
      <c r="CJ50" s="658">
        <f>AC72*AF!AB23*ACT2FLO!AB68/1000</f>
        <v>1.137704442242497E-4</v>
      </c>
      <c r="CK50" s="658">
        <f>AD72*AF!AC23*ACT2FLO!AC68/1000</f>
        <v>6.5214849647320691E-4</v>
      </c>
      <c r="CL50" s="658">
        <f>AE72*AF!AD23*ACT2FLO!AD68/1000</f>
        <v>1.681993376438609E-4</v>
      </c>
      <c r="CM50" s="716"/>
    </row>
    <row r="51" spans="1:91" s="459" customFormat="1" ht="15.75">
      <c r="A51" s="455" t="s">
        <v>540</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c r="AG51" s="455" t="str">
        <f t="shared" si="3"/>
        <v>*Private cars</v>
      </c>
      <c r="AH51" s="777"/>
      <c r="AI51" s="776"/>
      <c r="AJ51" s="776"/>
      <c r="AK51" s="776"/>
      <c r="AL51" s="776"/>
      <c r="AM51" s="776"/>
      <c r="AN51" s="776"/>
      <c r="AO51" s="776"/>
      <c r="AP51" s="776"/>
      <c r="AQ51" s="776"/>
      <c r="AR51" s="776"/>
      <c r="AS51" s="776"/>
      <c r="AT51" s="776"/>
      <c r="AU51" s="776"/>
      <c r="AV51" s="776"/>
      <c r="AW51" s="776"/>
      <c r="AX51" s="776"/>
      <c r="AY51" s="776"/>
      <c r="AZ51" s="776"/>
      <c r="BA51" s="776"/>
      <c r="BB51" s="776"/>
      <c r="BC51" s="776"/>
      <c r="BD51" s="776"/>
      <c r="BE51" s="776"/>
      <c r="BF51" s="776"/>
      <c r="BG51" s="776"/>
      <c r="BH51" s="776"/>
      <c r="BK51" s="716" t="str">
        <f t="shared" ref="BK51:BK52" si="4">A73</f>
        <v>T-HGT-ICE_DST00</v>
      </c>
      <c r="BL51" s="658">
        <f>E73*AF!D24*ACT2FLO!D69/1000</f>
        <v>11.515352441786558</v>
      </c>
      <c r="BM51" s="658">
        <f>F73*AF!E24*ACT2FLO!E69/1000</f>
        <v>0.1776908265543512</v>
      </c>
      <c r="BN51" s="658">
        <f>G73*AF!F24*ACT2FLO!F69/1000</f>
        <v>2.6221306015550203</v>
      </c>
      <c r="BO51" s="658">
        <f>H73*AF!G24*ACT2FLO!G69/1000</f>
        <v>0.4811510160256468</v>
      </c>
      <c r="BP51" s="658">
        <f>I73*AF!H24*ACT2FLO!H69/1000</f>
        <v>0.30981676399686997</v>
      </c>
      <c r="BQ51" s="658">
        <f>J73*AF!I24*ACT2FLO!I69/1000</f>
        <v>0.22041667088380423</v>
      </c>
      <c r="BR51" s="658">
        <f>K73*AF!J24*ACT2FLO!J69/1000</f>
        <v>0.10644614165165804</v>
      </c>
      <c r="BS51" s="658">
        <f>L73*AF!K24*ACT2FLO!K69/1000</f>
        <v>0.27889471115920395</v>
      </c>
      <c r="BT51" s="658">
        <f>M73*AF!L24*ACT2FLO!L69/1000</f>
        <v>0.42234511266501396</v>
      </c>
      <c r="BU51" s="658">
        <f>N73*AF!M24*ACT2FLO!M69/1000</f>
        <v>0.20306940012468397</v>
      </c>
      <c r="BV51" s="658">
        <f>O73*AF!N24*ACT2FLO!N69/1000</f>
        <v>0.23120030997623353</v>
      </c>
      <c r="BW51" s="658">
        <f>P73*AF!O24*ACT2FLO!O69/1000</f>
        <v>0.46724146359802399</v>
      </c>
      <c r="BX51" s="658">
        <f>Q73*AF!P24*ACT2FLO!P69/1000</f>
        <v>0.30771651782018739</v>
      </c>
      <c r="BY51" s="658">
        <f>R73*AF!Q24*ACT2FLO!Q69/1000</f>
        <v>0.30338888280344567</v>
      </c>
      <c r="BZ51" s="658">
        <f>S73*AF!R24*ACT2FLO!R69/1000</f>
        <v>1.6216923370920471</v>
      </c>
      <c r="CA51" s="658">
        <f>T73*AF!S24*ACT2FLO!S69/1000</f>
        <v>0.4416155214684373</v>
      </c>
      <c r="CB51" s="658">
        <f>U73*AF!T24*ACT2FLO!T69/1000</f>
        <v>0.49783483561849579</v>
      </c>
      <c r="CC51" s="658">
        <f>V73*AF!U24*ACT2FLO!U69/1000</f>
        <v>0.40731899152066192</v>
      </c>
      <c r="CD51" s="658">
        <f>W73*AF!V24*ACT2FLO!V69/1000</f>
        <v>0.36206218962612408</v>
      </c>
      <c r="CE51" s="658">
        <f>X73*AF!W24*ACT2FLO!W69/1000</f>
        <v>0.60407823406137595</v>
      </c>
      <c r="CF51" s="658">
        <f>Y73*AF!X24*ACT2FLO!X69/1000</f>
        <v>8.0653988424110548E-2</v>
      </c>
      <c r="CG51" s="658">
        <f>Z73*AF!Y24*ACT2FLO!Y69/1000</f>
        <v>0.30566436499430794</v>
      </c>
      <c r="CH51" s="658">
        <f>AA73*AF!Z24*ACT2FLO!Z69/1000</f>
        <v>0.1510396956020322</v>
      </c>
      <c r="CI51" s="658">
        <f>AB73*AF!AA24*ACT2FLO!AA69/1000</f>
        <v>0.16481934386777272</v>
      </c>
      <c r="CJ51" s="658">
        <f>AC73*AF!AB24*ACT2FLO!AB69/1000</f>
        <v>0.19171327315742268</v>
      </c>
      <c r="CK51" s="658">
        <f>AD73*AF!AC24*ACT2FLO!AC69/1000</f>
        <v>0.40022648420980411</v>
      </c>
      <c r="CL51" s="658">
        <f>AE73*AF!AD24*ACT2FLO!AD69/1000</f>
        <v>0.15441454192641169</v>
      </c>
      <c r="CM51" s="716"/>
    </row>
    <row r="52" spans="1:91">
      <c r="A52" s="448" t="str">
        <f>Commodities!K13</f>
        <v>T-CAR-ICE_GSL00</v>
      </c>
      <c r="B52" s="28" t="s">
        <v>873</v>
      </c>
      <c r="C52" s="716" t="str">
        <f>Commodities!B18</f>
        <v>TRAGSE</v>
      </c>
      <c r="D52" s="448" t="str">
        <f>Commodities!B22&amp;","&amp;Commodities!B23&amp;","&amp;Commodities!B24</f>
        <v>TRAPS,TRAPM,TRAPL</v>
      </c>
      <c r="E52" s="9">
        <f>SUM(F52:AE52)</f>
        <v>946.86</v>
      </c>
      <c r="F52" s="658">
        <f t="shared" ref="F52:F60" si="5">D166/1000</f>
        <v>10.795999999999999</v>
      </c>
      <c r="G52" s="658">
        <f t="shared" ref="G52:G60" si="6">E166/1000</f>
        <v>299.40800000000002</v>
      </c>
      <c r="H52" s="658">
        <f t="shared" ref="H52:AE52" si="7">F166/1000</f>
        <v>44.521000000000001</v>
      </c>
      <c r="I52" s="658">
        <f t="shared" si="7"/>
        <v>17.346</v>
      </c>
      <c r="J52" s="658">
        <f t="shared" si="7"/>
        <v>12.391</v>
      </c>
      <c r="K52" s="658">
        <f t="shared" si="7"/>
        <v>5.8040000000000003</v>
      </c>
      <c r="L52" s="658">
        <f t="shared" si="7"/>
        <v>20.722000000000001</v>
      </c>
      <c r="M52" s="658">
        <f t="shared" si="7"/>
        <v>34.216000000000001</v>
      </c>
      <c r="N52" s="658">
        <f t="shared" si="7"/>
        <v>12.252000000000001</v>
      </c>
      <c r="O52" s="658">
        <f t="shared" si="7"/>
        <v>14.417</v>
      </c>
      <c r="P52" s="658">
        <f t="shared" si="7"/>
        <v>29.236000000000001</v>
      </c>
      <c r="Q52" s="658">
        <f t="shared" si="7"/>
        <v>32.847000000000001</v>
      </c>
      <c r="R52" s="658">
        <f t="shared" si="7"/>
        <v>24.056999999999999</v>
      </c>
      <c r="S52" s="658">
        <f t="shared" si="7"/>
        <v>121.22799999999999</v>
      </c>
      <c r="T52" s="658">
        <f t="shared" si="7"/>
        <v>31.727</v>
      </c>
      <c r="U52" s="658">
        <f t="shared" si="7"/>
        <v>40.146000000000001</v>
      </c>
      <c r="V52" s="658">
        <f t="shared" si="7"/>
        <v>30.853999999999999</v>
      </c>
      <c r="W52" s="658">
        <f t="shared" si="7"/>
        <v>27.158999999999999</v>
      </c>
      <c r="X52" s="658">
        <f t="shared" si="7"/>
        <v>45.82</v>
      </c>
      <c r="Y52" s="658">
        <f t="shared" si="7"/>
        <v>4.9610000000000003</v>
      </c>
      <c r="Z52" s="658">
        <f t="shared" si="7"/>
        <v>22.404</v>
      </c>
      <c r="AA52" s="658">
        <f t="shared" si="7"/>
        <v>11.971</v>
      </c>
      <c r="AB52" s="658">
        <f t="shared" si="7"/>
        <v>11.760999999999999</v>
      </c>
      <c r="AC52" s="658">
        <f t="shared" si="7"/>
        <v>10.568</v>
      </c>
      <c r="AD52" s="658">
        <f t="shared" si="7"/>
        <v>22.398</v>
      </c>
      <c r="AE52" s="658">
        <f t="shared" si="7"/>
        <v>7.85</v>
      </c>
      <c r="AG52" s="101" t="str">
        <f t="shared" si="3"/>
        <v>T-CAR-ICE_GSL00</v>
      </c>
      <c r="AH52" s="658">
        <f>E52*AF!D7*ACT2FLO!D51/1000</f>
        <v>18.106909533018577</v>
      </c>
      <c r="AI52" s="658">
        <f>F52*AF!E7*ACT2FLO!E51/1000</f>
        <v>0.2180668061497526</v>
      </c>
      <c r="AJ52" s="658">
        <f>G52*AF!F7*ACT2FLO!F51/1000</f>
        <v>4.9233031702123737</v>
      </c>
      <c r="AK52" s="658">
        <f>H52*AF!G7*ACT2FLO!G51/1000</f>
        <v>0.89867525711270668</v>
      </c>
      <c r="AL52" s="658">
        <f>I52*AF!H7*ACT2FLO!H51/1000</f>
        <v>0.35621826432787701</v>
      </c>
      <c r="AM52" s="658">
        <f>J52*AF!I7*ACT2FLO!I51/1000</f>
        <v>0.26035967063828369</v>
      </c>
      <c r="AN52" s="658">
        <f>K52*AF!J7*ACT2FLO!J51/1000</f>
        <v>0.12142540026648706</v>
      </c>
      <c r="AO52" s="658">
        <f>L52*AF!K7*ACT2FLO!K51/1000</f>
        <v>0.40758491177739253</v>
      </c>
      <c r="AP52" s="658">
        <f>M52*AF!L7*ACT2FLO!L51/1000</f>
        <v>0.71169733840297489</v>
      </c>
      <c r="AQ52" s="658">
        <f>N52*AF!M7*ACT2FLO!M51/1000</f>
        <v>0.25829816876126876</v>
      </c>
      <c r="AR52" s="658">
        <f>O52*AF!N7*ACT2FLO!N51/1000</f>
        <v>0.2991226507134559</v>
      </c>
      <c r="AS52" s="658">
        <f>P52*AF!O7*ACT2FLO!O51/1000</f>
        <v>0.60802543695906919</v>
      </c>
      <c r="AT52" s="658">
        <f>Q52*AF!P7*ACT2FLO!P51/1000</f>
        <v>0.65724766249917688</v>
      </c>
      <c r="AU52" s="658">
        <f>R52*AF!Q7*ACT2FLO!Q51/1000</f>
        <v>0.50957748114378698</v>
      </c>
      <c r="AV52" s="658">
        <f>S52*AF!R7*ACT2FLO!R51/1000</f>
        <v>2.3638367240963061</v>
      </c>
      <c r="AW52" s="658">
        <f>T52*AF!S7*ACT2FLO!S51/1000</f>
        <v>0.65770096693205482</v>
      </c>
      <c r="AX52" s="658">
        <f>U52*AF!T7*ACT2FLO!T51/1000</f>
        <v>0.80659043502401739</v>
      </c>
      <c r="AY52" s="658">
        <f>V52*AF!U7*ACT2FLO!U51/1000</f>
        <v>0.65539351143153579</v>
      </c>
      <c r="AZ52" s="658">
        <f>W52*AF!V7*ACT2FLO!V51/1000</f>
        <v>0.5322909619003956</v>
      </c>
      <c r="BA52" s="658">
        <f>X52*AF!W7*ACT2FLO!W51/1000</f>
        <v>0.92681031385224144</v>
      </c>
      <c r="BB52" s="658">
        <f>Y52*AF!X7*ACT2FLO!X51/1000</f>
        <v>0.10794145802976565</v>
      </c>
      <c r="BC52" s="658">
        <f>Z52*AF!Y7*ACT2FLO!Y51/1000</f>
        <v>0.46754381486504826</v>
      </c>
      <c r="BD52" s="658">
        <f>AA52*AF!Z7*ACT2FLO!Z51/1000</f>
        <v>0.27464659706446604</v>
      </c>
      <c r="BE52" s="658">
        <f>AB52*AF!AA7*ACT2FLO!AA51/1000</f>
        <v>0.23557582545621453</v>
      </c>
      <c r="BF52" s="658">
        <f>AC52*AF!AB7*ACT2FLO!AB51/1000</f>
        <v>0.22418342078047424</v>
      </c>
      <c r="BG52" s="658">
        <f>AD52*AF!AC7*ACT2FLO!AC51/1000</f>
        <v>0.46374261412430856</v>
      </c>
      <c r="BH52" s="658">
        <f>AE52*AF!AD7*ACT2FLO!AD51/1000</f>
        <v>0.1614070747496574</v>
      </c>
      <c r="BK52" s="458" t="str">
        <f t="shared" si="4"/>
        <v>T-GTR-ICE_DST00</v>
      </c>
      <c r="BL52" s="779">
        <f>E74*AF!D25*ACT2FLO!D70/1000</f>
        <v>9.0838999999999989E-2</v>
      </c>
      <c r="BM52" s="779">
        <f>F74*AF!E25*ACT2FLO!E70/1000</f>
        <v>0</v>
      </c>
      <c r="BN52" s="779">
        <f>G74*AF!F25*ACT2FLO!F70/1000</f>
        <v>9.0838999999999989E-2</v>
      </c>
      <c r="BO52" s="779">
        <f>H74*AF!G25*ACT2FLO!G70/1000</f>
        <v>0</v>
      </c>
      <c r="BP52" s="779">
        <f>I74*AF!H25*ACT2FLO!H70/1000</f>
        <v>0</v>
      </c>
      <c r="BQ52" s="779">
        <f>J74*AF!I25*ACT2FLO!I70/1000</f>
        <v>0</v>
      </c>
      <c r="BR52" s="779">
        <f>K74*AF!J25*ACT2FLO!J70/1000</f>
        <v>0</v>
      </c>
      <c r="BS52" s="779">
        <f>L74*AF!K25*ACT2FLO!K70/1000</f>
        <v>0</v>
      </c>
      <c r="BT52" s="779">
        <f>M74*AF!L25*ACT2FLO!L70/1000</f>
        <v>9.0838999999999989E-2</v>
      </c>
      <c r="BU52" s="779">
        <f>N74*AF!M25*ACT2FLO!M70/1000</f>
        <v>0</v>
      </c>
      <c r="BV52" s="779">
        <f>O74*AF!N25*ACT2FLO!N70/1000</f>
        <v>0</v>
      </c>
      <c r="BW52" s="779">
        <f>P74*AF!O25*ACT2FLO!O70/1000</f>
        <v>0</v>
      </c>
      <c r="BX52" s="779">
        <f>Q74*AF!P25*ACT2FLO!P70/1000</f>
        <v>0</v>
      </c>
      <c r="BY52" s="779">
        <f>R74*AF!Q25*ACT2FLO!Q70/1000</f>
        <v>0</v>
      </c>
      <c r="BZ52" s="779">
        <f>S74*AF!R25*ACT2FLO!R70/1000</f>
        <v>0</v>
      </c>
      <c r="CA52" s="779">
        <f>T74*AF!S25*ACT2FLO!S70/1000</f>
        <v>0</v>
      </c>
      <c r="CB52" s="779">
        <f>U74*AF!T25*ACT2FLO!T70/1000</f>
        <v>0</v>
      </c>
      <c r="CC52" s="779">
        <f>V74*AF!U25*ACT2FLO!U70/1000</f>
        <v>0</v>
      </c>
      <c r="CD52" s="779">
        <f>W74*AF!V25*ACT2FLO!V70/1000</f>
        <v>9.0838999999999989E-2</v>
      </c>
      <c r="CE52" s="779">
        <f>X74*AF!W25*ACT2FLO!W70/1000</f>
        <v>0</v>
      </c>
      <c r="CF52" s="779">
        <f>Y74*AF!X25*ACT2FLO!X70/1000</f>
        <v>0</v>
      </c>
      <c r="CG52" s="779">
        <f>Z74*AF!Y25*ACT2FLO!Y70/1000</f>
        <v>9.0838999999999989E-2</v>
      </c>
      <c r="CH52" s="779">
        <f>AA74*AF!Z25*ACT2FLO!Z70/1000</f>
        <v>0</v>
      </c>
      <c r="CI52" s="779">
        <f>AB74*AF!AA25*ACT2FLO!AA70/1000</f>
        <v>0</v>
      </c>
      <c r="CJ52" s="779">
        <f>AC74*AF!AB25*ACT2FLO!AB70/1000</f>
        <v>0</v>
      </c>
      <c r="CK52" s="779">
        <f>AD74*AF!AC25*ACT2FLO!AC70/1000</f>
        <v>0</v>
      </c>
      <c r="CL52" s="779">
        <f>AE74*AF!AD25*ACT2FLO!AD70/1000</f>
        <v>0</v>
      </c>
      <c r="CM52" s="716"/>
    </row>
    <row r="53" spans="1:91">
      <c r="A53" s="448" t="str">
        <f>Commodities!K14</f>
        <v>T-CAR-ICE_DST00</v>
      </c>
      <c r="B53" s="28" t="s">
        <v>873</v>
      </c>
      <c r="C53" s="459" t="str">
        <f>Commodities!B19</f>
        <v>TRADSB</v>
      </c>
      <c r="D53" s="459" t="str">
        <f>Commodities!B22&amp;","&amp;Commodities!B23&amp;","&amp;Commodities!B24</f>
        <v>TRAPS,TRAPM,TRAPL</v>
      </c>
      <c r="E53" s="9">
        <f t="shared" ref="E53:E64" si="8">SUM(F53:AE53)</f>
        <v>1129.4039999999998</v>
      </c>
      <c r="F53" s="658">
        <f t="shared" si="5"/>
        <v>17.385000000000002</v>
      </c>
      <c r="G53" s="658">
        <f t="shared" si="6"/>
        <v>225.70599999999999</v>
      </c>
      <c r="H53" s="658">
        <f t="shared" ref="H53:AE53" si="9">F167/1000</f>
        <v>56.834000000000003</v>
      </c>
      <c r="I53" s="658">
        <f t="shared" si="9"/>
        <v>26.673999999999999</v>
      </c>
      <c r="J53" s="658">
        <f t="shared" si="9"/>
        <v>22.058</v>
      </c>
      <c r="K53" s="658">
        <f t="shared" si="9"/>
        <v>11.27</v>
      </c>
      <c r="L53" s="658">
        <f t="shared" si="9"/>
        <v>29.946999999999999</v>
      </c>
      <c r="M53" s="658">
        <f t="shared" si="9"/>
        <v>52.423999999999999</v>
      </c>
      <c r="N53" s="658">
        <f t="shared" si="9"/>
        <v>21.785</v>
      </c>
      <c r="O53" s="658">
        <f t="shared" si="9"/>
        <v>26.113</v>
      </c>
      <c r="P53" s="658">
        <f t="shared" si="9"/>
        <v>44.970999999999997</v>
      </c>
      <c r="Q53" s="658">
        <f t="shared" si="9"/>
        <v>34.195</v>
      </c>
      <c r="R53" s="658">
        <f t="shared" si="9"/>
        <v>32.584000000000003</v>
      </c>
      <c r="S53" s="658">
        <f t="shared" si="9"/>
        <v>132.29499999999999</v>
      </c>
      <c r="T53" s="658">
        <f t="shared" si="9"/>
        <v>39.247</v>
      </c>
      <c r="U53" s="658">
        <f t="shared" si="9"/>
        <v>47.853000000000002</v>
      </c>
      <c r="V53" s="658">
        <f t="shared" si="9"/>
        <v>47.713999999999999</v>
      </c>
      <c r="W53" s="658">
        <f t="shared" si="9"/>
        <v>29.673999999999999</v>
      </c>
      <c r="X53" s="658">
        <f t="shared" si="9"/>
        <v>66.337000000000003</v>
      </c>
      <c r="Y53" s="658">
        <f t="shared" si="9"/>
        <v>9.4540000000000006</v>
      </c>
      <c r="Z53" s="658">
        <f t="shared" si="9"/>
        <v>37.994</v>
      </c>
      <c r="AA53" s="658">
        <f t="shared" si="9"/>
        <v>20.248000000000001</v>
      </c>
      <c r="AB53" s="658">
        <f t="shared" si="9"/>
        <v>16.992999999999999</v>
      </c>
      <c r="AC53" s="658">
        <f t="shared" si="9"/>
        <v>20.89</v>
      </c>
      <c r="AD53" s="658">
        <f t="shared" si="9"/>
        <v>41.125</v>
      </c>
      <c r="AE53" s="658">
        <f t="shared" si="9"/>
        <v>17.634</v>
      </c>
      <c r="AG53" s="101" t="str">
        <f t="shared" si="3"/>
        <v>T-CAR-ICE_DST00</v>
      </c>
      <c r="AH53" s="658">
        <f>E53*AF!D8*ACT2FLO!D52/1000</f>
        <v>34.741372332081298</v>
      </c>
      <c r="AI53" s="658">
        <f>F53*AF!E8*ACT2FLO!E52/1000</f>
        <v>0.56367215826992334</v>
      </c>
      <c r="AJ53" s="658">
        <f>G53*AF!F8*ACT2FLO!F52/1000</f>
        <v>6.0973032808917331</v>
      </c>
      <c r="AK53" s="658">
        <f>H53*AF!G8*ACT2FLO!G52/1000</f>
        <v>1.7730201152173173</v>
      </c>
      <c r="AL53" s="658">
        <f>I53*AF!H8*ACT2FLO!H52/1000</f>
        <v>0.86560465907990058</v>
      </c>
      <c r="AM53" s="658">
        <f>J53*AF!I8*ACT2FLO!I52/1000</f>
        <v>0.73387771001437219</v>
      </c>
      <c r="AN53" s="658">
        <f>K53*AF!J8*ACT2FLO!J52/1000</f>
        <v>0.3820865601811777</v>
      </c>
      <c r="AO53" s="658">
        <f>L53*AF!K8*ACT2FLO!K52/1000</f>
        <v>0.92101499942692677</v>
      </c>
      <c r="AP53" s="658">
        <f>M53*AF!L8*ACT2FLO!L52/1000</f>
        <v>1.6579702443091546</v>
      </c>
      <c r="AQ53" s="658">
        <f>N53*AF!M8*ACT2FLO!M52/1000</f>
        <v>0.71686405345360538</v>
      </c>
      <c r="AR53" s="658">
        <f>O53*AF!N8*ACT2FLO!N52/1000</f>
        <v>0.85850336309646769</v>
      </c>
      <c r="AS53" s="658">
        <f>P53*AF!O8*ACT2FLO!O52/1000</f>
        <v>1.436417932136778</v>
      </c>
      <c r="AT53" s="658">
        <f>Q53*AF!P8*ACT2FLO!P52/1000</f>
        <v>1.0407944140734382</v>
      </c>
      <c r="AU53" s="658">
        <f>R53*AF!Q8*ACT2FLO!Q52/1000</f>
        <v>1.0705664058910511</v>
      </c>
      <c r="AV53" s="658">
        <f>S53*AF!R8*ACT2FLO!R52/1000</f>
        <v>3.9615302847675804</v>
      </c>
      <c r="AW53" s="658">
        <f>T53*AF!S8*ACT2FLO!S52/1000</f>
        <v>1.228876703300243</v>
      </c>
      <c r="AX53" s="658">
        <f>U53*AF!T8*ACT2FLO!T52/1000</f>
        <v>1.5260443384910798</v>
      </c>
      <c r="AY53" s="658">
        <f>V53*AF!U8*ACT2FLO!U52/1000</f>
        <v>1.5853264979762327</v>
      </c>
      <c r="AZ53" s="658">
        <f>W53*AF!V8*ACT2FLO!V52/1000</f>
        <v>0.9197913097643502</v>
      </c>
      <c r="BA53" s="658">
        <f>X53*AF!W8*ACT2FLO!W52/1000</f>
        <v>2.116889456726248</v>
      </c>
      <c r="BB53" s="658">
        <f>Y53*AF!X8*ACT2FLO!X52/1000</f>
        <v>0.31427002615290101</v>
      </c>
      <c r="BC53" s="658">
        <f>Z53*AF!Y8*ACT2FLO!Y52/1000</f>
        <v>1.2155497579760115</v>
      </c>
      <c r="BD53" s="658">
        <f>AA53*AF!Z8*ACT2FLO!Z52/1000</f>
        <v>0.70441238326113909</v>
      </c>
      <c r="BE53" s="658">
        <f>AB53*AF!AA8*ACT2FLO!AA52/1000</f>
        <v>0.54064340354244822</v>
      </c>
      <c r="BF53" s="658">
        <f>AC53*AF!AB8*ACT2FLO!AB52/1000</f>
        <v>0.6821766580222447</v>
      </c>
      <c r="BG53" s="658">
        <f>AD53*AF!AC8*ACT2FLO!AC52/1000</f>
        <v>1.2609269131605734</v>
      </c>
      <c r="BH53" s="658">
        <f>AE53*AF!AD8*ACT2FLO!AD52/1000</f>
        <v>0.56787787168272141</v>
      </c>
      <c r="BK53" s="716"/>
      <c r="BL53" s="716"/>
      <c r="BM53" s="716"/>
      <c r="BN53" s="716"/>
      <c r="BO53" s="716"/>
      <c r="BP53" s="716"/>
      <c r="BQ53" s="716"/>
      <c r="BR53" s="716"/>
      <c r="BS53" s="716"/>
      <c r="BT53" s="716"/>
      <c r="BU53" s="716"/>
      <c r="BV53" s="716"/>
      <c r="BW53" s="716"/>
      <c r="BX53" s="716"/>
      <c r="BY53" s="716"/>
      <c r="BZ53" s="716"/>
      <c r="CA53" s="716"/>
      <c r="CB53" s="716"/>
      <c r="CC53" s="716"/>
      <c r="CD53" s="716"/>
      <c r="CE53" s="716"/>
      <c r="CF53" s="716"/>
      <c r="CG53" s="716"/>
      <c r="CH53" s="716"/>
      <c r="CI53" s="716"/>
      <c r="CJ53" s="716"/>
      <c r="CK53" s="716"/>
      <c r="CL53" s="716"/>
      <c r="CM53" s="716"/>
    </row>
    <row r="54" spans="1:91">
      <c r="A54" s="448" t="str">
        <f>Commodities!K15</f>
        <v>T-CAR-ICE_DF00</v>
      </c>
      <c r="B54" s="28" t="s">
        <v>873</v>
      </c>
      <c r="C54" s="459" t="str">
        <f>Commodities!B8&amp;","&amp;Commodities!B12</f>
        <v>TRAGSL,TRACNG</v>
      </c>
      <c r="D54" s="459" t="str">
        <f>Commodities!B22&amp;","&amp;Commodities!B23&amp;","&amp;Commodities!B24</f>
        <v>TRAPS,TRAPM,TRAPL</v>
      </c>
      <c r="E54" s="9">
        <f t="shared" si="8"/>
        <v>6.7000000000000018E-2</v>
      </c>
      <c r="F54" s="658">
        <f t="shared" si="5"/>
        <v>0</v>
      </c>
      <c r="G54" s="658">
        <f t="shared" si="6"/>
        <v>2.8000000000000001E-2</v>
      </c>
      <c r="H54" s="658">
        <f t="shared" ref="H54:AE54" si="10">F168/1000</f>
        <v>1E-3</v>
      </c>
      <c r="I54" s="658">
        <f t="shared" si="10"/>
        <v>1E-3</v>
      </c>
      <c r="J54" s="658">
        <f t="shared" si="10"/>
        <v>0</v>
      </c>
      <c r="K54" s="658">
        <f t="shared" si="10"/>
        <v>2E-3</v>
      </c>
      <c r="L54" s="658">
        <f t="shared" si="10"/>
        <v>1E-3</v>
      </c>
      <c r="M54" s="658">
        <f t="shared" si="10"/>
        <v>2E-3</v>
      </c>
      <c r="N54" s="658">
        <f t="shared" si="10"/>
        <v>3.0000000000000001E-3</v>
      </c>
      <c r="O54" s="658">
        <f t="shared" si="10"/>
        <v>1E-3</v>
      </c>
      <c r="P54" s="658">
        <f t="shared" si="10"/>
        <v>3.0000000000000001E-3</v>
      </c>
      <c r="Q54" s="658">
        <f t="shared" si="10"/>
        <v>5.0000000000000001E-3</v>
      </c>
      <c r="R54" s="658">
        <f t="shared" si="10"/>
        <v>1E-3</v>
      </c>
      <c r="S54" s="658">
        <f t="shared" si="10"/>
        <v>5.0000000000000001E-3</v>
      </c>
      <c r="T54" s="658">
        <f t="shared" si="10"/>
        <v>3.0000000000000001E-3</v>
      </c>
      <c r="U54" s="658">
        <f t="shared" si="10"/>
        <v>2E-3</v>
      </c>
      <c r="V54" s="658">
        <f t="shared" si="10"/>
        <v>0</v>
      </c>
      <c r="W54" s="658">
        <f t="shared" si="10"/>
        <v>0</v>
      </c>
      <c r="X54" s="658">
        <f t="shared" si="10"/>
        <v>7.0000000000000001E-3</v>
      </c>
      <c r="Y54" s="658">
        <f t="shared" si="10"/>
        <v>0</v>
      </c>
      <c r="Z54" s="658">
        <f t="shared" si="10"/>
        <v>0</v>
      </c>
      <c r="AA54" s="658">
        <f t="shared" si="10"/>
        <v>0</v>
      </c>
      <c r="AB54" s="658">
        <f t="shared" si="10"/>
        <v>0</v>
      </c>
      <c r="AC54" s="658">
        <f t="shared" si="10"/>
        <v>0</v>
      </c>
      <c r="AD54" s="658">
        <f t="shared" si="10"/>
        <v>2E-3</v>
      </c>
      <c r="AE54" s="658">
        <f t="shared" si="10"/>
        <v>0</v>
      </c>
      <c r="AG54" s="101" t="str">
        <f t="shared" si="3"/>
        <v>T-CAR-ICE_DF00</v>
      </c>
      <c r="AH54" s="658">
        <f>E54*AF!D9*ACT2FLO!D53/1000</f>
        <v>1.3439263951670231E-3</v>
      </c>
      <c r="AI54" s="658">
        <f>F54*AF!E9*ACT2FLO!E53/1000</f>
        <v>0</v>
      </c>
      <c r="AJ54" s="658">
        <f>G54*AF!F9*ACT2FLO!F53/1000</f>
        <v>5.3670041694669395E-4</v>
      </c>
      <c r="AK54" s="658">
        <f>H54*AF!G9*ACT2FLO!G53/1000</f>
        <v>2.0758356317148401E-5</v>
      </c>
      <c r="AL54" s="658">
        <f>I54*AF!H9*ACT2FLO!H53/1000</f>
        <v>2.1422301444808215E-5</v>
      </c>
      <c r="AM54" s="658">
        <f>J54*AF!I9*ACT2FLO!I53/1000</f>
        <v>0</v>
      </c>
      <c r="AN54" s="658">
        <f>K54*AF!J9*ACT2FLO!J53/1000</f>
        <v>4.1788258731452048E-5</v>
      </c>
      <c r="AO54" s="658">
        <f>L54*AF!K9*ACT2FLO!K53/1000</f>
        <v>2.0013842567255704E-5</v>
      </c>
      <c r="AP54" s="658">
        <f>M54*AF!L9*ACT2FLO!L53/1000</f>
        <v>4.2083677012972596E-5</v>
      </c>
      <c r="AQ54" s="658">
        <f>N54*AF!M9*ACT2FLO!M53/1000</f>
        <v>6.4915929346856155E-5</v>
      </c>
      <c r="AR54" s="658">
        <f>O54*AF!N9*ACT2FLO!N53/1000</f>
        <v>2.0901589423340182E-5</v>
      </c>
      <c r="AS54" s="658">
        <f>P54*AF!O9*ACT2FLO!O53/1000</f>
        <v>6.3255320521945197E-5</v>
      </c>
      <c r="AT54" s="658">
        <f>Q54*AF!P9*ACT2FLO!P53/1000</f>
        <v>1.0380670170097029E-4</v>
      </c>
      <c r="AU54" s="658">
        <f>R54*AF!Q9*ACT2FLO!Q53/1000</f>
        <v>2.1004538218415522E-5</v>
      </c>
      <c r="AV54" s="658">
        <f>S54*AF!R9*ACT2FLO!R53/1000</f>
        <v>9.9629069437043359E-5</v>
      </c>
      <c r="AW54" s="658">
        <f>T54*AF!S9*ACT2FLO!S53/1000</f>
        <v>6.1679756353835605E-5</v>
      </c>
      <c r="AX54" s="658">
        <f>U54*AF!T9*ACT2FLO!T53/1000</f>
        <v>4.1543568841707752E-5</v>
      </c>
      <c r="AY54" s="658">
        <f>V54*AF!U9*ACT2FLO!U53/1000</f>
        <v>0</v>
      </c>
      <c r="AZ54" s="658">
        <f>W54*AF!V9*ACT2FLO!V53/1000</f>
        <v>0</v>
      </c>
      <c r="BA54" s="658">
        <f>X54*AF!W9*ACT2FLO!W53/1000</f>
        <v>1.454964876719155E-4</v>
      </c>
      <c r="BB54" s="658">
        <f>Y54*AF!X9*ACT2FLO!X53/1000</f>
        <v>0</v>
      </c>
      <c r="BC54" s="658">
        <f>Z54*AF!Y9*ACT2FLO!Y53/1000</f>
        <v>0</v>
      </c>
      <c r="BD54" s="658">
        <f>AA54*AF!Z9*ACT2FLO!Z53/1000</f>
        <v>0</v>
      </c>
      <c r="BE54" s="658">
        <f>AB54*AF!AA9*ACT2FLO!AA53/1000</f>
        <v>0</v>
      </c>
      <c r="BF54" s="658">
        <f>AC54*AF!AB9*ACT2FLO!AB53/1000</f>
        <v>0</v>
      </c>
      <c r="BG54" s="658">
        <f>AD54*AF!AC9*ACT2FLO!AC53/1000</f>
        <v>4.2683465645150677E-5</v>
      </c>
      <c r="BH54" s="658">
        <f>AE54*AF!AD9*ACT2FLO!AD53/1000</f>
        <v>0</v>
      </c>
      <c r="BK54" s="716"/>
      <c r="BL54" s="716"/>
      <c r="BM54" s="716"/>
      <c r="BN54" s="716"/>
      <c r="BO54" s="716"/>
      <c r="BP54" s="716"/>
      <c r="BQ54" s="716"/>
      <c r="BR54" s="716"/>
      <c r="BS54" s="716"/>
      <c r="BT54" s="716"/>
      <c r="BU54" s="716"/>
      <c r="BV54" s="716"/>
      <c r="BW54" s="716"/>
      <c r="BX54" s="716"/>
      <c r="BY54" s="716"/>
      <c r="BZ54" s="716"/>
      <c r="CA54" s="716"/>
      <c r="CB54" s="716"/>
      <c r="CC54" s="716"/>
      <c r="CD54" s="716"/>
      <c r="CE54" s="716"/>
      <c r="CF54" s="716"/>
      <c r="CG54" s="716"/>
      <c r="CH54" s="716"/>
      <c r="CI54" s="716"/>
      <c r="CJ54" s="716"/>
      <c r="CK54" s="716"/>
      <c r="CL54" s="716"/>
      <c r="CM54" s="716"/>
    </row>
    <row r="55" spans="1:91" ht="15.75">
      <c r="A55" s="448" t="str">
        <f>Commodities!K16</f>
        <v>T-CAR-ICE_E8500</v>
      </c>
      <c r="B55" s="28" t="s">
        <v>873</v>
      </c>
      <c r="C55" s="448" t="str">
        <f>Commodities!B20</f>
        <v>TRAE85</v>
      </c>
      <c r="D55" s="459" t="str">
        <f>Commodities!B22&amp;","&amp;Commodities!B23&amp;","&amp;Commodities!B24</f>
        <v>TRAPS,TRAPM,TRAPL</v>
      </c>
      <c r="E55" s="9">
        <f t="shared" si="8"/>
        <v>8.5289999999999999</v>
      </c>
      <c r="F55" s="658">
        <f t="shared" si="5"/>
        <v>9.8000000000000004E-2</v>
      </c>
      <c r="G55" s="658">
        <f t="shared" si="6"/>
        <v>0.26500000000000001</v>
      </c>
      <c r="H55" s="658">
        <f t="shared" ref="H55:AE55" si="11">F169/1000</f>
        <v>0.28100000000000003</v>
      </c>
      <c r="I55" s="658">
        <f t="shared" si="11"/>
        <v>0.57399999999999995</v>
      </c>
      <c r="J55" s="658">
        <f t="shared" si="11"/>
        <v>0.124</v>
      </c>
      <c r="K55" s="658">
        <f t="shared" si="11"/>
        <v>0.316</v>
      </c>
      <c r="L55" s="658">
        <f t="shared" si="11"/>
        <v>4.1000000000000002E-2</v>
      </c>
      <c r="M55" s="658">
        <f t="shared" si="11"/>
        <v>8.3000000000000004E-2</v>
      </c>
      <c r="N55" s="658">
        <f t="shared" si="11"/>
        <v>5.2999999999999999E-2</v>
      </c>
      <c r="O55" s="658">
        <f t="shared" si="11"/>
        <v>0.26</v>
      </c>
      <c r="P55" s="658">
        <f t="shared" si="11"/>
        <v>0.17699999999999999</v>
      </c>
      <c r="Q55" s="658">
        <f t="shared" si="11"/>
        <v>0.315</v>
      </c>
      <c r="R55" s="658">
        <f t="shared" si="11"/>
        <v>0.20499999999999999</v>
      </c>
      <c r="S55" s="658">
        <f t="shared" si="11"/>
        <v>1.1619999999999999</v>
      </c>
      <c r="T55" s="658">
        <f t="shared" si="11"/>
        <v>0.35</v>
      </c>
      <c r="U55" s="658">
        <f t="shared" si="11"/>
        <v>3.3000000000000002E-2</v>
      </c>
      <c r="V55" s="658">
        <f t="shared" si="11"/>
        <v>7.4999999999999997E-2</v>
      </c>
      <c r="W55" s="658">
        <f t="shared" si="11"/>
        <v>0.22900000000000001</v>
      </c>
      <c r="X55" s="658">
        <f t="shared" si="11"/>
        <v>2.6259999999999999</v>
      </c>
      <c r="Y55" s="658">
        <f t="shared" si="11"/>
        <v>0.107</v>
      </c>
      <c r="Z55" s="658">
        <f t="shared" si="11"/>
        <v>0.247</v>
      </c>
      <c r="AA55" s="658">
        <f t="shared" si="11"/>
        <v>8.5000000000000006E-2</v>
      </c>
      <c r="AB55" s="658">
        <f t="shared" si="11"/>
        <v>7.4999999999999997E-2</v>
      </c>
      <c r="AC55" s="658">
        <f t="shared" si="11"/>
        <v>9.0999999999999998E-2</v>
      </c>
      <c r="AD55" s="658">
        <f t="shared" si="11"/>
        <v>0.185</v>
      </c>
      <c r="AE55" s="658">
        <f t="shared" si="11"/>
        <v>0.47199999999999998</v>
      </c>
      <c r="AG55" s="101" t="str">
        <f t="shared" si="3"/>
        <v>T-CAR-ICE_E8500</v>
      </c>
      <c r="AH55" s="658">
        <f>E55*AF!D10*ACT2FLO!D54/1000</f>
        <v>0.17107982424447071</v>
      </c>
      <c r="AI55" s="658">
        <f>F55*AF!E10*ACT2FLO!E54/1000</f>
        <v>2.0603455680848078E-3</v>
      </c>
      <c r="AJ55" s="658">
        <f>G55*AF!F10*ACT2FLO!F54/1000</f>
        <v>5.0794860889597816E-3</v>
      </c>
      <c r="AK55" s="658">
        <f>H55*AF!G10*ACT2FLO!G54/1000</f>
        <v>5.8330981251187002E-3</v>
      </c>
      <c r="AL55" s="658">
        <f>I55*AF!H10*ACT2FLO!H54/1000</f>
        <v>1.2296401029319915E-2</v>
      </c>
      <c r="AM55" s="658">
        <f>J55*AF!I10*ACT2FLO!I54/1000</f>
        <v>2.6985475289296981E-3</v>
      </c>
      <c r="AN55" s="658">
        <f>K55*AF!J10*ACT2FLO!J54/1000</f>
        <v>6.6025448795694244E-3</v>
      </c>
      <c r="AO55" s="658">
        <f>L55*AF!K10*ACT2FLO!K54/1000</f>
        <v>8.2056754525748382E-4</v>
      </c>
      <c r="AP55" s="658">
        <f>M55*AF!L10*ACT2FLO!L54/1000</f>
        <v>1.746472596038363E-3</v>
      </c>
      <c r="AQ55" s="658">
        <f>N55*AF!M10*ACT2FLO!M54/1000</f>
        <v>1.146848085127792E-3</v>
      </c>
      <c r="AR55" s="658">
        <f>O55*AF!N10*ACT2FLO!N54/1000</f>
        <v>5.4344132500684468E-3</v>
      </c>
      <c r="AS55" s="658">
        <f>P55*AF!O10*ACT2FLO!O54/1000</f>
        <v>3.7320639107947659E-3</v>
      </c>
      <c r="AT55" s="658">
        <f>Q55*AF!P10*ACT2FLO!P54/1000</f>
        <v>6.5398222071611284E-3</v>
      </c>
      <c r="AU55" s="658">
        <f>R55*AF!Q10*ACT2FLO!Q54/1000</f>
        <v>4.305930334775181E-3</v>
      </c>
      <c r="AV55" s="658">
        <f>S55*AF!R10*ACT2FLO!R54/1000</f>
        <v>2.3153795737168879E-2</v>
      </c>
      <c r="AW55" s="658">
        <f>T55*AF!S10*ACT2FLO!S54/1000</f>
        <v>7.1959715746141538E-3</v>
      </c>
      <c r="AX55" s="658">
        <f>U55*AF!T10*ACT2FLO!T54/1000</f>
        <v>6.8546888588817798E-4</v>
      </c>
      <c r="AY55" s="658">
        <f>V55*AF!U10*ACT2FLO!U54/1000</f>
        <v>1.5536315987239721E-3</v>
      </c>
      <c r="AZ55" s="658">
        <f>W55*AF!V10*ACT2FLO!V54/1000</f>
        <v>4.7632303745113761E-3</v>
      </c>
      <c r="BA55" s="658">
        <f>X55*AF!W10*ACT2FLO!W54/1000</f>
        <v>5.4581968089492866E-2</v>
      </c>
      <c r="BB55" s="658">
        <f>Y55*AF!X10*ACT2FLO!X54/1000</f>
        <v>2.2578625295117507E-3</v>
      </c>
      <c r="BC55" s="658">
        <f>Z55*AF!Y10*ACT2FLO!Y54/1000</f>
        <v>5.2297644735623721E-3</v>
      </c>
      <c r="BD55" s="658">
        <f>AA55*AF!Z10*ACT2FLO!Z54/1000</f>
        <v>1.795024143002808E-3</v>
      </c>
      <c r="BE55" s="658">
        <f>AB55*AF!AA10*ACT2FLO!AA54/1000</f>
        <v>1.5500507710691778E-3</v>
      </c>
      <c r="BF55" s="658">
        <f>AC55*AF!AB10*ACT2FLO!AB54/1000</f>
        <v>1.9092406090985704E-3</v>
      </c>
      <c r="BG55" s="658">
        <f>AD55*AF!AC10*ACT2FLO!AC54/1000</f>
        <v>3.9482205721764379E-3</v>
      </c>
      <c r="BH55" s="658">
        <f>AE55*AF!AD10*ACT2FLO!AD54/1000</f>
        <v>9.712028190163341E-3</v>
      </c>
      <c r="BK55" s="716" t="s">
        <v>1109</v>
      </c>
      <c r="BL55" s="401"/>
      <c r="BM55" s="40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716"/>
    </row>
    <row r="56" spans="1:91">
      <c r="A56" s="448" t="str">
        <f>Commodities!K17</f>
        <v>T-CAR-HEV_GSL00</v>
      </c>
      <c r="B56" s="28" t="s">
        <v>873</v>
      </c>
      <c r="C56" s="716" t="str">
        <f>Commodities!B18</f>
        <v>TRAGSE</v>
      </c>
      <c r="D56" s="459" t="str">
        <f>Commodities!B22&amp;","&amp;Commodities!B23&amp;","&amp;Commodities!B24</f>
        <v>TRAPS,TRAPM,TRAPL</v>
      </c>
      <c r="E56" s="9">
        <f t="shared" si="8"/>
        <v>29.799999999999997</v>
      </c>
      <c r="F56" s="658">
        <f t="shared" si="5"/>
        <v>0.20499999999999999</v>
      </c>
      <c r="G56" s="658">
        <f t="shared" si="6"/>
        <v>1.109</v>
      </c>
      <c r="H56" s="658">
        <f t="shared" ref="H56:AE56" si="12">F170/1000</f>
        <v>0.57199999999999995</v>
      </c>
      <c r="I56" s="658">
        <f t="shared" si="12"/>
        <v>1.4279999999999999</v>
      </c>
      <c r="J56" s="658">
        <f t="shared" si="12"/>
        <v>0.36499999999999999</v>
      </c>
      <c r="K56" s="658">
        <f t="shared" si="12"/>
        <v>0.80500000000000005</v>
      </c>
      <c r="L56" s="658">
        <f t="shared" si="12"/>
        <v>0.159</v>
      </c>
      <c r="M56" s="658">
        <f t="shared" si="12"/>
        <v>0.45700000000000002</v>
      </c>
      <c r="N56" s="658">
        <f t="shared" si="12"/>
        <v>0.161</v>
      </c>
      <c r="O56" s="658">
        <f t="shared" si="12"/>
        <v>0.41799999999999998</v>
      </c>
      <c r="P56" s="658">
        <f t="shared" si="12"/>
        <v>0.48799999999999999</v>
      </c>
      <c r="Q56" s="658">
        <f t="shared" si="12"/>
        <v>0.61599999999999999</v>
      </c>
      <c r="R56" s="658">
        <f t="shared" si="12"/>
        <v>0.49199999999999999</v>
      </c>
      <c r="S56" s="658">
        <f t="shared" si="12"/>
        <v>2.9289999999999998</v>
      </c>
      <c r="T56" s="658">
        <f t="shared" si="12"/>
        <v>1.663</v>
      </c>
      <c r="U56" s="658">
        <f t="shared" si="12"/>
        <v>0.09</v>
      </c>
      <c r="V56" s="658">
        <f t="shared" si="12"/>
        <v>0.27300000000000002</v>
      </c>
      <c r="W56" s="658">
        <f t="shared" si="12"/>
        <v>0.56499999999999995</v>
      </c>
      <c r="X56" s="658">
        <f t="shared" si="12"/>
        <v>13.569000000000001</v>
      </c>
      <c r="Y56" s="658">
        <f t="shared" si="12"/>
        <v>0.307</v>
      </c>
      <c r="Z56" s="658">
        <f t="shared" si="12"/>
        <v>0.58299999999999996</v>
      </c>
      <c r="AA56" s="658">
        <f t="shared" si="12"/>
        <v>0.34699999999999998</v>
      </c>
      <c r="AB56" s="658">
        <f t="shared" si="12"/>
        <v>0.26500000000000001</v>
      </c>
      <c r="AC56" s="658">
        <f t="shared" si="12"/>
        <v>0.25600000000000001</v>
      </c>
      <c r="AD56" s="658">
        <f t="shared" si="12"/>
        <v>0.57299999999999995</v>
      </c>
      <c r="AE56" s="658">
        <f t="shared" si="12"/>
        <v>1.105</v>
      </c>
      <c r="AG56" s="101" t="str">
        <f t="shared" si="3"/>
        <v>T-CAR-HEV_GSL00</v>
      </c>
      <c r="AH56" s="658">
        <f>E56*AF!D11*ACT2FLO!D55/1000</f>
        <v>0.56986872830614188</v>
      </c>
      <c r="AI56" s="658">
        <f>F56*AF!E11*ACT2FLO!E55/1000</f>
        <v>4.1407646591977848E-3</v>
      </c>
      <c r="AJ56" s="658">
        <f>G56*AF!F11*ACT2FLO!F55/1000</f>
        <v>1.8235796023371189E-2</v>
      </c>
      <c r="AK56" s="658">
        <f>H56*AF!G11*ACT2FLO!G55/1000</f>
        <v>1.1546062466442087E-2</v>
      </c>
      <c r="AL56" s="658">
        <f>I56*AF!H11*ACT2FLO!H55/1000</f>
        <v>2.9325474545152101E-2</v>
      </c>
      <c r="AM56" s="658">
        <f>J56*AF!I11*ACT2FLO!I55/1000</f>
        <v>7.6693793707508316E-3</v>
      </c>
      <c r="AN56" s="658">
        <f>K56*AF!J11*ACT2FLO!J55/1000</f>
        <v>1.6841393386375272E-2</v>
      </c>
      <c r="AO56" s="658">
        <f>L56*AF!K11*ACT2FLO!K55/1000</f>
        <v>3.127400876971595E-3</v>
      </c>
      <c r="AP56" s="658">
        <f>M56*AF!L11*ACT2FLO!L55/1000</f>
        <v>9.5056606163829646E-3</v>
      </c>
      <c r="AQ56" s="658">
        <f>N56*AF!M11*ACT2FLO!M55/1000</f>
        <v>3.3942217736340412E-3</v>
      </c>
      <c r="AR56" s="658">
        <f>O56*AF!N11*ACT2FLO!N55/1000</f>
        <v>8.6726273148522263E-3</v>
      </c>
      <c r="AS56" s="658">
        <f>P56*AF!O11*ACT2FLO!O55/1000</f>
        <v>1.01490085249701E-2</v>
      </c>
      <c r="AT56" s="658">
        <f>Q56*AF!P11*ACT2FLO!P55/1000</f>
        <v>1.2325769784135321E-2</v>
      </c>
      <c r="AU56" s="658">
        <f>R56*AF!Q11*ACT2FLO!Q55/1000</f>
        <v>1.0421587094099148E-2</v>
      </c>
      <c r="AV56" s="658">
        <f>S56*AF!R11*ACT2FLO!R55/1000</f>
        <v>5.7112859775613561E-2</v>
      </c>
      <c r="AW56" s="658">
        <f>T56*AF!S11*ACT2FLO!S55/1000</f>
        <v>3.4474003467330892E-2</v>
      </c>
      <c r="AX56" s="658">
        <f>U56*AF!T11*ACT2FLO!T55/1000</f>
        <v>1.8082284449798625E-3</v>
      </c>
      <c r="AY56" s="658">
        <f>V56*AF!U11*ACT2FLO!U55/1000</f>
        <v>5.7990026777989655E-3</v>
      </c>
      <c r="AZ56" s="658">
        <f>W56*AF!V11*ACT2FLO!V55/1000</f>
        <v>1.1073470800608397E-2</v>
      </c>
      <c r="BA56" s="658">
        <f>X56*AF!W11*ACT2FLO!W55/1000</f>
        <v>0.27446287971761374</v>
      </c>
      <c r="BB56" s="658">
        <f>Y56*AF!X11*ACT2FLO!X55/1000</f>
        <v>6.6797072394956768E-3</v>
      </c>
      <c r="BC56" s="658">
        <f>Z56*AF!Y11*ACT2FLO!Y55/1000</f>
        <v>1.2166490094015492E-2</v>
      </c>
      <c r="BD56" s="658">
        <f>AA56*AF!Z11*ACT2FLO!Z55/1000</f>
        <v>7.9611034317408503E-3</v>
      </c>
      <c r="BE56" s="658">
        <f>AB56*AF!AA11*ACT2FLO!AA55/1000</f>
        <v>5.308017493911815E-3</v>
      </c>
      <c r="BF56" s="658">
        <f>AC56*AF!AB11*ACT2FLO!AB55/1000</f>
        <v>5.4306354768926379E-3</v>
      </c>
      <c r="BG56" s="658">
        <f>AD56*AF!AC11*ACT2FLO!AC55/1000</f>
        <v>1.1863760956033073E-2</v>
      </c>
      <c r="BH56" s="658">
        <f>AE56*AF!AD11*ACT2FLO!AD55/1000</f>
        <v>2.2720358929728842E-2</v>
      </c>
      <c r="BK56" s="718" t="str">
        <f>BK48</f>
        <v>Technology</v>
      </c>
      <c r="BL56" s="718" t="str">
        <f t="shared" ref="BL56:CL56" si="13">BL48</f>
        <v>IE</v>
      </c>
      <c r="BM56" s="718" t="str">
        <f t="shared" si="13"/>
        <v>IE-CW</v>
      </c>
      <c r="BN56" s="718" t="str">
        <f t="shared" si="13"/>
        <v>IE-D</v>
      </c>
      <c r="BO56" s="718" t="str">
        <f t="shared" si="13"/>
        <v>IE-KE</v>
      </c>
      <c r="BP56" s="718" t="str">
        <f t="shared" si="13"/>
        <v>IE-KK</v>
      </c>
      <c r="BQ56" s="718" t="str">
        <f t="shared" si="13"/>
        <v>IE-LS</v>
      </c>
      <c r="BR56" s="718" t="str">
        <f t="shared" si="13"/>
        <v>IE-LD</v>
      </c>
      <c r="BS56" s="718" t="str">
        <f t="shared" si="13"/>
        <v>IE-LH</v>
      </c>
      <c r="BT56" s="718" t="str">
        <f t="shared" si="13"/>
        <v>IE-MH</v>
      </c>
      <c r="BU56" s="718" t="str">
        <f t="shared" si="13"/>
        <v>IE-OY</v>
      </c>
      <c r="BV56" s="718" t="str">
        <f t="shared" si="13"/>
        <v>IE-WH</v>
      </c>
      <c r="BW56" s="718" t="str">
        <f t="shared" si="13"/>
        <v>IE-WX</v>
      </c>
      <c r="BX56" s="718" t="str">
        <f t="shared" si="13"/>
        <v>IE-WW</v>
      </c>
      <c r="BY56" s="718" t="str">
        <f t="shared" si="13"/>
        <v>IE-CE</v>
      </c>
      <c r="BZ56" s="718" t="str">
        <f t="shared" si="13"/>
        <v>IE-CO</v>
      </c>
      <c r="CA56" s="718" t="str">
        <f t="shared" si="13"/>
        <v>IE-KY</v>
      </c>
      <c r="CB56" s="718" t="str">
        <f t="shared" si="13"/>
        <v>IE-LK</v>
      </c>
      <c r="CC56" s="718" t="str">
        <f t="shared" si="13"/>
        <v>IE-TA</v>
      </c>
      <c r="CD56" s="718" t="str">
        <f t="shared" si="13"/>
        <v>IE-WD</v>
      </c>
      <c r="CE56" s="718" t="str">
        <f t="shared" si="13"/>
        <v>IE-G</v>
      </c>
      <c r="CF56" s="718" t="str">
        <f t="shared" si="13"/>
        <v>IE-LM</v>
      </c>
      <c r="CG56" s="718" t="str">
        <f t="shared" si="13"/>
        <v>IE-MO</v>
      </c>
      <c r="CH56" s="718" t="str">
        <f t="shared" si="13"/>
        <v>IE-RN</v>
      </c>
      <c r="CI56" s="718" t="str">
        <f t="shared" si="13"/>
        <v>IE-SO</v>
      </c>
      <c r="CJ56" s="718" t="str">
        <f t="shared" si="13"/>
        <v>IE-CN</v>
      </c>
      <c r="CK56" s="718" t="str">
        <f t="shared" si="13"/>
        <v>IE-DL</v>
      </c>
      <c r="CL56" s="718" t="str">
        <f t="shared" si="13"/>
        <v>IE-MN</v>
      </c>
      <c r="CM56" s="716"/>
    </row>
    <row r="57" spans="1:91">
      <c r="A57" s="459" t="str">
        <f>Commodities!K18</f>
        <v>T-CAR-HEV_DST00</v>
      </c>
      <c r="B57" s="28" t="s">
        <v>873</v>
      </c>
      <c r="C57" s="716" t="str">
        <f>Commodities!B19</f>
        <v>TRADSB</v>
      </c>
      <c r="D57" s="459" t="str">
        <f>Commodities!B22&amp;","&amp;Commodities!B23&amp;","&amp;Commodities!B24</f>
        <v>TRAPS,TRAPM,TRAPL</v>
      </c>
      <c r="E57" s="9">
        <f t="shared" si="8"/>
        <v>0.77300000000000024</v>
      </c>
      <c r="F57" s="658">
        <f t="shared" si="5"/>
        <v>1.4E-2</v>
      </c>
      <c r="G57" s="658">
        <f t="shared" si="6"/>
        <v>3.3000000000000002E-2</v>
      </c>
      <c r="H57" s="658">
        <f t="shared" ref="H57:AE57" si="14">F171/1000</f>
        <v>1.9E-2</v>
      </c>
      <c r="I57" s="658">
        <f t="shared" si="14"/>
        <v>4.2999999999999997E-2</v>
      </c>
      <c r="J57" s="658">
        <f t="shared" si="14"/>
        <v>1.6E-2</v>
      </c>
      <c r="K57" s="658">
        <f t="shared" si="14"/>
        <v>2.4E-2</v>
      </c>
      <c r="L57" s="658">
        <f t="shared" si="14"/>
        <v>8.0000000000000002E-3</v>
      </c>
      <c r="M57" s="658">
        <f t="shared" si="14"/>
        <v>1.2999999999999999E-2</v>
      </c>
      <c r="N57" s="658">
        <f t="shared" si="14"/>
        <v>0.01</v>
      </c>
      <c r="O57" s="658">
        <f t="shared" si="14"/>
        <v>2.3E-2</v>
      </c>
      <c r="P57" s="658">
        <f t="shared" si="14"/>
        <v>1.6E-2</v>
      </c>
      <c r="Q57" s="658">
        <f t="shared" si="14"/>
        <v>1.7000000000000001E-2</v>
      </c>
      <c r="R57" s="658">
        <f t="shared" si="14"/>
        <v>1.2999999999999999E-2</v>
      </c>
      <c r="S57" s="658">
        <f t="shared" si="14"/>
        <v>7.0999999999999994E-2</v>
      </c>
      <c r="T57" s="658">
        <f t="shared" si="14"/>
        <v>3.2000000000000001E-2</v>
      </c>
      <c r="U57" s="658">
        <f t="shared" si="14"/>
        <v>2E-3</v>
      </c>
      <c r="V57" s="658">
        <f t="shared" si="14"/>
        <v>4.0000000000000001E-3</v>
      </c>
      <c r="W57" s="658">
        <f t="shared" si="14"/>
        <v>1.2999999999999999E-2</v>
      </c>
      <c r="X57" s="658">
        <f t="shared" si="14"/>
        <v>0.28699999999999998</v>
      </c>
      <c r="Y57" s="658">
        <f t="shared" si="14"/>
        <v>1.6E-2</v>
      </c>
      <c r="Z57" s="658">
        <f t="shared" si="14"/>
        <v>1.7000000000000001E-2</v>
      </c>
      <c r="AA57" s="658">
        <f t="shared" si="14"/>
        <v>1.0999999999999999E-2</v>
      </c>
      <c r="AB57" s="658">
        <f t="shared" si="14"/>
        <v>5.0000000000000001E-3</v>
      </c>
      <c r="AC57" s="658">
        <f t="shared" si="14"/>
        <v>1.6E-2</v>
      </c>
      <c r="AD57" s="658">
        <f t="shared" si="14"/>
        <v>1.2E-2</v>
      </c>
      <c r="AE57" s="658">
        <f t="shared" si="14"/>
        <v>3.7999999999999999E-2</v>
      </c>
      <c r="AF57" s="451"/>
      <c r="AG57" s="101" t="str">
        <f t="shared" si="3"/>
        <v>T-CAR-HEV_DST00</v>
      </c>
      <c r="AH57" s="658">
        <f>E57*AF!D12*ACT2FLO!D56/1000</f>
        <v>2.3778099610678605E-2</v>
      </c>
      <c r="AI57" s="658">
        <f>F57*AF!E12*ACT2FLO!E56/1000</f>
        <v>4.5392063363698166E-4</v>
      </c>
      <c r="AJ57" s="658">
        <f>G57*AF!F12*ACT2FLO!F56/1000</f>
        <v>8.914739008685069E-4</v>
      </c>
      <c r="AK57" s="658">
        <f>H57*AF!G12*ACT2FLO!G56/1000</f>
        <v>5.9273290968661413E-4</v>
      </c>
      <c r="AL57" s="658">
        <f>I57*AF!H12*ACT2FLO!H56/1000</f>
        <v>1.3954037767277393E-3</v>
      </c>
      <c r="AM57" s="658">
        <f>J57*AF!I12*ACT2FLO!I56/1000</f>
        <v>5.3232583916175337E-4</v>
      </c>
      <c r="AN57" s="658">
        <f>K57*AF!J12*ACT2FLO!J56/1000</f>
        <v>8.1367146799895878E-4</v>
      </c>
      <c r="AO57" s="658">
        <f>L57*AF!K12*ACT2FLO!K56/1000</f>
        <v>2.4603866816093144E-4</v>
      </c>
      <c r="AP57" s="658">
        <f>M57*AF!L12*ACT2FLO!L56/1000</f>
        <v>4.1114018724284693E-4</v>
      </c>
      <c r="AQ57" s="658">
        <f>N57*AF!M12*ACT2FLO!M56/1000</f>
        <v>3.2906314136038807E-4</v>
      </c>
      <c r="AR57" s="658">
        <f>O57*AF!N12*ACT2FLO!N56/1000</f>
        <v>7.5615889982839023E-4</v>
      </c>
      <c r="AS57" s="658">
        <f>P57*AF!O12*ACT2FLO!O56/1000</f>
        <v>5.1105572289227399E-4</v>
      </c>
      <c r="AT57" s="658">
        <f>Q57*AF!P12*ACT2FLO!P56/1000</f>
        <v>5.1742959611780813E-4</v>
      </c>
      <c r="AU57" s="658">
        <f>R57*AF!Q12*ACT2FLO!Q56/1000</f>
        <v>4.2712261467541316E-4</v>
      </c>
      <c r="AV57" s="658">
        <f>S57*AF!R12*ACT2FLO!R56/1000</f>
        <v>2.1260716596885614E-3</v>
      </c>
      <c r="AW57" s="658">
        <f>T57*AF!S12*ACT2FLO!S56/1000</f>
        <v>1.0019633221802374E-3</v>
      </c>
      <c r="AX57" s="658">
        <f>U57*AF!T12*ACT2FLO!T56/1000</f>
        <v>6.3780508577981733E-5</v>
      </c>
      <c r="AY57" s="658">
        <f>V57*AF!U12*ACT2FLO!U56/1000</f>
        <v>1.3290241840769858E-4</v>
      </c>
      <c r="AZ57" s="658">
        <f>W57*AF!V12*ACT2FLO!V56/1000</f>
        <v>4.0295501202859576E-4</v>
      </c>
      <c r="BA57" s="658">
        <f>X57*AF!W12*ACT2FLO!W56/1000</f>
        <v>9.1584978832391119E-3</v>
      </c>
      <c r="BB57" s="658">
        <f>Y57*AF!X12*ACT2FLO!X56/1000</f>
        <v>5.3187226765881272E-4</v>
      </c>
      <c r="BC57" s="658">
        <f>Z57*AF!Y12*ACT2FLO!Y56/1000</f>
        <v>5.4388445242912553E-4</v>
      </c>
      <c r="BD57" s="658">
        <f>AA57*AF!Z12*ACT2FLO!Z56/1000</f>
        <v>3.8268155945636747E-4</v>
      </c>
      <c r="BE57" s="658">
        <f>AB57*AF!AA12*ACT2FLO!AA56/1000</f>
        <v>1.5907826856424655E-4</v>
      </c>
      <c r="BF57" s="658">
        <f>AC57*AF!AB12*ACT2FLO!AB56/1000</f>
        <v>5.2249049920325113E-4</v>
      </c>
      <c r="BG57" s="658">
        <f>AD57*AF!AC12*ACT2FLO!AC56/1000</f>
        <v>3.679300415301369E-4</v>
      </c>
      <c r="BH57" s="658">
        <f>AE57*AF!AD12*ACT2FLO!AD56/1000</f>
        <v>1.2237359149338445E-3</v>
      </c>
      <c r="BK57" s="716" t="str">
        <f>BK50</f>
        <v>T-LGT-ICE_GSL00</v>
      </c>
      <c r="BL57" s="658"/>
      <c r="BM57" s="658"/>
      <c r="BN57" s="658"/>
      <c r="BO57" s="658"/>
      <c r="BP57" s="658"/>
      <c r="BQ57" s="658"/>
      <c r="BR57" s="658"/>
      <c r="BS57" s="658"/>
      <c r="BT57" s="658"/>
      <c r="BU57" s="658"/>
      <c r="BV57" s="658"/>
      <c r="BW57" s="658"/>
      <c r="BX57" s="658"/>
      <c r="BY57" s="658"/>
      <c r="BZ57" s="658"/>
      <c r="CA57" s="658"/>
      <c r="CB57" s="658"/>
      <c r="CC57" s="658"/>
      <c r="CD57" s="658"/>
      <c r="CE57" s="658"/>
      <c r="CF57" s="658"/>
      <c r="CG57" s="658"/>
      <c r="CH57" s="658"/>
      <c r="CI57" s="658"/>
      <c r="CJ57" s="658"/>
      <c r="CK57" s="658"/>
      <c r="CL57" s="658"/>
      <c r="CM57" s="716"/>
    </row>
    <row r="58" spans="1:91">
      <c r="A58" s="448" t="str">
        <f>Commodities!K19</f>
        <v>T-CAR-PHEV_GSL00</v>
      </c>
      <c r="B58" s="28" t="s">
        <v>873</v>
      </c>
      <c r="C58" s="448" t="str">
        <f>Commodities!B8&amp;","&amp;Commodities!B14</f>
        <v>TRAGSL,TRAELC</v>
      </c>
      <c r="D58" s="459" t="str">
        <f>Commodities!B22&amp;","&amp;Commodities!B23&amp;","&amp;Commodities!B24</f>
        <v>TRAPS,TRAPM,TRAPL</v>
      </c>
      <c r="E58" s="9">
        <f t="shared" si="8"/>
        <v>2.7589999999999999</v>
      </c>
      <c r="F58" s="658">
        <f t="shared" si="5"/>
        <v>1.4999999999999999E-2</v>
      </c>
      <c r="G58" s="658">
        <f t="shared" si="6"/>
        <v>0.109</v>
      </c>
      <c r="H58" s="658">
        <f t="shared" ref="H58:AE58" si="15">F172/1000</f>
        <v>3.3000000000000002E-2</v>
      </c>
      <c r="I58" s="658">
        <f t="shared" si="15"/>
        <v>0.15</v>
      </c>
      <c r="J58" s="658">
        <f t="shared" si="15"/>
        <v>2.4E-2</v>
      </c>
      <c r="K58" s="658">
        <f t="shared" si="15"/>
        <v>5.3999999999999999E-2</v>
      </c>
      <c r="L58" s="658">
        <f t="shared" si="15"/>
        <v>1.7999999999999999E-2</v>
      </c>
      <c r="M58" s="658">
        <f t="shared" si="15"/>
        <v>2.3E-2</v>
      </c>
      <c r="N58" s="658">
        <f t="shared" si="15"/>
        <v>0.01</v>
      </c>
      <c r="O58" s="658">
        <f t="shared" si="15"/>
        <v>3.2000000000000001E-2</v>
      </c>
      <c r="P58" s="658">
        <f t="shared" si="15"/>
        <v>3.5000000000000003E-2</v>
      </c>
      <c r="Q58" s="658">
        <f t="shared" si="15"/>
        <v>4.2000000000000003E-2</v>
      </c>
      <c r="R58" s="658">
        <f t="shared" si="15"/>
        <v>3.6999999999999998E-2</v>
      </c>
      <c r="S58" s="658">
        <f t="shared" si="15"/>
        <v>0.26200000000000001</v>
      </c>
      <c r="T58" s="658">
        <f t="shared" si="15"/>
        <v>0.152</v>
      </c>
      <c r="U58" s="658">
        <f t="shared" si="15"/>
        <v>3.0000000000000001E-3</v>
      </c>
      <c r="V58" s="658">
        <f t="shared" si="15"/>
        <v>2.3E-2</v>
      </c>
      <c r="W58" s="658">
        <f t="shared" si="15"/>
        <v>0.04</v>
      </c>
      <c r="X58" s="658">
        <f t="shared" si="15"/>
        <v>1.43</v>
      </c>
      <c r="Y58" s="658">
        <f t="shared" si="15"/>
        <v>1.7000000000000001E-2</v>
      </c>
      <c r="Z58" s="658">
        <f t="shared" si="15"/>
        <v>4.7E-2</v>
      </c>
      <c r="AA58" s="658">
        <f t="shared" si="15"/>
        <v>1.7999999999999999E-2</v>
      </c>
      <c r="AB58" s="658">
        <f t="shared" si="15"/>
        <v>1.6E-2</v>
      </c>
      <c r="AC58" s="658">
        <f t="shared" si="15"/>
        <v>2.4E-2</v>
      </c>
      <c r="AD58" s="658">
        <f t="shared" si="15"/>
        <v>3.6999999999999998E-2</v>
      </c>
      <c r="AE58" s="658">
        <f t="shared" si="15"/>
        <v>0.108</v>
      </c>
      <c r="AF58" s="451"/>
      <c r="AG58" s="101" t="str">
        <f t="shared" si="3"/>
        <v>T-CAR-PHEV_GSL00</v>
      </c>
      <c r="AH58" s="658">
        <f>E58*AF!D13*ACT2FLO!D57/1000</f>
        <v>5.2760665147538438E-2</v>
      </c>
      <c r="AI58" s="658">
        <f>F58*AF!E13*ACT2FLO!E57/1000</f>
        <v>3.029827799413013E-4</v>
      </c>
      <c r="AJ58" s="658">
        <f>G58*AF!F13*ACT2FLO!F57/1000</f>
        <v>1.7923370302501893E-3</v>
      </c>
      <c r="AK58" s="658">
        <f>H58*AF!G13*ACT2FLO!G57/1000</f>
        <v>6.6611898844858204E-4</v>
      </c>
      <c r="AL58" s="658">
        <f>I58*AF!H13*ACT2FLO!H57/1000</f>
        <v>3.0804069900369855E-3</v>
      </c>
      <c r="AM58" s="658">
        <f>J58*AF!I13*ACT2FLO!I57/1000</f>
        <v>5.0428795862471234E-4</v>
      </c>
      <c r="AN58" s="658">
        <f>K58*AF!J13*ACT2FLO!J57/1000</f>
        <v>1.1297332209493972E-3</v>
      </c>
      <c r="AO58" s="658">
        <f>L58*AF!K13*ACT2FLO!K57/1000</f>
        <v>3.5404538229867117E-4</v>
      </c>
      <c r="AP58" s="658">
        <f>M58*AF!L13*ACT2FLO!L57/1000</f>
        <v>4.7840305071511637E-4</v>
      </c>
      <c r="AQ58" s="658">
        <f>N58*AF!M13*ACT2FLO!M57/1000</f>
        <v>2.108212281760274E-4</v>
      </c>
      <c r="AR58" s="658">
        <f>O58*AF!N13*ACT2FLO!N57/1000</f>
        <v>6.639331915676346E-4</v>
      </c>
      <c r="AS58" s="658">
        <f>P58*AF!O13*ACT2FLO!O57/1000</f>
        <v>7.2790020158597021E-4</v>
      </c>
      <c r="AT58" s="658">
        <f>Q58*AF!P13*ACT2FLO!P57/1000</f>
        <v>8.4039339437286297E-4</v>
      </c>
      <c r="AU58" s="658">
        <f>R58*AF!Q13*ACT2FLO!Q57/1000</f>
        <v>7.8373724081639933E-4</v>
      </c>
      <c r="AV58" s="658">
        <f>S58*AF!R13*ACT2FLO!R57/1000</f>
        <v>5.1087638310722957E-3</v>
      </c>
      <c r="AW58" s="658">
        <f>T58*AF!S13*ACT2FLO!S57/1000</f>
        <v>3.1509612309286203E-3</v>
      </c>
      <c r="AX58" s="658">
        <f>U58*AF!T13*ACT2FLO!T57/1000</f>
        <v>6.0274281499328749E-5</v>
      </c>
      <c r="AY58" s="658">
        <f>V58*AF!U13*ACT2FLO!U57/1000</f>
        <v>4.8856066516255012E-4</v>
      </c>
      <c r="AZ58" s="658">
        <f>W58*AF!V13*ACT2FLO!V57/1000</f>
        <v>7.8396253455634691E-4</v>
      </c>
      <c r="BA58" s="658">
        <f>X58*AF!W13*ACT2FLO!W57/1000</f>
        <v>2.8924896307479381E-2</v>
      </c>
      <c r="BB58" s="658">
        <f>Y58*AF!X13*ACT2FLO!X57/1000</f>
        <v>3.6988606863656848E-4</v>
      </c>
      <c r="BC58" s="658">
        <f>Z58*AF!Y13*ACT2FLO!Y57/1000</f>
        <v>9.8083196298238105E-4</v>
      </c>
      <c r="BD58" s="658">
        <f>AA58*AF!Z13*ACT2FLO!Z57/1000</f>
        <v>4.1296790135831495E-4</v>
      </c>
      <c r="BE58" s="658">
        <f>AB58*AF!AA13*ACT2FLO!AA57/1000</f>
        <v>3.2048407510410957E-4</v>
      </c>
      <c r="BF58" s="658">
        <f>AC58*AF!AB13*ACT2FLO!AB57/1000</f>
        <v>5.0912207595868485E-4</v>
      </c>
      <c r="BG58" s="658">
        <f>AD58*AF!AC13*ACT2FLO!AC57/1000</f>
        <v>7.6607182438607991E-4</v>
      </c>
      <c r="BH58" s="658">
        <f>AE58*AF!AD13*ACT2FLO!AD57/1000</f>
        <v>2.2206323659825474E-3</v>
      </c>
      <c r="BK58" s="716" t="str">
        <f t="shared" ref="BK58:BK59" si="16">BK51</f>
        <v>T-HGT-ICE_DST00</v>
      </c>
      <c r="BL58" s="658"/>
      <c r="BM58" s="658"/>
      <c r="BN58" s="658"/>
      <c r="BO58" s="658"/>
      <c r="BP58" s="658"/>
      <c r="BQ58" s="658"/>
      <c r="BR58" s="658"/>
      <c r="BS58" s="658"/>
      <c r="BT58" s="658"/>
      <c r="BU58" s="658"/>
      <c r="BV58" s="658"/>
      <c r="BW58" s="658"/>
      <c r="BX58" s="658"/>
      <c r="BY58" s="658"/>
      <c r="BZ58" s="658"/>
      <c r="CA58" s="658"/>
      <c r="CB58" s="658"/>
      <c r="CC58" s="658"/>
      <c r="CD58" s="658"/>
      <c r="CE58" s="658"/>
      <c r="CF58" s="658"/>
      <c r="CG58" s="658"/>
      <c r="CH58" s="658"/>
      <c r="CI58" s="658"/>
      <c r="CJ58" s="658"/>
      <c r="CK58" s="658"/>
      <c r="CL58" s="658"/>
      <c r="CM58" s="716"/>
    </row>
    <row r="59" spans="1:91">
      <c r="A59" s="448" t="str">
        <f>Commodities!K20</f>
        <v>T-CAR-PHEV_DST00</v>
      </c>
      <c r="B59" s="28" t="s">
        <v>873</v>
      </c>
      <c r="C59" s="448" t="str">
        <f>Commodities!B9&amp;","&amp;Commodities!B14</f>
        <v>TRADST,TRAELC</v>
      </c>
      <c r="D59" s="459" t="str">
        <f>Commodities!B22&amp;","&amp;Commodities!B23&amp;","&amp;Commodities!B24</f>
        <v>TRAPS,TRAPM,TRAPL</v>
      </c>
      <c r="E59" s="9">
        <f t="shared" si="8"/>
        <v>2.5000000000000008E-2</v>
      </c>
      <c r="F59" s="658">
        <f t="shared" si="5"/>
        <v>0</v>
      </c>
      <c r="G59" s="658">
        <f t="shared" si="6"/>
        <v>1.0999999999999999E-2</v>
      </c>
      <c r="H59" s="658">
        <f t="shared" ref="H59:AE59" si="17">F173/1000</f>
        <v>2E-3</v>
      </c>
      <c r="I59" s="658">
        <f t="shared" si="17"/>
        <v>0</v>
      </c>
      <c r="J59" s="658">
        <f t="shared" si="17"/>
        <v>0</v>
      </c>
      <c r="K59" s="658">
        <f t="shared" si="17"/>
        <v>1E-3</v>
      </c>
      <c r="L59" s="658">
        <f t="shared" si="17"/>
        <v>0</v>
      </c>
      <c r="M59" s="658">
        <f t="shared" si="17"/>
        <v>1E-3</v>
      </c>
      <c r="N59" s="658">
        <f t="shared" si="17"/>
        <v>0</v>
      </c>
      <c r="O59" s="658">
        <f t="shared" si="17"/>
        <v>0</v>
      </c>
      <c r="P59" s="658">
        <f t="shared" si="17"/>
        <v>1E-3</v>
      </c>
      <c r="Q59" s="658">
        <f t="shared" si="17"/>
        <v>1E-3</v>
      </c>
      <c r="R59" s="658">
        <f t="shared" si="17"/>
        <v>2E-3</v>
      </c>
      <c r="S59" s="658">
        <f t="shared" si="17"/>
        <v>2E-3</v>
      </c>
      <c r="T59" s="658">
        <f t="shared" si="17"/>
        <v>0</v>
      </c>
      <c r="U59" s="658">
        <f t="shared" si="17"/>
        <v>0</v>
      </c>
      <c r="V59" s="658">
        <f t="shared" si="17"/>
        <v>1E-3</v>
      </c>
      <c r="W59" s="658">
        <f t="shared" si="17"/>
        <v>0</v>
      </c>
      <c r="X59" s="658">
        <f t="shared" si="17"/>
        <v>0</v>
      </c>
      <c r="Y59" s="658">
        <f t="shared" si="17"/>
        <v>0</v>
      </c>
      <c r="Z59" s="658">
        <f t="shared" si="17"/>
        <v>0</v>
      </c>
      <c r="AA59" s="658">
        <f t="shared" si="17"/>
        <v>0</v>
      </c>
      <c r="AB59" s="658">
        <f t="shared" si="17"/>
        <v>1E-3</v>
      </c>
      <c r="AC59" s="658">
        <f t="shared" si="17"/>
        <v>0</v>
      </c>
      <c r="AD59" s="658">
        <f t="shared" si="17"/>
        <v>1E-3</v>
      </c>
      <c r="AE59" s="658">
        <f t="shared" si="17"/>
        <v>1E-3</v>
      </c>
      <c r="AF59" s="451"/>
      <c r="AG59" s="101" t="str">
        <f t="shared" si="3"/>
        <v>T-CAR-PHEV_DST00</v>
      </c>
      <c r="AH59" s="658">
        <f>E59*AF!D14*ACT2FLO!D58/1000</f>
        <v>7.6902003915519431E-4</v>
      </c>
      <c r="AI59" s="658">
        <f>F59*AF!E14*ACT2FLO!E58/1000</f>
        <v>0</v>
      </c>
      <c r="AJ59" s="658">
        <f>G59*AF!F14*ACT2FLO!F58/1000</f>
        <v>2.9715796695616893E-4</v>
      </c>
      <c r="AK59" s="658">
        <f>H59*AF!G14*ACT2FLO!G58/1000</f>
        <v>6.2392937861748842E-5</v>
      </c>
      <c r="AL59" s="658">
        <f>I59*AF!H14*ACT2FLO!H58/1000</f>
        <v>0</v>
      </c>
      <c r="AM59" s="658">
        <f>J59*AF!I14*ACT2FLO!I58/1000</f>
        <v>0</v>
      </c>
      <c r="AN59" s="658">
        <f>K59*AF!J14*ACT2FLO!J58/1000</f>
        <v>3.3902977833289954E-5</v>
      </c>
      <c r="AO59" s="658">
        <f>L59*AF!K14*ACT2FLO!K58/1000</f>
        <v>0</v>
      </c>
      <c r="AP59" s="658">
        <f>M59*AF!L14*ACT2FLO!L58/1000</f>
        <v>3.1626168249449771E-5</v>
      </c>
      <c r="AQ59" s="658">
        <f>N59*AF!M14*ACT2FLO!M58/1000</f>
        <v>0</v>
      </c>
      <c r="AR59" s="658">
        <f>O59*AF!N14*ACT2FLO!N58/1000</f>
        <v>0</v>
      </c>
      <c r="AS59" s="658">
        <f>P59*AF!O14*ACT2FLO!O58/1000</f>
        <v>3.1940982680767124E-5</v>
      </c>
      <c r="AT59" s="658">
        <f>Q59*AF!P14*ACT2FLO!P58/1000</f>
        <v>3.0437035065753419E-5</v>
      </c>
      <c r="AU59" s="658">
        <f>R59*AF!Q14*ACT2FLO!Q58/1000</f>
        <v>6.5711171488525103E-5</v>
      </c>
      <c r="AV59" s="658">
        <f>S59*AF!R14*ACT2FLO!R58/1000</f>
        <v>5.9889342526438347E-5</v>
      </c>
      <c r="AW59" s="658">
        <f>T59*AF!S14*ACT2FLO!S58/1000</f>
        <v>0</v>
      </c>
      <c r="AX59" s="658">
        <f>U59*AF!T14*ACT2FLO!T58/1000</f>
        <v>0</v>
      </c>
      <c r="AY59" s="658">
        <f>V59*AF!U14*ACT2FLO!U58/1000</f>
        <v>3.3225604601924645E-5</v>
      </c>
      <c r="AZ59" s="658">
        <f>W59*AF!V14*ACT2FLO!V58/1000</f>
        <v>0</v>
      </c>
      <c r="BA59" s="658">
        <f>X59*AF!W14*ACT2FLO!W58/1000</f>
        <v>0</v>
      </c>
      <c r="BB59" s="658">
        <f>Y59*AF!X14*ACT2FLO!X58/1000</f>
        <v>0</v>
      </c>
      <c r="BC59" s="658">
        <f>Z59*AF!Y14*ACT2FLO!Y58/1000</f>
        <v>0</v>
      </c>
      <c r="BD59" s="658">
        <f>AA59*AF!Z14*ACT2FLO!Z58/1000</f>
        <v>0</v>
      </c>
      <c r="BE59" s="658">
        <f>AB59*AF!AA14*ACT2FLO!AA58/1000</f>
        <v>3.1815653712849314E-5</v>
      </c>
      <c r="BF59" s="658">
        <f>AC59*AF!AB14*ACT2FLO!AB58/1000</f>
        <v>0</v>
      </c>
      <c r="BG59" s="658">
        <f>AD59*AF!AC14*ACT2FLO!AC58/1000</f>
        <v>3.0660836794178079E-5</v>
      </c>
      <c r="BH59" s="658">
        <f>AE59*AF!AD14*ACT2FLO!AD58/1000</f>
        <v>3.2203576708785385E-5</v>
      </c>
      <c r="BK59" s="716" t="str">
        <f t="shared" si="16"/>
        <v>T-GTR-ICE_DST00</v>
      </c>
      <c r="BL59" s="658"/>
      <c r="BM59" s="658"/>
      <c r="BN59" s="658"/>
      <c r="BO59" s="658"/>
      <c r="BP59" s="658"/>
      <c r="BQ59" s="658"/>
      <c r="BR59" s="658"/>
      <c r="BS59" s="658"/>
      <c r="BT59" s="658"/>
      <c r="BU59" s="658"/>
      <c r="BV59" s="658"/>
      <c r="BW59" s="658"/>
      <c r="BX59" s="658"/>
      <c r="BY59" s="658"/>
      <c r="BZ59" s="658"/>
      <c r="CA59" s="658"/>
      <c r="CB59" s="658"/>
      <c r="CC59" s="658"/>
      <c r="CD59" s="658"/>
      <c r="CE59" s="658"/>
      <c r="CF59" s="658"/>
      <c r="CG59" s="658"/>
      <c r="CH59" s="658"/>
      <c r="CI59" s="658"/>
      <c r="CJ59" s="658"/>
      <c r="CK59" s="658"/>
      <c r="CL59" s="658"/>
      <c r="CM59" s="716"/>
    </row>
    <row r="60" spans="1:91" s="459" customFormat="1">
      <c r="A60" s="448" t="str">
        <f>Commodities!K21</f>
        <v>T-CAR-BEV_ELC00</v>
      </c>
      <c r="B60" s="28" t="s">
        <v>873</v>
      </c>
      <c r="C60" s="448" t="str">
        <f>Commodities!B14</f>
        <v>TRAELC</v>
      </c>
      <c r="D60" s="459" t="str">
        <f>Commodities!B22&amp;","&amp;Commodities!B23&amp;","&amp;Commodities!B24</f>
        <v>TRAPS,TRAPM,TRAPL</v>
      </c>
      <c r="E60" s="9">
        <f t="shared" si="8"/>
        <v>4.53</v>
      </c>
      <c r="F60" s="658">
        <f t="shared" si="5"/>
        <v>4.5999999999999999E-2</v>
      </c>
      <c r="G60" s="658">
        <f t="shared" si="6"/>
        <v>1.6759999999999999</v>
      </c>
      <c r="H60" s="658">
        <f t="shared" ref="H60:AE60" si="18">F174/1000</f>
        <v>0.29199999999999998</v>
      </c>
      <c r="I60" s="658">
        <f t="shared" si="18"/>
        <v>5.3999999999999999E-2</v>
      </c>
      <c r="J60" s="658">
        <f t="shared" si="18"/>
        <v>5.6000000000000001E-2</v>
      </c>
      <c r="K60" s="658">
        <f t="shared" si="18"/>
        <v>2.4E-2</v>
      </c>
      <c r="L60" s="658">
        <f t="shared" si="18"/>
        <v>0.10299999999999999</v>
      </c>
      <c r="M60" s="658">
        <f t="shared" si="18"/>
        <v>0.23899999999999999</v>
      </c>
      <c r="N60" s="658">
        <f t="shared" si="18"/>
        <v>2.9000000000000001E-2</v>
      </c>
      <c r="O60" s="658">
        <f t="shared" si="18"/>
        <v>9.8000000000000004E-2</v>
      </c>
      <c r="P60" s="658">
        <f t="shared" si="18"/>
        <v>0.14099999999999999</v>
      </c>
      <c r="Q60" s="658">
        <f t="shared" si="18"/>
        <v>0.25700000000000001</v>
      </c>
      <c r="R60" s="658">
        <f t="shared" si="18"/>
        <v>0.107</v>
      </c>
      <c r="S60" s="658">
        <f t="shared" si="18"/>
        <v>0.51400000000000001</v>
      </c>
      <c r="T60" s="658">
        <f t="shared" si="18"/>
        <v>9.8000000000000004E-2</v>
      </c>
      <c r="U60" s="658">
        <f t="shared" si="18"/>
        <v>0.123</v>
      </c>
      <c r="V60" s="658">
        <f t="shared" si="18"/>
        <v>9.4E-2</v>
      </c>
      <c r="W60" s="658">
        <f t="shared" si="18"/>
        <v>0.1</v>
      </c>
      <c r="X60" s="658">
        <f t="shared" si="18"/>
        <v>0.22800000000000001</v>
      </c>
      <c r="Y60" s="658">
        <f t="shared" si="18"/>
        <v>1.7000000000000001E-2</v>
      </c>
      <c r="Z60" s="658">
        <f t="shared" si="18"/>
        <v>5.8000000000000003E-2</v>
      </c>
      <c r="AA60" s="658">
        <f t="shared" si="18"/>
        <v>0.03</v>
      </c>
      <c r="AB60" s="658">
        <f t="shared" si="18"/>
        <v>2.9000000000000001E-2</v>
      </c>
      <c r="AC60" s="658">
        <f t="shared" si="18"/>
        <v>3.5000000000000003E-2</v>
      </c>
      <c r="AD60" s="658">
        <f t="shared" si="18"/>
        <v>5.0999999999999997E-2</v>
      </c>
      <c r="AE60" s="658">
        <f t="shared" si="18"/>
        <v>3.1E-2</v>
      </c>
      <c r="AF60" s="451"/>
      <c r="AG60" s="101" t="str">
        <f t="shared" si="3"/>
        <v>T-CAR-BEV_ELC00</v>
      </c>
      <c r="AH60" s="658">
        <f>E60*AF!D15*ACT2FLO!D59/1000</f>
        <v>9.0865471195621078E-2</v>
      </c>
      <c r="AI60" s="658">
        <f>F60*AF!E15*ACT2FLO!E59/1000</f>
        <v>9.6710098093776681E-4</v>
      </c>
      <c r="AJ60" s="658">
        <f>G60*AF!F15*ACT2FLO!F59/1000</f>
        <v>3.2125353528666398E-2</v>
      </c>
      <c r="AK60" s="658">
        <f>H60*AF!G15*ACT2FLO!G59/1000</f>
        <v>6.0614400446073321E-3</v>
      </c>
      <c r="AL60" s="658">
        <f>I60*AF!H15*ACT2FLO!H59/1000</f>
        <v>1.1568042780196438E-3</v>
      </c>
      <c r="AM60" s="658">
        <f>J60*AF!I15*ACT2FLO!I59/1000</f>
        <v>1.2186988840327667E-3</v>
      </c>
      <c r="AN60" s="658">
        <f>K60*AF!J15*ACT2FLO!J59/1000</f>
        <v>5.0145910477742458E-4</v>
      </c>
      <c r="AO60" s="658">
        <f>L60*AF!K15*ACT2FLO!K59/1000</f>
        <v>2.0614257844273373E-3</v>
      </c>
      <c r="AP60" s="658">
        <f>M60*AF!L15*ACT2FLO!L59/1000</f>
        <v>5.0289994030502253E-3</v>
      </c>
      <c r="AQ60" s="658">
        <f>N60*AF!M15*ACT2FLO!M59/1000</f>
        <v>6.2752065035294295E-4</v>
      </c>
      <c r="AR60" s="658">
        <f>O60*AF!N15*ACT2FLO!N59/1000</f>
        <v>2.0483557634873376E-3</v>
      </c>
      <c r="AS60" s="658">
        <f>P60*AF!O15*ACT2FLO!O59/1000</f>
        <v>2.973000064531424E-3</v>
      </c>
      <c r="AT60" s="658">
        <f>Q60*AF!P15*ACT2FLO!P59/1000</f>
        <v>5.3356644674298738E-3</v>
      </c>
      <c r="AU60" s="658">
        <f>R60*AF!Q15*ACT2FLO!Q59/1000</f>
        <v>2.2474855893704604E-3</v>
      </c>
      <c r="AV60" s="658">
        <f>S60*AF!R15*ACT2FLO!R59/1000</f>
        <v>1.024186833812806E-2</v>
      </c>
      <c r="AW60" s="658">
        <f>T60*AF!S15*ACT2FLO!S59/1000</f>
        <v>2.014872040891963E-3</v>
      </c>
      <c r="AX60" s="658">
        <f>U60*AF!T15*ACT2FLO!T59/1000</f>
        <v>2.5549294837650272E-3</v>
      </c>
      <c r="AY60" s="658">
        <f>V60*AF!U15*ACT2FLO!U59/1000</f>
        <v>1.9472182704007121E-3</v>
      </c>
      <c r="AZ60" s="658">
        <f>W60*AF!V15*ACT2FLO!V59/1000</f>
        <v>2.0800132639787671E-3</v>
      </c>
      <c r="BA60" s="658">
        <f>X60*AF!W15*ACT2FLO!W59/1000</f>
        <v>4.7390284555995331E-3</v>
      </c>
      <c r="BB60" s="658">
        <f>Y60*AF!X15*ACT2FLO!X59/1000</f>
        <v>3.5872582244579219E-4</v>
      </c>
      <c r="BC60" s="658">
        <f>Z60*AF!Y15*ACT2FLO!Y59/1000</f>
        <v>1.2280418601887352E-3</v>
      </c>
      <c r="BD60" s="658">
        <f>AA60*AF!Z15*ACT2FLO!Z59/1000</f>
        <v>6.3353793282452042E-4</v>
      </c>
      <c r="BE60" s="658">
        <f>AB60*AF!AA15*ACT2FLO!AA59/1000</f>
        <v>5.9935296481341551E-4</v>
      </c>
      <c r="BF60" s="658">
        <f>AC60*AF!AB15*ACT2FLO!AB59/1000</f>
        <v>7.3432331119175796E-4</v>
      </c>
      <c r="BG60" s="658">
        <f>AD60*AF!AC15*ACT2FLO!AC59/1000</f>
        <v>1.0884283739513423E-3</v>
      </c>
      <c r="BH60" s="658">
        <f>AE60*AF!AD15*ACT2FLO!AD59/1000</f>
        <v>6.378662582522533E-4</v>
      </c>
      <c r="BK60" s="136" t="s">
        <v>1</v>
      </c>
      <c r="BL60" s="779"/>
      <c r="BM60" s="779"/>
      <c r="BN60" s="779"/>
      <c r="BO60" s="779"/>
      <c r="BP60" s="779"/>
      <c r="BQ60" s="779"/>
      <c r="BR60" s="779"/>
      <c r="BS60" s="779"/>
      <c r="BT60" s="779"/>
      <c r="BU60" s="779"/>
      <c r="BV60" s="779"/>
      <c r="BW60" s="779"/>
      <c r="BX60" s="779"/>
      <c r="BY60" s="779"/>
      <c r="BZ60" s="779"/>
      <c r="CA60" s="779"/>
      <c r="CB60" s="779"/>
      <c r="CC60" s="779"/>
      <c r="CD60" s="779"/>
      <c r="CE60" s="779"/>
      <c r="CF60" s="779"/>
      <c r="CG60" s="779"/>
      <c r="CH60" s="779"/>
      <c r="CI60" s="779"/>
      <c r="CJ60" s="779"/>
      <c r="CK60" s="779"/>
      <c r="CL60" s="779"/>
      <c r="CM60" s="716"/>
    </row>
    <row r="61" spans="1:91" ht="15.75">
      <c r="A61" s="455" t="s">
        <v>555</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55" t="str">
        <f t="shared" si="3"/>
        <v>*Small sevice vehicle</v>
      </c>
      <c r="AH61" s="776"/>
      <c r="AI61" s="776"/>
      <c r="AJ61" s="776"/>
      <c r="AK61" s="776"/>
      <c r="AL61" s="776"/>
      <c r="AM61" s="776"/>
      <c r="AN61" s="776"/>
      <c r="AO61" s="776"/>
      <c r="AP61" s="776"/>
      <c r="AQ61" s="776"/>
      <c r="AR61" s="776"/>
      <c r="AS61" s="776"/>
      <c r="AT61" s="776"/>
      <c r="AU61" s="776"/>
      <c r="AV61" s="776"/>
      <c r="AW61" s="776"/>
      <c r="AX61" s="776"/>
      <c r="AY61" s="776"/>
      <c r="AZ61" s="776"/>
      <c r="BA61" s="776"/>
      <c r="BB61" s="776"/>
      <c r="BC61" s="776"/>
      <c r="BD61" s="776"/>
      <c r="BE61" s="776"/>
      <c r="BF61" s="776"/>
      <c r="BG61" s="776"/>
      <c r="BH61" s="776"/>
      <c r="BK61" s="716"/>
      <c r="BL61" s="716"/>
      <c r="BM61" s="716"/>
      <c r="BN61" s="716"/>
      <c r="BO61" s="716"/>
      <c r="BP61" s="716"/>
      <c r="BQ61" s="716"/>
      <c r="BR61" s="716"/>
      <c r="BS61" s="716"/>
      <c r="BT61" s="716"/>
      <c r="BU61" s="716"/>
      <c r="BV61" s="716"/>
      <c r="BW61" s="716"/>
      <c r="BX61" s="716"/>
      <c r="BY61" s="716"/>
      <c r="BZ61" s="716"/>
      <c r="CA61" s="716"/>
      <c r="CB61" s="716"/>
      <c r="CC61" s="716"/>
      <c r="CD61" s="716"/>
      <c r="CE61" s="716"/>
      <c r="CF61" s="716"/>
      <c r="CG61" s="716"/>
      <c r="CH61" s="716"/>
      <c r="CI61" s="716"/>
      <c r="CJ61" s="716"/>
      <c r="CK61" s="716"/>
      <c r="CL61" s="716"/>
      <c r="CM61" s="716"/>
    </row>
    <row r="62" spans="1:91">
      <c r="A62" s="448" t="str">
        <f>Commodities!K23</f>
        <v>T-TAX-ICE_GSL00</v>
      </c>
      <c r="B62" s="28" t="s">
        <v>873</v>
      </c>
      <c r="C62" s="716" t="str">
        <f>Commodities!B18</f>
        <v>TRAGSE</v>
      </c>
      <c r="D62" s="459" t="str">
        <f>Commodities!B22&amp;","&amp;Commodities!B23&amp;","&amp;Commodities!B24</f>
        <v>TRAPS,TRAPM,TRAPL</v>
      </c>
      <c r="E62" s="9">
        <f t="shared" si="8"/>
        <v>2.5000000000000004</v>
      </c>
      <c r="F62" s="658">
        <f>D175/1000</f>
        <v>0.01</v>
      </c>
      <c r="G62" s="658">
        <f t="shared" ref="G62:AE62" si="19">E175/1000</f>
        <v>1.579</v>
      </c>
      <c r="H62" s="658">
        <f t="shared" si="19"/>
        <v>7.0999999999999994E-2</v>
      </c>
      <c r="I62" s="658">
        <f t="shared" si="19"/>
        <v>0.01</v>
      </c>
      <c r="J62" s="658">
        <f t="shared" si="19"/>
        <v>1.2E-2</v>
      </c>
      <c r="K62" s="658">
        <f t="shared" si="19"/>
        <v>4.0000000000000001E-3</v>
      </c>
      <c r="L62" s="658">
        <f t="shared" si="19"/>
        <v>4.8000000000000001E-2</v>
      </c>
      <c r="M62" s="658">
        <f t="shared" si="19"/>
        <v>9.5000000000000001E-2</v>
      </c>
      <c r="N62" s="658">
        <f t="shared" si="19"/>
        <v>1.4E-2</v>
      </c>
      <c r="O62" s="658">
        <f t="shared" si="19"/>
        <v>1.4E-2</v>
      </c>
      <c r="P62" s="658">
        <f t="shared" si="19"/>
        <v>1.7000000000000001E-2</v>
      </c>
      <c r="Q62" s="658">
        <f t="shared" si="19"/>
        <v>3.1E-2</v>
      </c>
      <c r="R62" s="658">
        <f t="shared" si="19"/>
        <v>4.3999999999999997E-2</v>
      </c>
      <c r="S62" s="658">
        <f t="shared" si="19"/>
        <v>0.16400000000000001</v>
      </c>
      <c r="T62" s="658">
        <f t="shared" si="19"/>
        <v>2.8000000000000001E-2</v>
      </c>
      <c r="U62" s="658">
        <f t="shared" si="19"/>
        <v>0.125</v>
      </c>
      <c r="V62" s="658">
        <f t="shared" si="19"/>
        <v>1.2E-2</v>
      </c>
      <c r="W62" s="658">
        <f t="shared" si="19"/>
        <v>4.3999999999999997E-2</v>
      </c>
      <c r="X62" s="658">
        <f t="shared" si="19"/>
        <v>0.115</v>
      </c>
      <c r="Y62" s="658">
        <f t="shared" si="19"/>
        <v>0</v>
      </c>
      <c r="Z62" s="658">
        <f t="shared" si="19"/>
        <v>0.02</v>
      </c>
      <c r="AA62" s="658">
        <f t="shared" si="19"/>
        <v>3.0000000000000001E-3</v>
      </c>
      <c r="AB62" s="658">
        <f t="shared" si="19"/>
        <v>1.2E-2</v>
      </c>
      <c r="AC62" s="658">
        <f t="shared" si="19"/>
        <v>7.0000000000000001E-3</v>
      </c>
      <c r="AD62" s="658">
        <f t="shared" si="19"/>
        <v>1.7000000000000001E-2</v>
      </c>
      <c r="AE62" s="658">
        <f t="shared" si="19"/>
        <v>4.0000000000000001E-3</v>
      </c>
      <c r="AF62" s="451"/>
      <c r="AG62" s="101" t="str">
        <f t="shared" si="3"/>
        <v>T-TAX-ICE_GSL00</v>
      </c>
      <c r="AH62" s="658">
        <f>E62*AF!D16*ACT2FLO!D60/1000</f>
        <v>0.132815135733613</v>
      </c>
      <c r="AI62" s="658">
        <f>F62*AF!E16*ACT2FLO!E60/1000</f>
        <v>3.3237540694107306E-4</v>
      </c>
      <c r="AJ62" s="658">
        <f>G62*AF!F16*ACT2FLO!F60/1000</f>
        <v>8.3617468703171244E-2</v>
      </c>
      <c r="AK62" s="658">
        <f>H62*AF!G16*ACT2FLO!G60/1000</f>
        <v>4.3649617706759914E-3</v>
      </c>
      <c r="AL62" s="658">
        <f>I62*AF!H16*ACT2FLO!H60/1000</f>
        <v>6.1736452791703194E-4</v>
      </c>
      <c r="AM62" s="658">
        <f>J62*AF!I16*ACT2FLO!I60/1000</f>
        <v>5.7978970972605477E-4</v>
      </c>
      <c r="AN62" s="658">
        <f>K62*AF!J16*ACT2FLO!J60/1000</f>
        <v>2.4642659115686755E-4</v>
      </c>
      <c r="AO62" s="658">
        <f>L62*AF!K16*ACT2FLO!K60/1000</f>
        <v>2.5945961021110134E-3</v>
      </c>
      <c r="AP62" s="658">
        <f>M62*AF!L16*ACT2FLO!L60/1000</f>
        <v>5.9026661463937435E-3</v>
      </c>
      <c r="AQ62" s="658">
        <f>N62*AF!M16*ACT2FLO!M60/1000</f>
        <v>5.6496209921215966E-4</v>
      </c>
      <c r="AR62" s="658">
        <f>O62*AF!N16*ACT2FLO!N60/1000</f>
        <v>9.3213419888869852E-4</v>
      </c>
      <c r="AS62" s="658">
        <f>P62*AF!O16*ACT2FLO!O60/1000</f>
        <v>8.2986576106776713E-4</v>
      </c>
      <c r="AT62" s="658">
        <f>Q62*AF!P16*ACT2FLO!P60/1000</f>
        <v>1.4344243540843401E-3</v>
      </c>
      <c r="AU62" s="658">
        <f>R62*AF!Q16*ACT2FLO!Q60/1000</f>
        <v>2.4722571252849585E-3</v>
      </c>
      <c r="AV62" s="658">
        <f>S62*AF!R16*ACT2FLO!R60/1000</f>
        <v>8.3549362853188591E-3</v>
      </c>
      <c r="AW62" s="658">
        <f>T62*AF!S16*ACT2FLO!S60/1000</f>
        <v>1.2959850809154151E-3</v>
      </c>
      <c r="AX62" s="658">
        <f>U62*AF!T16*ACT2FLO!T60/1000</f>
        <v>6.9264769933027968E-3</v>
      </c>
      <c r="AY62" s="658">
        <f>V62*AF!U16*ACT2FLO!U60/1000</f>
        <v>6.0336945983287672E-4</v>
      </c>
      <c r="AZ62" s="658">
        <f>W62*AF!V16*ACT2FLO!V60/1000</f>
        <v>1.9632842504785568E-3</v>
      </c>
      <c r="BA62" s="658">
        <f>X62*AF!W16*ACT2FLO!W60/1000</f>
        <v>6.2833081260984004E-3</v>
      </c>
      <c r="BB62" s="658">
        <f>Y62*AF!X16*ACT2FLO!X60/1000</f>
        <v>0</v>
      </c>
      <c r="BC62" s="658">
        <f>Z62*AF!Y16*ACT2FLO!Y60/1000</f>
        <v>9.6956876799652951E-4</v>
      </c>
      <c r="BD62" s="658">
        <f>AA62*AF!Z16*ACT2FLO!Z60/1000</f>
        <v>1.0939428485397259E-4</v>
      </c>
      <c r="BE62" s="658">
        <f>AB62*AF!AA16*ACT2FLO!AA60/1000</f>
        <v>4.9048386801547937E-4</v>
      </c>
      <c r="BF62" s="658">
        <f>AC62*AF!AB16*ACT2FLO!AB60/1000</f>
        <v>3.7466050550962778E-4</v>
      </c>
      <c r="BG62" s="658">
        <f>AD62*AF!AC16*ACT2FLO!AC60/1000</f>
        <v>8.8252183173152029E-4</v>
      </c>
      <c r="BH62" s="658">
        <f>AE62*AF!AD16*ACT2FLO!AD60/1000</f>
        <v>8.3105041821689501E-5</v>
      </c>
      <c r="BK62" s="716"/>
      <c r="BL62" s="716"/>
      <c r="BM62" s="716"/>
      <c r="BN62" s="716"/>
      <c r="BO62" s="716"/>
      <c r="BP62" s="716"/>
      <c r="BQ62" s="716"/>
      <c r="BR62" s="716"/>
      <c r="BS62" s="716"/>
      <c r="BT62" s="716"/>
      <c r="BU62" s="716"/>
      <c r="BV62" s="716"/>
      <c r="BW62" s="716"/>
      <c r="BX62" s="716"/>
      <c r="BY62" s="716"/>
      <c r="BZ62" s="716"/>
      <c r="CA62" s="716"/>
      <c r="CB62" s="716"/>
      <c r="CC62" s="716"/>
      <c r="CD62" s="716"/>
      <c r="CE62" s="716"/>
      <c r="CF62" s="716"/>
      <c r="CG62" s="716"/>
      <c r="CH62" s="716"/>
      <c r="CI62" s="716"/>
      <c r="CJ62" s="716"/>
      <c r="CK62" s="716"/>
      <c r="CL62" s="716"/>
      <c r="CM62" s="716"/>
    </row>
    <row r="63" spans="1:91" ht="15.75">
      <c r="A63" s="448" t="str">
        <f>Commodities!K24</f>
        <v>T-TAX-ICE_DST00</v>
      </c>
      <c r="B63" s="28" t="s">
        <v>873</v>
      </c>
      <c r="C63" s="716" t="str">
        <f>Commodities!B19</f>
        <v>TRADSB</v>
      </c>
      <c r="D63" s="459" t="str">
        <f>Commodities!B22&amp;","&amp;Commodities!B23&amp;","&amp;Commodities!B24</f>
        <v>TRAPS,TRAPM,TRAPL</v>
      </c>
      <c r="E63" s="9">
        <f t="shared" si="8"/>
        <v>17.463000000000001</v>
      </c>
      <c r="F63" s="658">
        <f>D176/1000</f>
        <v>0.14699999999999999</v>
      </c>
      <c r="G63" s="658">
        <f t="shared" ref="G63:AE63" si="20">E176/1000</f>
        <v>8.5139999999999993</v>
      </c>
      <c r="H63" s="658">
        <f t="shared" si="20"/>
        <v>0.71499999999999997</v>
      </c>
      <c r="I63" s="658">
        <f t="shared" si="20"/>
        <v>0.20399999999999999</v>
      </c>
      <c r="J63" s="658">
        <f t="shared" si="20"/>
        <v>0.2</v>
      </c>
      <c r="K63" s="658">
        <f t="shared" si="20"/>
        <v>8.3000000000000004E-2</v>
      </c>
      <c r="L63" s="658">
        <f t="shared" si="20"/>
        <v>0.50800000000000001</v>
      </c>
      <c r="M63" s="658">
        <f t="shared" si="20"/>
        <v>0.83199999999999996</v>
      </c>
      <c r="N63" s="658">
        <f t="shared" si="20"/>
        <v>0.15</v>
      </c>
      <c r="O63" s="658">
        <f t="shared" si="20"/>
        <v>0.25900000000000001</v>
      </c>
      <c r="P63" s="658">
        <f t="shared" si="20"/>
        <v>0.25</v>
      </c>
      <c r="Q63" s="658">
        <f t="shared" si="20"/>
        <v>0.315</v>
      </c>
      <c r="R63" s="658">
        <f t="shared" si="20"/>
        <v>0.30099999999999999</v>
      </c>
      <c r="S63" s="658">
        <f t="shared" si="20"/>
        <v>1.538</v>
      </c>
      <c r="T63" s="658">
        <f t="shared" si="20"/>
        <v>0.436</v>
      </c>
      <c r="U63" s="658">
        <f t="shared" si="20"/>
        <v>0.48699999999999999</v>
      </c>
      <c r="V63" s="658">
        <f t="shared" si="20"/>
        <v>0.24099999999999999</v>
      </c>
      <c r="W63" s="658">
        <f t="shared" si="20"/>
        <v>0.26200000000000001</v>
      </c>
      <c r="X63" s="658">
        <f t="shared" si="20"/>
        <v>0.82199999999999995</v>
      </c>
      <c r="Y63" s="658">
        <f t="shared" si="20"/>
        <v>6.5000000000000002E-2</v>
      </c>
      <c r="Z63" s="658">
        <f t="shared" si="20"/>
        <v>0.27</v>
      </c>
      <c r="AA63" s="658">
        <f t="shared" si="20"/>
        <v>0.129</v>
      </c>
      <c r="AB63" s="658">
        <f t="shared" si="20"/>
        <v>0.155</v>
      </c>
      <c r="AC63" s="658">
        <f t="shared" si="20"/>
        <v>0.157</v>
      </c>
      <c r="AD63" s="658">
        <f t="shared" si="20"/>
        <v>0.34799999999999998</v>
      </c>
      <c r="AE63" s="658">
        <f t="shared" si="20"/>
        <v>7.4999999999999997E-2</v>
      </c>
      <c r="AF63" s="451"/>
      <c r="AG63" s="101" t="str">
        <f t="shared" si="3"/>
        <v>T-TAX-ICE_DST00</v>
      </c>
      <c r="AH63" s="658">
        <f>E63*AF!D17*ACT2FLO!D61/1000</f>
        <v>1.0402457641362053</v>
      </c>
      <c r="AI63" s="658">
        <f>F63*AF!E17*ACT2FLO!E61/1000</f>
        <v>8.0437698221748274E-3</v>
      </c>
      <c r="AJ63" s="658">
        <f>G63*AF!F17*ACT2FLO!F61/1000</f>
        <v>0.49445103116594963</v>
      </c>
      <c r="AK63" s="658">
        <f>H63*AF!G17*ACT2FLO!G61/1000</f>
        <v>4.5102739949248384E-2</v>
      </c>
      <c r="AL63" s="658">
        <f>I63*AF!H17*ACT2FLO!H61/1000</f>
        <v>1.2695591696276407E-2</v>
      </c>
      <c r="AM63" s="658">
        <f>J63*AF!I17*ACT2FLO!I61/1000</f>
        <v>1.2450836158025114E-2</v>
      </c>
      <c r="AN63" s="658">
        <f>K63*AF!J17*ACT2FLO!J61/1000</f>
        <v>5.6404018529220244E-3</v>
      </c>
      <c r="AO63" s="658">
        <f>L63*AF!K17*ACT2FLO!K61/1000</f>
        <v>3.2373970392738781E-2</v>
      </c>
      <c r="AP63" s="658">
        <f>M63*AF!L17*ACT2FLO!L61/1000</f>
        <v>5.3831298300056986E-2</v>
      </c>
      <c r="AQ63" s="658">
        <f>N63*AF!M17*ACT2FLO!M61/1000</f>
        <v>8.661798295219519E-3</v>
      </c>
      <c r="AR63" s="658">
        <f>O63*AF!N17*ACT2FLO!N61/1000</f>
        <v>1.6194549694790145E-2</v>
      </c>
      <c r="AS63" s="658">
        <f>P63*AF!O17*ACT2FLO!O61/1000</f>
        <v>1.449638395582648E-2</v>
      </c>
      <c r="AT63" s="658">
        <f>Q63*AF!P17*ACT2FLO!P61/1000</f>
        <v>1.8335001361535753E-2</v>
      </c>
      <c r="AU63" s="658">
        <f>R63*AF!Q17*ACT2FLO!Q61/1000</f>
        <v>1.7965615116759329E-2</v>
      </c>
      <c r="AV63" s="658">
        <f>S63*AF!R17*ACT2FLO!R61/1000</f>
        <v>9.2628414106859971E-2</v>
      </c>
      <c r="AW63" s="658">
        <f>T63*AF!S17*ACT2FLO!S61/1000</f>
        <v>2.5511326128417264E-2</v>
      </c>
      <c r="AX63" s="658">
        <f>U63*AF!T17*ACT2FLO!T61/1000</f>
        <v>2.9254756182992957E-2</v>
      </c>
      <c r="AY63" s="658">
        <f>V63*AF!U17*ACT2FLO!U61/1000</f>
        <v>1.4494459260962029E-2</v>
      </c>
      <c r="AZ63" s="658">
        <f>W63*AF!V17*ACT2FLO!V61/1000</f>
        <v>1.5522526816745721E-2</v>
      </c>
      <c r="BA63" s="658">
        <f>X63*AF!W17*ACT2FLO!W61/1000</f>
        <v>4.9907257266619529E-2</v>
      </c>
      <c r="BB63" s="658">
        <f>Y63*AF!X17*ACT2FLO!X61/1000</f>
        <v>4.1674567453412322E-3</v>
      </c>
      <c r="BC63" s="658">
        <f>Z63*AF!Y17*ACT2FLO!Y61/1000</f>
        <v>1.545668733226623E-2</v>
      </c>
      <c r="BD63" s="658">
        <f>AA63*AF!Z17*ACT2FLO!Z61/1000</f>
        <v>7.5392222535451432E-3</v>
      </c>
      <c r="BE63" s="658">
        <f>AB63*AF!AA17*ACT2FLO!AA61/1000</f>
        <v>9.3334944227404428E-3</v>
      </c>
      <c r="BF63" s="658">
        <f>AC63*AF!AB17*ACT2FLO!AB61/1000</f>
        <v>1.0315014203034848E-2</v>
      </c>
      <c r="BG63" s="658">
        <f>AD63*AF!AC17*ACT2FLO!AC61/1000</f>
        <v>2.1112004824381993E-2</v>
      </c>
      <c r="BH63" s="658">
        <f>AE63*AF!AD17*ACT2FLO!AD61/1000</f>
        <v>4.7557867290239711E-3</v>
      </c>
      <c r="BK63" s="716" t="s">
        <v>1100</v>
      </c>
      <c r="BL63" s="401"/>
      <c r="BM63" s="40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716"/>
    </row>
    <row r="64" spans="1:91">
      <c r="A64" s="448" t="str">
        <f>Commodities!K25</f>
        <v>T-TAX-HEV_GSL00</v>
      </c>
      <c r="B64" s="28" t="s">
        <v>873</v>
      </c>
      <c r="C64" s="716" t="str">
        <f>Commodities!B18</f>
        <v>TRAGSE</v>
      </c>
      <c r="D64" s="459" t="str">
        <f>Commodities!B22&amp;","&amp;Commodities!B23&amp;","&amp;Commodities!B24</f>
        <v>TRAPS,TRAPM,TRAPL</v>
      </c>
      <c r="E64" s="9">
        <f t="shared" si="8"/>
        <v>1.3499999999999988</v>
      </c>
      <c r="F64" s="658">
        <f>D177/1000</f>
        <v>4.0000000000000001E-3</v>
      </c>
      <c r="G64" s="658">
        <f t="shared" ref="G64:AE64" si="21">E177/1000</f>
        <v>1.0549999999999999</v>
      </c>
      <c r="H64" s="658">
        <f t="shared" si="21"/>
        <v>3.6999999999999998E-2</v>
      </c>
      <c r="I64" s="658">
        <f t="shared" si="21"/>
        <v>1E-3</v>
      </c>
      <c r="J64" s="658">
        <f t="shared" si="21"/>
        <v>1.6E-2</v>
      </c>
      <c r="K64" s="658">
        <f t="shared" si="21"/>
        <v>0</v>
      </c>
      <c r="L64" s="658">
        <f t="shared" si="21"/>
        <v>2.5000000000000001E-2</v>
      </c>
      <c r="M64" s="658">
        <f t="shared" si="21"/>
        <v>5.0999999999999997E-2</v>
      </c>
      <c r="N64" s="658">
        <f t="shared" si="21"/>
        <v>3.0000000000000001E-3</v>
      </c>
      <c r="O64" s="658">
        <f t="shared" si="21"/>
        <v>6.0000000000000001E-3</v>
      </c>
      <c r="P64" s="658">
        <f t="shared" si="21"/>
        <v>3.0000000000000001E-3</v>
      </c>
      <c r="Q64" s="658">
        <f t="shared" si="21"/>
        <v>1.2999999999999999E-2</v>
      </c>
      <c r="R64" s="658">
        <f t="shared" si="21"/>
        <v>7.0000000000000001E-3</v>
      </c>
      <c r="S64" s="658">
        <f t="shared" si="21"/>
        <v>4.9000000000000002E-2</v>
      </c>
      <c r="T64" s="658">
        <f t="shared" si="21"/>
        <v>4.0000000000000001E-3</v>
      </c>
      <c r="U64" s="658">
        <f t="shared" si="21"/>
        <v>4.2000000000000003E-2</v>
      </c>
      <c r="V64" s="658">
        <f t="shared" si="21"/>
        <v>3.0000000000000001E-3</v>
      </c>
      <c r="W64" s="658">
        <f t="shared" si="21"/>
        <v>1E-3</v>
      </c>
      <c r="X64" s="658">
        <f t="shared" si="21"/>
        <v>2.4E-2</v>
      </c>
      <c r="Y64" s="658">
        <f t="shared" si="21"/>
        <v>0</v>
      </c>
      <c r="Z64" s="658">
        <f t="shared" si="21"/>
        <v>2E-3</v>
      </c>
      <c r="AA64" s="658">
        <f t="shared" si="21"/>
        <v>0</v>
      </c>
      <c r="AB64" s="658">
        <f t="shared" si="21"/>
        <v>2E-3</v>
      </c>
      <c r="AC64" s="658">
        <f t="shared" si="21"/>
        <v>1E-3</v>
      </c>
      <c r="AD64" s="658">
        <f t="shared" si="21"/>
        <v>1E-3</v>
      </c>
      <c r="AE64" s="658">
        <f t="shared" si="21"/>
        <v>0</v>
      </c>
      <c r="AF64" s="451"/>
      <c r="AG64" s="101" t="str">
        <f t="shared" si="3"/>
        <v>T-TAX-HEV_GSL00</v>
      </c>
      <c r="AH64" s="658">
        <f>E64*AF!D18*ACT2FLO!D62/1000</f>
        <v>8.300783727097695E-2</v>
      </c>
      <c r="AI64" s="658">
        <f>F64*AF!E18*ACT2FLO!E62/1000</f>
        <v>2.757714737879086E-4</v>
      </c>
      <c r="AJ64" s="658">
        <f>G64*AF!F18*ACT2FLO!F62/1000</f>
        <v>6.3488626363770298E-2</v>
      </c>
      <c r="AK64" s="658">
        <f>H64*AF!G18*ACT2FLO!G62/1000</f>
        <v>2.5930071098391977E-3</v>
      </c>
      <c r="AL64" s="658">
        <f>I64*AF!H18*ACT2FLO!H62/1000</f>
        <v>6.3337381155700908E-5</v>
      </c>
      <c r="AM64" s="658">
        <f>J64*AF!I18*ACT2FLO!I62/1000</f>
        <v>9.6935391833724192E-4</v>
      </c>
      <c r="AN64" s="658">
        <f>K64*AF!J18*ACT2FLO!J62/1000</f>
        <v>0</v>
      </c>
      <c r="AO64" s="658">
        <f>L64*AF!K18*ACT2FLO!K62/1000</f>
        <v>1.5758252701260844E-3</v>
      </c>
      <c r="AP64" s="658">
        <f>M64*AF!L18*ACT2FLO!L62/1000</f>
        <v>3.5990272113500129E-3</v>
      </c>
      <c r="AQ64" s="658">
        <f>N64*AF!M18*ACT2FLO!M62/1000</f>
        <v>1.7797161047785614E-4</v>
      </c>
      <c r="AR64" s="658">
        <f>O64*AF!N18*ACT2FLO!N62/1000</f>
        <v>4.403522808483561E-4</v>
      </c>
      <c r="AS64" s="658">
        <f>P64*AF!O18*ACT2FLO!O62/1000</f>
        <v>1.8358455782674653E-4</v>
      </c>
      <c r="AT64" s="658">
        <f>Q64*AF!P18*ACT2FLO!P62/1000</f>
        <v>7.7574901112316191E-4</v>
      </c>
      <c r="AU64" s="658">
        <f>R64*AF!Q18*ACT2FLO!Q62/1000</f>
        <v>3.905772844351894E-4</v>
      </c>
      <c r="AV64" s="658">
        <f>S64*AF!R18*ACT2FLO!R62/1000</f>
        <v>3.3137919084727874E-3</v>
      </c>
      <c r="AW64" s="658">
        <f>T64*AF!S18*ACT2FLO!S62/1000</f>
        <v>2.1424091858635616E-4</v>
      </c>
      <c r="AX64" s="658">
        <f>U64*AF!T18*ACT2FLO!T62/1000</f>
        <v>2.8440902689588219E-3</v>
      </c>
      <c r="AY64" s="658">
        <f>V64*AF!U18*ACT2FLO!U62/1000</f>
        <v>1.7015645412126712E-4</v>
      </c>
      <c r="AZ64" s="658">
        <f>W64*AF!V18*ACT2FLO!V62/1000</f>
        <v>8.979522149006391E-5</v>
      </c>
      <c r="BA64" s="658">
        <f>X64*AF!W18*ACT2FLO!W62/1000</f>
        <v>1.454532193377534E-3</v>
      </c>
      <c r="BB64" s="658">
        <f>Y64*AF!X18*ACT2FLO!X62/1000</f>
        <v>0</v>
      </c>
      <c r="BC64" s="658">
        <f>Z64*AF!Y18*ACT2FLO!Y62/1000</f>
        <v>1.6365277589324657E-4</v>
      </c>
      <c r="BD64" s="658">
        <f>AA64*AF!Z18*ACT2FLO!Z62/1000</f>
        <v>0</v>
      </c>
      <c r="BE64" s="658">
        <f>AB64*AF!AA18*ACT2FLO!AA62/1000</f>
        <v>7.6865449633210022E-5</v>
      </c>
      <c r="BF64" s="658">
        <f>AC64*AF!AB18*ACT2FLO!AB62/1000</f>
        <v>6.39670100183356E-5</v>
      </c>
      <c r="BG64" s="658">
        <f>AD64*AF!AC18*ACT2FLO!AC62/1000</f>
        <v>8.8034647893123284E-5</v>
      </c>
      <c r="BH64" s="658">
        <f>AE64*AF!AD18*ACT2FLO!AD62/1000</f>
        <v>0</v>
      </c>
      <c r="BK64" s="718" t="str">
        <f>BK56</f>
        <v>Technology</v>
      </c>
      <c r="BL64" s="791" t="str">
        <f t="shared" ref="BL64:CL64" si="22">BL56</f>
        <v>IE</v>
      </c>
      <c r="BM64" s="791" t="str">
        <f t="shared" si="22"/>
        <v>IE-CW</v>
      </c>
      <c r="BN64" s="791" t="str">
        <f t="shared" si="22"/>
        <v>IE-D</v>
      </c>
      <c r="BO64" s="791" t="str">
        <f t="shared" si="22"/>
        <v>IE-KE</v>
      </c>
      <c r="BP64" s="791" t="str">
        <f t="shared" si="22"/>
        <v>IE-KK</v>
      </c>
      <c r="BQ64" s="791" t="str">
        <f t="shared" si="22"/>
        <v>IE-LS</v>
      </c>
      <c r="BR64" s="791" t="str">
        <f t="shared" si="22"/>
        <v>IE-LD</v>
      </c>
      <c r="BS64" s="791" t="str">
        <f t="shared" si="22"/>
        <v>IE-LH</v>
      </c>
      <c r="BT64" s="791" t="str">
        <f t="shared" si="22"/>
        <v>IE-MH</v>
      </c>
      <c r="BU64" s="791" t="str">
        <f t="shared" si="22"/>
        <v>IE-OY</v>
      </c>
      <c r="BV64" s="791" t="str">
        <f t="shared" si="22"/>
        <v>IE-WH</v>
      </c>
      <c r="BW64" s="791" t="str">
        <f t="shared" si="22"/>
        <v>IE-WX</v>
      </c>
      <c r="BX64" s="791" t="str">
        <f t="shared" si="22"/>
        <v>IE-WW</v>
      </c>
      <c r="BY64" s="791" t="str">
        <f t="shared" si="22"/>
        <v>IE-CE</v>
      </c>
      <c r="BZ64" s="791" t="str">
        <f t="shared" si="22"/>
        <v>IE-CO</v>
      </c>
      <c r="CA64" s="791" t="str">
        <f t="shared" si="22"/>
        <v>IE-KY</v>
      </c>
      <c r="CB64" s="791" t="str">
        <f t="shared" si="22"/>
        <v>IE-LK</v>
      </c>
      <c r="CC64" s="791" t="str">
        <f t="shared" si="22"/>
        <v>IE-TA</v>
      </c>
      <c r="CD64" s="791" t="str">
        <f t="shared" si="22"/>
        <v>IE-WD</v>
      </c>
      <c r="CE64" s="791" t="str">
        <f t="shared" si="22"/>
        <v>IE-G</v>
      </c>
      <c r="CF64" s="791" t="str">
        <f t="shared" si="22"/>
        <v>IE-LM</v>
      </c>
      <c r="CG64" s="791" t="str">
        <f t="shared" si="22"/>
        <v>IE-MO</v>
      </c>
      <c r="CH64" s="791" t="str">
        <f t="shared" si="22"/>
        <v>IE-RN</v>
      </c>
      <c r="CI64" s="791" t="str">
        <f t="shared" si="22"/>
        <v>IE-SO</v>
      </c>
      <c r="CJ64" s="791" t="str">
        <f t="shared" si="22"/>
        <v>IE-CN</v>
      </c>
      <c r="CK64" s="791" t="str">
        <f t="shared" si="22"/>
        <v>IE-DL</v>
      </c>
      <c r="CL64" s="791" t="str">
        <f t="shared" si="22"/>
        <v>IE-MN</v>
      </c>
      <c r="CM64" s="716"/>
    </row>
    <row r="65" spans="1:92" ht="15.75">
      <c r="A65" s="455" t="s">
        <v>594</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55" t="str">
        <f t="shared" si="3"/>
        <v>*Large sevice vehicle</v>
      </c>
      <c r="AH65" s="776"/>
      <c r="AI65" s="776"/>
      <c r="AJ65" s="776"/>
      <c r="AK65" s="776"/>
      <c r="AL65" s="776"/>
      <c r="AM65" s="776"/>
      <c r="AN65" s="776"/>
      <c r="AO65" s="776"/>
      <c r="AP65" s="776"/>
      <c r="AQ65" s="776"/>
      <c r="AR65" s="776"/>
      <c r="AS65" s="776"/>
      <c r="AT65" s="776"/>
      <c r="AU65" s="776"/>
      <c r="AV65" s="776"/>
      <c r="AW65" s="776"/>
      <c r="AX65" s="776"/>
      <c r="AY65" s="776"/>
      <c r="AZ65" s="776"/>
      <c r="BA65" s="776"/>
      <c r="BB65" s="776"/>
      <c r="BC65" s="776"/>
      <c r="BD65" s="776"/>
      <c r="BE65" s="776"/>
      <c r="BF65" s="776"/>
      <c r="BG65" s="776"/>
      <c r="BH65" s="776"/>
      <c r="BK65" s="787" t="s">
        <v>1111</v>
      </c>
      <c r="BL65" s="792">
        <f>BL50+BL51-BL73</f>
        <v>0</v>
      </c>
      <c r="BM65" s="792">
        <f t="shared" ref="BM65:CL65" si="23">BM50+BM51-BM73</f>
        <v>0</v>
      </c>
      <c r="BN65" s="792">
        <f t="shared" si="23"/>
        <v>0</v>
      </c>
      <c r="BO65" s="792">
        <f t="shared" si="23"/>
        <v>0</v>
      </c>
      <c r="BP65" s="792">
        <f t="shared" si="23"/>
        <v>0</v>
      </c>
      <c r="BQ65" s="792">
        <f t="shared" si="23"/>
        <v>0</v>
      </c>
      <c r="BR65" s="792">
        <f t="shared" si="23"/>
        <v>0</v>
      </c>
      <c r="BS65" s="792">
        <f t="shared" si="23"/>
        <v>0</v>
      </c>
      <c r="BT65" s="792">
        <f t="shared" si="23"/>
        <v>0</v>
      </c>
      <c r="BU65" s="792">
        <f t="shared" si="23"/>
        <v>0</v>
      </c>
      <c r="BV65" s="792">
        <f t="shared" si="23"/>
        <v>0</v>
      </c>
      <c r="BW65" s="792">
        <f t="shared" si="23"/>
        <v>0</v>
      </c>
      <c r="BX65" s="792">
        <f t="shared" si="23"/>
        <v>0</v>
      </c>
      <c r="BY65" s="792">
        <f t="shared" si="23"/>
        <v>0</v>
      </c>
      <c r="BZ65" s="792">
        <f t="shared" si="23"/>
        <v>0</v>
      </c>
      <c r="CA65" s="792">
        <f t="shared" si="23"/>
        <v>0</v>
      </c>
      <c r="CB65" s="792">
        <f t="shared" si="23"/>
        <v>0</v>
      </c>
      <c r="CC65" s="792">
        <f t="shared" si="23"/>
        <v>0</v>
      </c>
      <c r="CD65" s="792">
        <f t="shared" si="23"/>
        <v>0</v>
      </c>
      <c r="CE65" s="792">
        <f t="shared" si="23"/>
        <v>0</v>
      </c>
      <c r="CF65" s="792">
        <f t="shared" si="23"/>
        <v>0</v>
      </c>
      <c r="CG65" s="792">
        <f t="shared" si="23"/>
        <v>0</v>
      </c>
      <c r="CH65" s="792">
        <f t="shared" si="23"/>
        <v>0</v>
      </c>
      <c r="CI65" s="792">
        <f t="shared" si="23"/>
        <v>0</v>
      </c>
      <c r="CJ65" s="792">
        <f t="shared" si="23"/>
        <v>0</v>
      </c>
      <c r="CK65" s="792">
        <f t="shared" si="23"/>
        <v>0</v>
      </c>
      <c r="CL65" s="792">
        <f t="shared" si="23"/>
        <v>0</v>
      </c>
      <c r="CM65" s="716"/>
      <c r="CN65" s="716"/>
    </row>
    <row r="66" spans="1:92">
      <c r="A66" s="448" t="str">
        <f>Commodities!K27</f>
        <v>T-BUS-ICE_DST00</v>
      </c>
      <c r="B66" s="28" t="s">
        <v>873</v>
      </c>
      <c r="C66" s="716" t="str">
        <f>Commodities!B19</f>
        <v>TRADSB</v>
      </c>
      <c r="D66" s="459" t="str">
        <f>Commodities!B22&amp;","&amp;Commodities!B23&amp;","&amp;Commodities!B24</f>
        <v>TRAPS,TRAPM,TRAPL</v>
      </c>
      <c r="E66" s="9">
        <f>SUM(F66:AE66)</f>
        <v>10.695000000000004</v>
      </c>
      <c r="F66" s="658">
        <f>D178/1000</f>
        <v>0.14899999999999999</v>
      </c>
      <c r="G66" s="658">
        <f t="shared" ref="G66:AE66" si="24">E178/1000</f>
        <v>3.0659999999999998</v>
      </c>
      <c r="H66" s="658">
        <f t="shared" si="24"/>
        <v>0.501</v>
      </c>
      <c r="I66" s="658">
        <f t="shared" si="24"/>
        <v>0.29499999999999998</v>
      </c>
      <c r="J66" s="658">
        <f t="shared" si="24"/>
        <v>0.19800000000000001</v>
      </c>
      <c r="K66" s="658">
        <f t="shared" si="24"/>
        <v>0.105</v>
      </c>
      <c r="L66" s="658">
        <f t="shared" si="24"/>
        <v>0.23</v>
      </c>
      <c r="M66" s="658">
        <f t="shared" si="24"/>
        <v>0.376</v>
      </c>
      <c r="N66" s="658">
        <f t="shared" si="24"/>
        <v>0.21099999999999999</v>
      </c>
      <c r="O66" s="658">
        <f t="shared" si="24"/>
        <v>0.16</v>
      </c>
      <c r="P66" s="658">
        <f t="shared" si="24"/>
        <v>0.28899999999999998</v>
      </c>
      <c r="Q66" s="658">
        <f t="shared" si="24"/>
        <v>0.251</v>
      </c>
      <c r="R66" s="658">
        <f t="shared" si="24"/>
        <v>0.23799999999999999</v>
      </c>
      <c r="S66" s="658">
        <f t="shared" si="24"/>
        <v>0.89700000000000002</v>
      </c>
      <c r="T66" s="658">
        <f t="shared" si="24"/>
        <v>0.52400000000000002</v>
      </c>
      <c r="U66" s="658">
        <f t="shared" si="24"/>
        <v>0.314</v>
      </c>
      <c r="V66" s="658">
        <f t="shared" si="24"/>
        <v>0.39100000000000001</v>
      </c>
      <c r="W66" s="658">
        <f t="shared" si="24"/>
        <v>0.17899999999999999</v>
      </c>
      <c r="X66" s="658">
        <f t="shared" si="24"/>
        <v>0.59599999999999997</v>
      </c>
      <c r="Y66" s="658">
        <f t="shared" si="24"/>
        <v>9.9000000000000005E-2</v>
      </c>
      <c r="Z66" s="658">
        <f t="shared" si="24"/>
        <v>0.34100000000000003</v>
      </c>
      <c r="AA66" s="658">
        <f t="shared" si="24"/>
        <v>0.126</v>
      </c>
      <c r="AB66" s="658">
        <f t="shared" si="24"/>
        <v>0.11899999999999999</v>
      </c>
      <c r="AC66" s="658">
        <f t="shared" si="24"/>
        <v>0.19400000000000001</v>
      </c>
      <c r="AD66" s="658">
        <f t="shared" si="24"/>
        <v>0.625</v>
      </c>
      <c r="AE66" s="658">
        <f t="shared" si="24"/>
        <v>0.221</v>
      </c>
      <c r="AF66" s="451"/>
      <c r="AG66" s="101" t="str">
        <f t="shared" si="3"/>
        <v>T-BUS-ICE_DST00</v>
      </c>
      <c r="AH66" s="658">
        <f>E66*AF!D19*ACT2FLO!D63/1000</f>
        <v>10.519481681250003</v>
      </c>
      <c r="AI66" s="658">
        <f>F66*AF!E19*ACT2FLO!E63/1000</f>
        <v>0.11808831099999999</v>
      </c>
      <c r="AJ66" s="658">
        <f>G66*AF!F19*ACT2FLO!F63/1000</f>
        <v>3.5358560684999998</v>
      </c>
      <c r="AK66" s="658">
        <f>H66*AF!G19*ACT2FLO!G63/1000</f>
        <v>0.45269495775000002</v>
      </c>
      <c r="AL66" s="658">
        <f>I66*AF!H19*ACT2FLO!H63/1000</f>
        <v>0.29241756999999996</v>
      </c>
      <c r="AM66" s="658">
        <f>J66*AF!I19*ACT2FLO!I63/1000</f>
        <v>0.1493744175</v>
      </c>
      <c r="AN66" s="658">
        <f>K66*AF!J19*ACT2FLO!J63/1000</f>
        <v>8.4421181249999991E-2</v>
      </c>
      <c r="AO66" s="658">
        <f>L66*AF!K19*ACT2FLO!K63/1000</f>
        <v>0.22892670500000004</v>
      </c>
      <c r="AP66" s="658">
        <f>M66*AF!L19*ACT2FLO!L63/1000</f>
        <v>0.30109920200000001</v>
      </c>
      <c r="AQ66" s="658">
        <f>N66*AF!M19*ACT2FLO!M63/1000</f>
        <v>0.18289379775</v>
      </c>
      <c r="AR66" s="658">
        <f>O66*AF!N19*ACT2FLO!N63/1000</f>
        <v>0.14101548000000003</v>
      </c>
      <c r="AS66" s="658">
        <f>P66*AF!O19*ACT2FLO!O63/1000</f>
        <v>0.26711272949999998</v>
      </c>
      <c r="AT66" s="658">
        <f>Q66*AF!P19*ACT2FLO!P63/1000</f>
        <v>0.24114906574999997</v>
      </c>
      <c r="AU66" s="658">
        <f>R66*AF!Q19*ACT2FLO!Q63/1000</f>
        <v>0.20048626149999998</v>
      </c>
      <c r="AV66" s="658">
        <f>S66*AF!R19*ACT2FLO!R63/1000</f>
        <v>0.79161909450000012</v>
      </c>
      <c r="AW66" s="658">
        <f>T66*AF!S19*ACT2FLO!S63/1000</f>
        <v>0.49987923200000006</v>
      </c>
      <c r="AX66" s="658">
        <f>U66*AF!T19*ACT2FLO!T63/1000</f>
        <v>0.29683354150000002</v>
      </c>
      <c r="AY66" s="658">
        <f>V66*AF!U19*ACT2FLO!U63/1000</f>
        <v>0.34555485200000002</v>
      </c>
      <c r="AZ66" s="658">
        <f>W66*AF!V19*ACT2FLO!V63/1000</f>
        <v>0.1514736485</v>
      </c>
      <c r="BA66" s="658">
        <f>X66*AF!W19*ACT2FLO!W63/1000</f>
        <v>0.57002661799999998</v>
      </c>
      <c r="BB66" s="658">
        <f>Y66*AF!X19*ACT2FLO!X63/1000</f>
        <v>5.9836094999999999E-2</v>
      </c>
      <c r="BC66" s="658">
        <f>Z66*AF!Y19*ACT2FLO!Y63/1000</f>
        <v>0.34838503700000001</v>
      </c>
      <c r="BD66" s="658">
        <f>AA66*AF!Z19*ACT2FLO!Z63/1000</f>
        <v>0.10867027499999998</v>
      </c>
      <c r="BE66" s="658">
        <f>AB66*AF!AA19*ACT2FLO!AA63/1000</f>
        <v>0.11319791700000001</v>
      </c>
      <c r="BF66" s="658">
        <f>AC66*AF!AB19*ACT2FLO!AB63/1000</f>
        <v>0.20658056049999998</v>
      </c>
      <c r="BG66" s="658">
        <f>AD66*AF!AC19*ACT2FLO!AC63/1000</f>
        <v>0.55923812499999992</v>
      </c>
      <c r="BH66" s="658">
        <f>AE66*AF!AD19*ACT2FLO!AD63/1000</f>
        <v>0.27255499050000004</v>
      </c>
      <c r="BK66" s="1" t="s">
        <v>367</v>
      </c>
      <c r="BL66" s="793">
        <f>BL52-BL74</f>
        <v>2.2879999999999845E-3</v>
      </c>
      <c r="BM66" s="793">
        <f t="shared" ref="BM66:CL66" si="25">BM52-BM74</f>
        <v>0</v>
      </c>
      <c r="BN66" s="793">
        <f t="shared" si="25"/>
        <v>6.2376178571428562E-2</v>
      </c>
      <c r="BO66" s="793">
        <f t="shared" si="25"/>
        <v>0</v>
      </c>
      <c r="BP66" s="793">
        <f t="shared" si="25"/>
        <v>0</v>
      </c>
      <c r="BQ66" s="793">
        <f t="shared" si="25"/>
        <v>0</v>
      </c>
      <c r="BR66" s="793">
        <f t="shared" si="25"/>
        <v>0</v>
      </c>
      <c r="BS66" s="793">
        <f t="shared" si="25"/>
        <v>0</v>
      </c>
      <c r="BT66" s="793">
        <f t="shared" si="25"/>
        <v>8.1351392857142851E-2</v>
      </c>
      <c r="BU66" s="793">
        <f t="shared" si="25"/>
        <v>0</v>
      </c>
      <c r="BV66" s="793">
        <f t="shared" si="25"/>
        <v>0</v>
      </c>
      <c r="BW66" s="793">
        <f t="shared" si="25"/>
        <v>0</v>
      </c>
      <c r="BX66" s="793">
        <f t="shared" si="25"/>
        <v>0</v>
      </c>
      <c r="BY66" s="793">
        <f t="shared" si="25"/>
        <v>0</v>
      </c>
      <c r="BZ66" s="793">
        <f t="shared" si="25"/>
        <v>0</v>
      </c>
      <c r="CA66" s="793">
        <f t="shared" si="25"/>
        <v>0</v>
      </c>
      <c r="CB66" s="793">
        <f t="shared" si="25"/>
        <v>0</v>
      </c>
      <c r="CC66" s="793">
        <f t="shared" si="25"/>
        <v>0</v>
      </c>
      <c r="CD66" s="793">
        <f t="shared" si="25"/>
        <v>7.5026321428571421E-2</v>
      </c>
      <c r="CE66" s="793">
        <f t="shared" si="25"/>
        <v>0</v>
      </c>
      <c r="CF66" s="793">
        <f t="shared" si="25"/>
        <v>0</v>
      </c>
      <c r="CG66" s="793">
        <f t="shared" si="25"/>
        <v>5.6051107142857132E-2</v>
      </c>
      <c r="CH66" s="793">
        <f t="shared" si="25"/>
        <v>0</v>
      </c>
      <c r="CI66" s="793">
        <f t="shared" si="25"/>
        <v>0</v>
      </c>
      <c r="CJ66" s="793">
        <f t="shared" si="25"/>
        <v>0</v>
      </c>
      <c r="CK66" s="793">
        <f t="shared" si="25"/>
        <v>0</v>
      </c>
      <c r="CL66" s="793">
        <f t="shared" si="25"/>
        <v>0</v>
      </c>
      <c r="CM66" s="716"/>
      <c r="CN66" s="716"/>
    </row>
    <row r="67" spans="1:92" ht="15.75">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55" t="str">
        <f t="shared" si="3"/>
        <v>*Rail</v>
      </c>
      <c r="AH67" s="776"/>
      <c r="AI67" s="776"/>
      <c r="AJ67" s="776"/>
      <c r="AK67" s="776"/>
      <c r="AL67" s="776"/>
      <c r="AM67" s="776"/>
      <c r="AN67" s="776"/>
      <c r="AO67" s="776"/>
      <c r="AP67" s="776"/>
      <c r="AQ67" s="776"/>
      <c r="AR67" s="776"/>
      <c r="AS67" s="776"/>
      <c r="AT67" s="776"/>
      <c r="AU67" s="776"/>
      <c r="AV67" s="776"/>
      <c r="AW67" s="776"/>
      <c r="AX67" s="776"/>
      <c r="AY67" s="776"/>
      <c r="AZ67" s="776"/>
      <c r="BA67" s="776"/>
      <c r="BB67" s="776"/>
      <c r="BC67" s="776"/>
      <c r="BD67" s="776"/>
      <c r="BE67" s="776"/>
      <c r="BF67" s="776"/>
      <c r="BG67" s="776"/>
      <c r="BH67" s="776"/>
      <c r="BK67" s="136" t="s">
        <v>1</v>
      </c>
      <c r="BL67" s="794">
        <f>SUM(BL65:BL66)</f>
        <v>2.2879999999999845E-3</v>
      </c>
      <c r="BM67" s="794">
        <f t="shared" ref="BM67" si="26">SUM(BM65:BM66)</f>
        <v>0</v>
      </c>
      <c r="BN67" s="794">
        <f t="shared" ref="BN67" si="27">SUM(BN65:BN66)</f>
        <v>6.2376178571428562E-2</v>
      </c>
      <c r="BO67" s="794">
        <f t="shared" ref="BO67" si="28">SUM(BO65:BO66)</f>
        <v>0</v>
      </c>
      <c r="BP67" s="794">
        <f t="shared" ref="BP67" si="29">SUM(BP65:BP66)</f>
        <v>0</v>
      </c>
      <c r="BQ67" s="794">
        <f t="shared" ref="BQ67" si="30">SUM(BQ65:BQ66)</f>
        <v>0</v>
      </c>
      <c r="BR67" s="794">
        <f t="shared" ref="BR67" si="31">SUM(BR65:BR66)</f>
        <v>0</v>
      </c>
      <c r="BS67" s="794">
        <f t="shared" ref="BS67" si="32">SUM(BS65:BS66)</f>
        <v>0</v>
      </c>
      <c r="BT67" s="794">
        <f t="shared" ref="BT67" si="33">SUM(BT65:BT66)</f>
        <v>8.1351392857142851E-2</v>
      </c>
      <c r="BU67" s="794">
        <f t="shared" ref="BU67" si="34">SUM(BU65:BU66)</f>
        <v>0</v>
      </c>
      <c r="BV67" s="794">
        <f t="shared" ref="BV67" si="35">SUM(BV65:BV66)</f>
        <v>0</v>
      </c>
      <c r="BW67" s="794">
        <f t="shared" ref="BW67" si="36">SUM(BW65:BW66)</f>
        <v>0</v>
      </c>
      <c r="BX67" s="794">
        <f t="shared" ref="BX67" si="37">SUM(BX65:BX66)</f>
        <v>0</v>
      </c>
      <c r="BY67" s="794">
        <f t="shared" ref="BY67" si="38">SUM(BY65:BY66)</f>
        <v>0</v>
      </c>
      <c r="BZ67" s="794">
        <f t="shared" ref="BZ67" si="39">SUM(BZ65:BZ66)</f>
        <v>0</v>
      </c>
      <c r="CA67" s="794">
        <f t="shared" ref="CA67" si="40">SUM(CA65:CA66)</f>
        <v>0</v>
      </c>
      <c r="CB67" s="794">
        <f t="shared" ref="CB67" si="41">SUM(CB65:CB66)</f>
        <v>0</v>
      </c>
      <c r="CC67" s="794">
        <f t="shared" ref="CC67" si="42">SUM(CC65:CC66)</f>
        <v>0</v>
      </c>
      <c r="CD67" s="794">
        <f t="shared" ref="CD67" si="43">SUM(CD65:CD66)</f>
        <v>7.5026321428571421E-2</v>
      </c>
      <c r="CE67" s="794">
        <f t="shared" ref="CE67" si="44">SUM(CE65:CE66)</f>
        <v>0</v>
      </c>
      <c r="CF67" s="794">
        <f t="shared" ref="CF67" si="45">SUM(CF65:CF66)</f>
        <v>0</v>
      </c>
      <c r="CG67" s="794">
        <f t="shared" ref="CG67" si="46">SUM(CG65:CG66)</f>
        <v>5.6051107142857132E-2</v>
      </c>
      <c r="CH67" s="794">
        <f t="shared" ref="CH67" si="47">SUM(CH65:CH66)</f>
        <v>0</v>
      </c>
      <c r="CI67" s="794">
        <f t="shared" ref="CI67" si="48">SUM(CI65:CI66)</f>
        <v>0</v>
      </c>
      <c r="CJ67" s="794">
        <f t="shared" ref="CJ67" si="49">SUM(CJ65:CJ66)</f>
        <v>0</v>
      </c>
      <c r="CK67" s="794">
        <f t="shared" ref="CK67" si="50">SUM(CK65:CK66)</f>
        <v>0</v>
      </c>
      <c r="CL67" s="794">
        <f t="shared" ref="CL67" si="51">SUM(CL65:CL66)</f>
        <v>0</v>
      </c>
      <c r="CM67" s="716"/>
      <c r="CN67" s="716"/>
    </row>
    <row r="68" spans="1:92">
      <c r="A68" s="459" t="str">
        <f>Commodities!K29</f>
        <v>T-LPT-EV_ELC00</v>
      </c>
      <c r="B68" s="28" t="s">
        <v>873</v>
      </c>
      <c r="C68" s="459" t="str">
        <f>Commodities!B14</f>
        <v>TRAELC</v>
      </c>
      <c r="D68" s="459" t="str">
        <f>Commodities!B22&amp;","&amp;Commodities!B23</f>
        <v>TRAPS,TRAPM</v>
      </c>
      <c r="E68" s="517">
        <f t="shared" ref="E68:E72" si="52">SUM(F68:AE68)</f>
        <v>7.2999999999999995E-2</v>
      </c>
      <c r="F68" s="646">
        <f>D179/1000</f>
        <v>0</v>
      </c>
      <c r="G68" s="646">
        <f t="shared" ref="G68:AE68" si="53">E179/1000</f>
        <v>7.2999999999999995E-2</v>
      </c>
      <c r="H68" s="646">
        <f t="shared" si="53"/>
        <v>0</v>
      </c>
      <c r="I68" s="646">
        <f t="shared" si="53"/>
        <v>0</v>
      </c>
      <c r="J68" s="646">
        <f t="shared" si="53"/>
        <v>0</v>
      </c>
      <c r="K68" s="646">
        <f t="shared" si="53"/>
        <v>0</v>
      </c>
      <c r="L68" s="646">
        <f t="shared" si="53"/>
        <v>0</v>
      </c>
      <c r="M68" s="646">
        <f t="shared" si="53"/>
        <v>0</v>
      </c>
      <c r="N68" s="646">
        <f t="shared" si="53"/>
        <v>0</v>
      </c>
      <c r="O68" s="646">
        <f t="shared" si="53"/>
        <v>0</v>
      </c>
      <c r="P68" s="646">
        <f t="shared" si="53"/>
        <v>0</v>
      </c>
      <c r="Q68" s="646">
        <f t="shared" si="53"/>
        <v>0</v>
      </c>
      <c r="R68" s="646">
        <f t="shared" si="53"/>
        <v>0</v>
      </c>
      <c r="S68" s="646">
        <f t="shared" si="53"/>
        <v>0</v>
      </c>
      <c r="T68" s="646">
        <f t="shared" si="53"/>
        <v>0</v>
      </c>
      <c r="U68" s="646">
        <f t="shared" si="53"/>
        <v>0</v>
      </c>
      <c r="V68" s="646">
        <f t="shared" si="53"/>
        <v>0</v>
      </c>
      <c r="W68" s="646">
        <f t="shared" si="53"/>
        <v>0</v>
      </c>
      <c r="X68" s="646">
        <f t="shared" si="53"/>
        <v>0</v>
      </c>
      <c r="Y68" s="646">
        <f t="shared" si="53"/>
        <v>0</v>
      </c>
      <c r="Z68" s="646">
        <f t="shared" si="53"/>
        <v>0</v>
      </c>
      <c r="AA68" s="646">
        <f t="shared" si="53"/>
        <v>0</v>
      </c>
      <c r="AB68" s="646">
        <f t="shared" si="53"/>
        <v>0</v>
      </c>
      <c r="AC68" s="646">
        <f t="shared" si="53"/>
        <v>0</v>
      </c>
      <c r="AD68" s="646">
        <f t="shared" si="53"/>
        <v>0</v>
      </c>
      <c r="AE68" s="646">
        <f t="shared" si="53"/>
        <v>0</v>
      </c>
      <c r="AF68" s="451"/>
      <c r="AG68" s="101" t="str">
        <f t="shared" si="3"/>
        <v>T-LPT-EV_ELC00</v>
      </c>
      <c r="AH68" s="658">
        <f>E68*AF!D20*ACT2FLO!D64/1000</f>
        <v>0.31718342830155838</v>
      </c>
      <c r="AI68" s="658">
        <f>F68*AF!E20*ACT2FLO!E64/1000</f>
        <v>0</v>
      </c>
      <c r="AJ68" s="658">
        <f>G68*AF!F20*ACT2FLO!F64/1000</f>
        <v>0.31718342830155838</v>
      </c>
      <c r="AK68" s="658">
        <f>H68*AF!G20*ACT2FLO!G64/1000</f>
        <v>0</v>
      </c>
      <c r="AL68" s="658">
        <f>I68*AF!H20*ACT2FLO!H64/1000</f>
        <v>0</v>
      </c>
      <c r="AM68" s="658">
        <f>J68*AF!I20*ACT2FLO!I64/1000</f>
        <v>0</v>
      </c>
      <c r="AN68" s="658">
        <f>K68*AF!J20*ACT2FLO!J64/1000</f>
        <v>0</v>
      </c>
      <c r="AO68" s="658">
        <f>L68*AF!K20*ACT2FLO!K64/1000</f>
        <v>0</v>
      </c>
      <c r="AP68" s="658">
        <f>M68*AF!L20*ACT2FLO!L64/1000</f>
        <v>0</v>
      </c>
      <c r="AQ68" s="658">
        <f>N68*AF!M20*ACT2FLO!M64/1000</f>
        <v>0</v>
      </c>
      <c r="AR68" s="658">
        <f>O68*AF!N20*ACT2FLO!N64/1000</f>
        <v>0</v>
      </c>
      <c r="AS68" s="658">
        <f>P68*AF!O20*ACT2FLO!O64/1000</f>
        <v>0</v>
      </c>
      <c r="AT68" s="658">
        <f>Q68*AF!P20*ACT2FLO!P64/1000</f>
        <v>0</v>
      </c>
      <c r="AU68" s="658">
        <f>R68*AF!Q20*ACT2FLO!Q64/1000</f>
        <v>0</v>
      </c>
      <c r="AV68" s="658">
        <f>S68*AF!R20*ACT2FLO!R64/1000</f>
        <v>0</v>
      </c>
      <c r="AW68" s="658">
        <f>T68*AF!S20*ACT2FLO!S64/1000</f>
        <v>0</v>
      </c>
      <c r="AX68" s="658">
        <f>U68*AF!T20*ACT2FLO!T64/1000</f>
        <v>0</v>
      </c>
      <c r="AY68" s="658">
        <f>V68*AF!U20*ACT2FLO!U64/1000</f>
        <v>0</v>
      </c>
      <c r="AZ68" s="658">
        <f>W68*AF!V20*ACT2FLO!V64/1000</f>
        <v>0</v>
      </c>
      <c r="BA68" s="658">
        <f>X68*AF!W20*ACT2FLO!W64/1000</f>
        <v>0</v>
      </c>
      <c r="BB68" s="658">
        <f>Y68*AF!X20*ACT2FLO!X64/1000</f>
        <v>0</v>
      </c>
      <c r="BC68" s="658">
        <f>Z68*AF!Y20*ACT2FLO!Y64/1000</f>
        <v>0</v>
      </c>
      <c r="BD68" s="658">
        <f>AA68*AF!Z20*ACT2FLO!Z64/1000</f>
        <v>0</v>
      </c>
      <c r="BE68" s="658">
        <f>AB68*AF!AA20*ACT2FLO!AA64/1000</f>
        <v>0</v>
      </c>
      <c r="BF68" s="658">
        <f>AC68*AF!AB20*ACT2FLO!AB64/1000</f>
        <v>0</v>
      </c>
      <c r="BG68" s="658">
        <f>AD68*AF!AC20*ACT2FLO!AC64/1000</f>
        <v>0</v>
      </c>
      <c r="BH68" s="658">
        <f>AE68*AF!AD20*ACT2FLO!AD64/1000</f>
        <v>0</v>
      </c>
      <c r="BK68" s="716"/>
      <c r="BL68" s="716"/>
      <c r="BM68" s="716"/>
      <c r="BN68" s="716"/>
      <c r="BO68" s="716"/>
      <c r="BP68" s="716"/>
      <c r="BQ68" s="716"/>
      <c r="BR68" s="716"/>
      <c r="BS68" s="716"/>
      <c r="BT68" s="716"/>
      <c r="BU68" s="716"/>
      <c r="BV68" s="716"/>
      <c r="BW68" s="716"/>
      <c r="BX68" s="716"/>
      <c r="BY68" s="716"/>
      <c r="BZ68" s="716"/>
      <c r="CA68" s="716"/>
      <c r="CB68" s="716"/>
      <c r="CC68" s="716"/>
      <c r="CD68" s="716"/>
      <c r="CE68" s="716"/>
      <c r="CF68" s="716"/>
      <c r="CG68" s="716"/>
      <c r="CH68" s="716"/>
      <c r="CI68" s="716"/>
      <c r="CJ68" s="716"/>
      <c r="CK68" s="716"/>
      <c r="CL68" s="716"/>
      <c r="CM68" s="716"/>
      <c r="CN68" s="716"/>
    </row>
    <row r="69" spans="1:92">
      <c r="A69" s="459" t="str">
        <f>Commodities!K30</f>
        <v>T-HPT-EV_ELC00</v>
      </c>
      <c r="B69" s="28" t="s">
        <v>873</v>
      </c>
      <c r="C69" s="459" t="str">
        <f>Commodities!B14</f>
        <v>TRAELC</v>
      </c>
      <c r="D69" s="459" t="str">
        <f>Commodities!B24</f>
        <v>TRAPL</v>
      </c>
      <c r="E69" s="517">
        <f t="shared" si="52"/>
        <v>5.1999999999999998E-2</v>
      </c>
      <c r="F69" s="5">
        <f>D180/1000</f>
        <v>0</v>
      </c>
      <c r="G69" s="5">
        <f t="shared" ref="G69:AE69" si="54">E180/1000</f>
        <v>5.1999999999999998E-2</v>
      </c>
      <c r="H69" s="5">
        <f t="shared" si="54"/>
        <v>0</v>
      </c>
      <c r="I69" s="5">
        <f t="shared" si="54"/>
        <v>0</v>
      </c>
      <c r="J69" s="5">
        <f t="shared" si="54"/>
        <v>0</v>
      </c>
      <c r="K69" s="5">
        <f t="shared" si="54"/>
        <v>0</v>
      </c>
      <c r="L69" s="5">
        <f t="shared" si="54"/>
        <v>0</v>
      </c>
      <c r="M69" s="5">
        <f t="shared" si="54"/>
        <v>0</v>
      </c>
      <c r="N69" s="5">
        <f t="shared" si="54"/>
        <v>0</v>
      </c>
      <c r="O69" s="5">
        <f t="shared" si="54"/>
        <v>0</v>
      </c>
      <c r="P69" s="5">
        <f t="shared" si="54"/>
        <v>0</v>
      </c>
      <c r="Q69" s="5">
        <f t="shared" si="54"/>
        <v>0</v>
      </c>
      <c r="R69" s="5">
        <f t="shared" si="54"/>
        <v>0</v>
      </c>
      <c r="S69" s="5">
        <f t="shared" si="54"/>
        <v>0</v>
      </c>
      <c r="T69" s="5">
        <f t="shared" si="54"/>
        <v>0</v>
      </c>
      <c r="U69" s="5">
        <f t="shared" si="54"/>
        <v>0</v>
      </c>
      <c r="V69" s="5">
        <f t="shared" si="54"/>
        <v>0</v>
      </c>
      <c r="W69" s="5">
        <f t="shared" si="54"/>
        <v>0</v>
      </c>
      <c r="X69" s="5">
        <f t="shared" si="54"/>
        <v>0</v>
      </c>
      <c r="Y69" s="5">
        <f t="shared" si="54"/>
        <v>0</v>
      </c>
      <c r="Z69" s="5">
        <f t="shared" si="54"/>
        <v>0</v>
      </c>
      <c r="AA69" s="5">
        <f t="shared" si="54"/>
        <v>0</v>
      </c>
      <c r="AB69" s="5">
        <f t="shared" si="54"/>
        <v>0</v>
      </c>
      <c r="AC69" s="5">
        <f t="shared" si="54"/>
        <v>0</v>
      </c>
      <c r="AD69" s="5">
        <f t="shared" si="54"/>
        <v>0</v>
      </c>
      <c r="AE69" s="5">
        <f t="shared" si="54"/>
        <v>0</v>
      </c>
      <c r="AF69" s="451"/>
      <c r="AG69" s="101" t="str">
        <f t="shared" si="3"/>
        <v>T-HPT-EV_ELC00</v>
      </c>
      <c r="AH69" s="658">
        <f>E69*AF!D21*ACT2FLO!D65/1000</f>
        <v>0.64293853613072993</v>
      </c>
      <c r="AI69" s="658">
        <f>F69*AF!E21*ACT2FLO!E65/1000</f>
        <v>0</v>
      </c>
      <c r="AJ69" s="658">
        <f>G69*AF!F21*ACT2FLO!F65/1000</f>
        <v>0.64293853613072993</v>
      </c>
      <c r="AK69" s="658">
        <f>H69*AF!G21*ACT2FLO!G65/1000</f>
        <v>0</v>
      </c>
      <c r="AL69" s="658">
        <f>I69*AF!H21*ACT2FLO!H65/1000</f>
        <v>0</v>
      </c>
      <c r="AM69" s="658">
        <f>J69*AF!I21*ACT2FLO!I65/1000</f>
        <v>0</v>
      </c>
      <c r="AN69" s="658">
        <f>K69*AF!J21*ACT2FLO!J65/1000</f>
        <v>0</v>
      </c>
      <c r="AO69" s="658">
        <f>L69*AF!K21*ACT2FLO!K65/1000</f>
        <v>0</v>
      </c>
      <c r="AP69" s="658">
        <f>M69*AF!L21*ACT2FLO!L65/1000</f>
        <v>0</v>
      </c>
      <c r="AQ69" s="658">
        <f>N69*AF!M21*ACT2FLO!M65/1000</f>
        <v>0</v>
      </c>
      <c r="AR69" s="658">
        <f>O69*AF!N21*ACT2FLO!N65/1000</f>
        <v>0</v>
      </c>
      <c r="AS69" s="658">
        <f>P69*AF!O21*ACT2FLO!O65/1000</f>
        <v>0</v>
      </c>
      <c r="AT69" s="658">
        <f>Q69*AF!P21*ACT2FLO!P65/1000</f>
        <v>0</v>
      </c>
      <c r="AU69" s="658">
        <f>R69*AF!Q21*ACT2FLO!Q65/1000</f>
        <v>0</v>
      </c>
      <c r="AV69" s="658">
        <f>S69*AF!R21*ACT2FLO!R65/1000</f>
        <v>0</v>
      </c>
      <c r="AW69" s="658">
        <f>T69*AF!S21*ACT2FLO!S65/1000</f>
        <v>0</v>
      </c>
      <c r="AX69" s="658">
        <f>U69*AF!T21*ACT2FLO!T65/1000</f>
        <v>0</v>
      </c>
      <c r="AY69" s="658">
        <f>V69*AF!U21*ACT2FLO!U65/1000</f>
        <v>0</v>
      </c>
      <c r="AZ69" s="658">
        <f>W69*AF!V21*ACT2FLO!V65/1000</f>
        <v>0</v>
      </c>
      <c r="BA69" s="658">
        <f>X69*AF!W21*ACT2FLO!W65/1000</f>
        <v>0</v>
      </c>
      <c r="BB69" s="658">
        <f>Y69*AF!X21*ACT2FLO!X65/1000</f>
        <v>0</v>
      </c>
      <c r="BC69" s="658">
        <f>Z69*AF!Y21*ACT2FLO!Y65/1000</f>
        <v>0</v>
      </c>
      <c r="BD69" s="658">
        <f>AA69*AF!Z21*ACT2FLO!Z65/1000</f>
        <v>0</v>
      </c>
      <c r="BE69" s="658">
        <f>AB69*AF!AA21*ACT2FLO!AA65/1000</f>
        <v>0</v>
      </c>
      <c r="BF69" s="658">
        <f>AC69*AF!AB21*ACT2FLO!AB65/1000</f>
        <v>0</v>
      </c>
      <c r="BG69" s="658">
        <f>AD69*AF!AC21*ACT2FLO!AC65/1000</f>
        <v>0</v>
      </c>
      <c r="BH69" s="658">
        <f>AE69*AF!AD21*ACT2FLO!AD65/1000</f>
        <v>0</v>
      </c>
      <c r="BK69" s="716"/>
      <c r="BL69" s="716"/>
      <c r="BM69" s="716"/>
      <c r="BN69" s="716"/>
      <c r="BO69" s="716"/>
      <c r="BP69" s="716"/>
      <c r="BQ69" s="716"/>
      <c r="BR69" s="716"/>
      <c r="BS69" s="716"/>
      <c r="BT69" s="716"/>
      <c r="BU69" s="716"/>
      <c r="BV69" s="716"/>
      <c r="BW69" s="716"/>
      <c r="BX69" s="716"/>
      <c r="BY69" s="716"/>
      <c r="BZ69" s="716"/>
      <c r="CA69" s="716"/>
      <c r="CB69" s="716"/>
      <c r="CC69" s="716"/>
      <c r="CD69" s="716"/>
      <c r="CE69" s="716"/>
      <c r="CF69" s="716"/>
      <c r="CG69" s="716"/>
      <c r="CH69" s="716"/>
      <c r="CI69" s="716"/>
      <c r="CJ69" s="716"/>
      <c r="CK69" s="716"/>
      <c r="CL69" s="716"/>
      <c r="CM69" s="716"/>
      <c r="CN69" s="716"/>
    </row>
    <row r="70" spans="1:92">
      <c r="A70" s="28" t="str">
        <f>Commodities!K31</f>
        <v>T-HPT-ICE_DST00</v>
      </c>
      <c r="B70" s="28" t="s">
        <v>873</v>
      </c>
      <c r="C70" s="28" t="str">
        <f>Commodities!B19</f>
        <v>TRADSB</v>
      </c>
      <c r="D70" s="459" t="str">
        <f>Commodities!B24</f>
        <v>TRAPL</v>
      </c>
      <c r="E70" s="671">
        <f t="shared" si="52"/>
        <v>0.14399999999999996</v>
      </c>
      <c r="F70" s="658">
        <f>D181/1000</f>
        <v>1.7216380556777638E-3</v>
      </c>
      <c r="G70" s="658">
        <f t="shared" ref="G70:AE70" si="55">E181/1000</f>
        <v>4.0744476376377785E-2</v>
      </c>
      <c r="H70" s="658">
        <f t="shared" si="55"/>
        <v>6.7285771436191438E-3</v>
      </c>
      <c r="I70" s="658">
        <f t="shared" si="55"/>
        <v>3.0008007366861492E-3</v>
      </c>
      <c r="J70" s="658">
        <f t="shared" si="55"/>
        <v>2.5612586665098632E-3</v>
      </c>
      <c r="K70" s="658">
        <f t="shared" si="55"/>
        <v>1.236009840682169E-3</v>
      </c>
      <c r="L70" s="658">
        <f t="shared" si="55"/>
        <v>3.8974847039972759E-3</v>
      </c>
      <c r="M70" s="658">
        <f t="shared" si="55"/>
        <v>5.8981798098014073E-3</v>
      </c>
      <c r="N70" s="658">
        <f t="shared" si="55"/>
        <v>2.357560325628717E-3</v>
      </c>
      <c r="O70" s="658">
        <f t="shared" si="55"/>
        <v>2.6844272149672429E-3</v>
      </c>
      <c r="P70" s="658">
        <f t="shared" si="55"/>
        <v>4.5276310857195624E-3</v>
      </c>
      <c r="Q70" s="658">
        <f t="shared" si="55"/>
        <v>4.3069679631824896E-3</v>
      </c>
      <c r="R70" s="658">
        <f t="shared" si="55"/>
        <v>3.5930560820182822E-3</v>
      </c>
      <c r="S70" s="658">
        <f t="shared" si="55"/>
        <v>1.6416465397486056E-2</v>
      </c>
      <c r="T70" s="658">
        <f t="shared" si="55"/>
        <v>4.4666969769197543E-3</v>
      </c>
      <c r="U70" s="658">
        <f t="shared" si="55"/>
        <v>5.8937949731880214E-3</v>
      </c>
      <c r="V70" s="658">
        <f t="shared" si="55"/>
        <v>4.8249230081071149E-3</v>
      </c>
      <c r="W70" s="658">
        <f t="shared" si="55"/>
        <v>3.5131915751496498E-3</v>
      </c>
      <c r="X70" s="658">
        <f t="shared" si="55"/>
        <v>7.8037390812213227E-3</v>
      </c>
      <c r="Y70" s="658">
        <f t="shared" si="55"/>
        <v>9.6901865130573773E-4</v>
      </c>
      <c r="Z70" s="658">
        <f t="shared" si="55"/>
        <v>3.9465646338146896E-3</v>
      </c>
      <c r="AA70" s="658">
        <f t="shared" si="55"/>
        <v>1.9518268577542609E-3</v>
      </c>
      <c r="AB70" s="658">
        <f t="shared" si="55"/>
        <v>1.9817949479878144E-3</v>
      </c>
      <c r="AC70" s="658">
        <f t="shared" si="55"/>
        <v>2.3035814749053137E-3</v>
      </c>
      <c r="AD70" s="658">
        <f t="shared" si="55"/>
        <v>4.8140062769524089E-3</v>
      </c>
      <c r="AE70" s="658">
        <f t="shared" si="55"/>
        <v>1.8563281403399705E-3</v>
      </c>
      <c r="AF70" s="451"/>
      <c r="AG70" s="101" t="str">
        <f t="shared" si="3"/>
        <v>T-HPT-ICE_DST00</v>
      </c>
      <c r="AH70" s="658">
        <f>E70*AF!D22*ACT2FLO!D66/1000</f>
        <v>1.2767155199999995</v>
      </c>
      <c r="AI70" s="658">
        <f>F70*AF!E22*ACT2FLO!E66/1000</f>
        <v>1.5264180732683506E-2</v>
      </c>
      <c r="AJ70" s="658">
        <f>G70*AF!F22*ACT2FLO!F66/1000</f>
        <v>0.36124378711107558</v>
      </c>
      <c r="AK70" s="658">
        <f>H70*AF!G22*ACT2FLO!G66/1000</f>
        <v>5.9656103241498816E-2</v>
      </c>
      <c r="AL70" s="658">
        <f>I70*AF!H22*ACT2FLO!H66/1000</f>
        <v>2.6605339395518336E-2</v>
      </c>
      <c r="AM70" s="658">
        <f>J70*AF!I22*ACT2FLO!I66/1000</f>
        <v>2.2708324237969767E-2</v>
      </c>
      <c r="AN70" s="658">
        <f>K70*AF!J22*ACT2FLO!J66/1000</f>
        <v>1.0958562128275364E-2</v>
      </c>
      <c r="AO70" s="658">
        <f>L70*AF!K22*ACT2FLO!K66/1000</f>
        <v>3.4555411184416164E-2</v>
      </c>
      <c r="AP70" s="658">
        <f>M70*AF!L22*ACT2FLO!L66/1000</f>
        <v>5.2293734048084059E-2</v>
      </c>
      <c r="AQ70" s="658">
        <f>N70*AF!M22*ACT2FLO!M66/1000</f>
        <v>2.0902318451850255E-2</v>
      </c>
      <c r="AR70" s="658">
        <f>O70*AF!N22*ACT2FLO!N66/1000</f>
        <v>2.3800346442076771E-2</v>
      </c>
      <c r="AS70" s="658">
        <f>P70*AF!O22*ACT2FLO!O66/1000</f>
        <v>4.0142339416476505E-2</v>
      </c>
      <c r="AT70" s="658">
        <f>Q70*AF!P22*ACT2FLO!P66/1000</f>
        <v>3.8185922519013003E-2</v>
      </c>
      <c r="AU70" s="658">
        <f>R70*AF!Q22*ACT2FLO!Q66/1000</f>
        <v>3.1856322667660655E-2</v>
      </c>
      <c r="AV70" s="658">
        <f>S70*AF!R22*ACT2FLO!R66/1000</f>
        <v>0.1455496955313432</v>
      </c>
      <c r="AW70" s="658">
        <f>T70*AF!S22*ACT2FLO!S66/1000</f>
        <v>3.9602092733128702E-2</v>
      </c>
      <c r="AX70" s="658">
        <f>U70*AF!T22*ACT2FLO!T66/1000</f>
        <v>5.2254857735882849E-2</v>
      </c>
      <c r="AY70" s="658">
        <f>V70*AF!U22*ACT2FLO!U66/1000</f>
        <v>4.2778153383718334E-2</v>
      </c>
      <c r="AZ70" s="658">
        <f>W70*AF!V22*ACT2FLO!V66/1000</f>
        <v>3.1148237560602809E-2</v>
      </c>
      <c r="BA70" s="658">
        <f>X70*AF!W22*ACT2FLO!W66/1000</f>
        <v>6.9188574993234747E-2</v>
      </c>
      <c r="BB70" s="658">
        <f>Y70*AF!X22*ACT2FLO!X66/1000</f>
        <v>8.5913968839687761E-3</v>
      </c>
      <c r="BC70" s="658">
        <f>Z70*AF!Y22*ACT2FLO!Y66/1000</f>
        <v>3.4990557768571746E-2</v>
      </c>
      <c r="BD70" s="658">
        <f>AA70*AF!Z22*ACT2FLO!Z66/1000</f>
        <v>1.7305053066997901E-2</v>
      </c>
      <c r="BE70" s="658">
        <f>AB70*AF!AA22*ACT2FLO!AA66/1000</f>
        <v>1.7570752552455802E-2</v>
      </c>
      <c r="BF70" s="658">
        <f>AC70*AF!AB22*ACT2FLO!AB66/1000</f>
        <v>2.0423737643028506E-2</v>
      </c>
      <c r="BG70" s="658">
        <f>AD70*AF!AC22*ACT2FLO!AC66/1000</f>
        <v>4.2681364771962209E-2</v>
      </c>
      <c r="BH70" s="658">
        <f>AE70*AF!AD22*ACT2FLO!AD66/1000</f>
        <v>1.6458353798505406E-2</v>
      </c>
      <c r="BK70" s="716"/>
      <c r="BL70" s="716"/>
      <c r="BM70" s="716"/>
      <c r="BN70" s="716"/>
      <c r="BO70" s="716"/>
      <c r="BP70" s="716"/>
      <c r="BQ70" s="716"/>
      <c r="BR70" s="716"/>
      <c r="BS70" s="716"/>
      <c r="BT70" s="716"/>
      <c r="BU70" s="716"/>
      <c r="BV70" s="716"/>
      <c r="BW70" s="716"/>
      <c r="BX70" s="716"/>
      <c r="BY70" s="716"/>
      <c r="BZ70" s="716"/>
      <c r="CA70" s="716"/>
      <c r="CB70" s="716"/>
      <c r="CC70" s="716"/>
      <c r="CD70" s="716"/>
      <c r="CE70" s="716"/>
      <c r="CF70" s="716"/>
      <c r="CG70" s="716"/>
      <c r="CH70" s="716"/>
      <c r="CI70" s="716"/>
      <c r="CJ70" s="716"/>
      <c r="CK70" s="716"/>
      <c r="CL70" s="716"/>
      <c r="CM70" s="716"/>
    </row>
    <row r="71" spans="1:92" ht="15.75">
      <c r="A71" s="455" t="s">
        <v>717</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55" t="s">
        <v>667</v>
      </c>
      <c r="AH71" s="776"/>
      <c r="AI71" s="776"/>
      <c r="AJ71" s="776"/>
      <c r="AK71" s="776"/>
      <c r="AL71" s="776"/>
      <c r="AM71" s="776"/>
      <c r="AN71" s="776"/>
      <c r="AO71" s="776"/>
      <c r="AP71" s="776"/>
      <c r="AQ71" s="776"/>
      <c r="AR71" s="776"/>
      <c r="AS71" s="776"/>
      <c r="AT71" s="776"/>
      <c r="AU71" s="776"/>
      <c r="AV71" s="776"/>
      <c r="AW71" s="776"/>
      <c r="AX71" s="776"/>
      <c r="AY71" s="776"/>
      <c r="AZ71" s="776"/>
      <c r="BA71" s="776"/>
      <c r="BB71" s="776"/>
      <c r="BC71" s="776"/>
      <c r="BD71" s="776"/>
      <c r="BE71" s="776"/>
      <c r="BF71" s="776"/>
      <c r="BG71" s="776"/>
      <c r="BH71" s="776"/>
      <c r="BK71" s="716" t="s">
        <v>1110</v>
      </c>
      <c r="BL71" s="401"/>
      <c r="BM71" s="40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716"/>
    </row>
    <row r="72" spans="1:92">
      <c r="A72" s="459" t="str">
        <f>Commodities!K34</f>
        <v>T-LGT-ICE_GSL00</v>
      </c>
      <c r="B72" s="28" t="s">
        <v>64</v>
      </c>
      <c r="C72" s="716" t="str">
        <f>Commodities!B18</f>
        <v>TRAGSE</v>
      </c>
      <c r="D72" s="459" t="str">
        <f>Commodities!B25</f>
        <v>TFGV</v>
      </c>
      <c r="E72" s="9">
        <f t="shared" si="52"/>
        <v>0.89000000000000035</v>
      </c>
      <c r="F72" s="517">
        <f>D182/1000</f>
        <v>0.01</v>
      </c>
      <c r="G72" s="517">
        <f t="shared" ref="G72:AE72" si="56">E182/1000</f>
        <v>0.27800000000000002</v>
      </c>
      <c r="H72" s="517">
        <f t="shared" si="56"/>
        <v>4.9000000000000002E-2</v>
      </c>
      <c r="I72" s="517">
        <f t="shared" si="56"/>
        <v>1.4999999999999999E-2</v>
      </c>
      <c r="J72" s="517">
        <f t="shared" si="56"/>
        <v>2.1000000000000001E-2</v>
      </c>
      <c r="K72" s="517">
        <f t="shared" si="56"/>
        <v>8.0000000000000002E-3</v>
      </c>
      <c r="L72" s="517">
        <f t="shared" si="56"/>
        <v>1.4999999999999999E-2</v>
      </c>
      <c r="M72" s="517">
        <f t="shared" si="56"/>
        <v>2.1000000000000001E-2</v>
      </c>
      <c r="N72" s="517">
        <f t="shared" si="56"/>
        <v>0.01</v>
      </c>
      <c r="O72" s="517">
        <f t="shared" si="56"/>
        <v>1.4E-2</v>
      </c>
      <c r="P72" s="517">
        <f t="shared" si="56"/>
        <v>2.8000000000000001E-2</v>
      </c>
      <c r="Q72" s="517">
        <f t="shared" si="56"/>
        <v>4.5999999999999999E-2</v>
      </c>
      <c r="R72" s="517">
        <f t="shared" si="56"/>
        <v>1.6E-2</v>
      </c>
      <c r="S72" s="517">
        <f t="shared" si="56"/>
        <v>0.13100000000000001</v>
      </c>
      <c r="T72" s="517">
        <f t="shared" si="56"/>
        <v>2.1000000000000001E-2</v>
      </c>
      <c r="U72" s="517">
        <f t="shared" si="56"/>
        <v>1.4E-2</v>
      </c>
      <c r="V72" s="517">
        <f t="shared" si="56"/>
        <v>2.7E-2</v>
      </c>
      <c r="W72" s="517">
        <f t="shared" si="56"/>
        <v>0.03</v>
      </c>
      <c r="X72" s="517">
        <f t="shared" si="56"/>
        <v>4.3999999999999997E-2</v>
      </c>
      <c r="Y72" s="517">
        <f t="shared" si="56"/>
        <v>2E-3</v>
      </c>
      <c r="Z72" s="517">
        <f t="shared" si="56"/>
        <v>1.9E-2</v>
      </c>
      <c r="AA72" s="517">
        <f t="shared" si="56"/>
        <v>1.4E-2</v>
      </c>
      <c r="AB72" s="517">
        <f t="shared" si="56"/>
        <v>8.9999999999999993E-3</v>
      </c>
      <c r="AC72" s="517">
        <f t="shared" si="56"/>
        <v>7.0000000000000001E-3</v>
      </c>
      <c r="AD72" s="517">
        <f t="shared" si="56"/>
        <v>2.9000000000000001E-2</v>
      </c>
      <c r="AE72" s="517">
        <f t="shared" si="56"/>
        <v>1.2E-2</v>
      </c>
      <c r="AF72" s="451"/>
      <c r="AG72" s="101" t="str">
        <f>A88</f>
        <v>T-WLK_WLK</v>
      </c>
      <c r="AH72" s="658">
        <f>E88*AF!D4*ACT2FLO!D48/1000</f>
        <v>37.6</v>
      </c>
      <c r="AI72" s="658">
        <f>F88*AF!E4*ACT2FLO!E48/1000</f>
        <v>0.44953882564919384</v>
      </c>
      <c r="AJ72" s="658">
        <f>G88*AF!F4*ACT2FLO!F48/1000</f>
        <v>10.638835498276421</v>
      </c>
      <c r="AK72" s="658">
        <f>H88*AF!G4*ACT2FLO!G48/1000</f>
        <v>1.7569062541672209</v>
      </c>
      <c r="AL72" s="658">
        <f>I88*AF!H4*ACT2FLO!H48/1000</f>
        <v>0.78354241457916107</v>
      </c>
      <c r="AM72" s="658">
        <f>J88*AF!I4*ACT2FLO!I48/1000</f>
        <v>0.66877309625535331</v>
      </c>
      <c r="AN72" s="658">
        <f>K88*AF!J4*ACT2FLO!J48/1000</f>
        <v>0.32273590284478854</v>
      </c>
      <c r="AO72" s="658">
        <f>L88*AF!K4*ACT2FLO!K48/1000</f>
        <v>1.0176765615992887</v>
      </c>
      <c r="AP72" s="658">
        <f>M88*AF!L4*ACT2FLO!L48/1000</f>
        <v>1.5400802836703673</v>
      </c>
      <c r="AQ72" s="658">
        <f>N88*AF!M4*ACT2FLO!M48/1000</f>
        <v>0.61558519613638729</v>
      </c>
      <c r="AR72" s="658">
        <f>O88*AF!N4*ACT2FLO!N48/1000</f>
        <v>0.70093377279700231</v>
      </c>
      <c r="AS72" s="658">
        <f>P88*AF!O4*ACT2FLO!O48/1000</f>
        <v>1.1822147834934413</v>
      </c>
      <c r="AT72" s="658">
        <f>Q88*AF!P4*ACT2FLO!P48/1000</f>
        <v>1.1245971903865388</v>
      </c>
      <c r="AU72" s="658">
        <f>R88*AF!Q4*ACT2FLO!Q48/1000</f>
        <v>0.93818686586032929</v>
      </c>
      <c r="AV72" s="658">
        <f>S88*AF!R4*ACT2FLO!R48/1000</f>
        <v>4.2865215204546931</v>
      </c>
      <c r="AW72" s="658">
        <f>T88*AF!S4*ACT2FLO!S48/1000</f>
        <v>1.166304210640158</v>
      </c>
      <c r="AX72" s="658">
        <f>U88*AF!T4*ACT2FLO!T48/1000</f>
        <v>1.5389353541102058</v>
      </c>
      <c r="AY72" s="658">
        <f>V88*AF!U4*ACT2FLO!U48/1000</f>
        <v>1.2598410076724134</v>
      </c>
      <c r="AZ72" s="658">
        <f>W88*AF!V4*ACT2FLO!V48/1000</f>
        <v>0.9173333557335196</v>
      </c>
      <c r="BA72" s="658">
        <f>X88*AF!W4*ACT2FLO!W48/1000</f>
        <v>2.0376429823189008</v>
      </c>
      <c r="BB72" s="658">
        <f>Y88*AF!X4*ACT2FLO!X48/1000</f>
        <v>0.25302153672983152</v>
      </c>
      <c r="BC72" s="658">
        <f>Z88*AF!Y4*ACT2FLO!Y48/1000</f>
        <v>1.0304918766071689</v>
      </c>
      <c r="BD72" s="658">
        <f>AA88*AF!Z4*ACT2FLO!Z48/1000</f>
        <v>0.50964367952472356</v>
      </c>
      <c r="BE72" s="658">
        <f>AB88*AF!AA4*ACT2FLO!AA48/1000</f>
        <v>0.51746868086348474</v>
      </c>
      <c r="BF72" s="658">
        <f>AC88*AF!AB4*ACT2FLO!AB48/1000</f>
        <v>0.60149071844749857</v>
      </c>
      <c r="BG72" s="658">
        <f>AD88*AF!AC4*ACT2FLO!AC48/1000</f>
        <v>1.2569905278709066</v>
      </c>
      <c r="BH72" s="658">
        <f>AE88*AF!AD4*ACT2FLO!AD48/1000</f>
        <v>0.48470790331099228</v>
      </c>
      <c r="BK72" s="718" t="str">
        <f>BK64</f>
        <v>Technology</v>
      </c>
      <c r="BL72" s="718" t="str">
        <f t="shared" ref="BL72:CL72" si="57">BL64</f>
        <v>IE</v>
      </c>
      <c r="BM72" s="718" t="str">
        <f t="shared" si="57"/>
        <v>IE-CW</v>
      </c>
      <c r="BN72" s="718" t="str">
        <f t="shared" si="57"/>
        <v>IE-D</v>
      </c>
      <c r="BO72" s="718" t="str">
        <f t="shared" si="57"/>
        <v>IE-KE</v>
      </c>
      <c r="BP72" s="718" t="str">
        <f t="shared" si="57"/>
        <v>IE-KK</v>
      </c>
      <c r="BQ72" s="718" t="str">
        <f t="shared" si="57"/>
        <v>IE-LS</v>
      </c>
      <c r="BR72" s="718" t="str">
        <f t="shared" si="57"/>
        <v>IE-LD</v>
      </c>
      <c r="BS72" s="718" t="str">
        <f t="shared" si="57"/>
        <v>IE-LH</v>
      </c>
      <c r="BT72" s="718" t="str">
        <f t="shared" si="57"/>
        <v>IE-MH</v>
      </c>
      <c r="BU72" s="718" t="str">
        <f t="shared" si="57"/>
        <v>IE-OY</v>
      </c>
      <c r="BV72" s="718" t="str">
        <f t="shared" si="57"/>
        <v>IE-WH</v>
      </c>
      <c r="BW72" s="718" t="str">
        <f t="shared" si="57"/>
        <v>IE-WX</v>
      </c>
      <c r="BX72" s="718" t="str">
        <f t="shared" si="57"/>
        <v>IE-WW</v>
      </c>
      <c r="BY72" s="718" t="str">
        <f t="shared" si="57"/>
        <v>IE-CE</v>
      </c>
      <c r="BZ72" s="718" t="str">
        <f t="shared" si="57"/>
        <v>IE-CO</v>
      </c>
      <c r="CA72" s="718" t="str">
        <f t="shared" si="57"/>
        <v>IE-KY</v>
      </c>
      <c r="CB72" s="718" t="str">
        <f t="shared" si="57"/>
        <v>IE-LK</v>
      </c>
      <c r="CC72" s="718" t="str">
        <f t="shared" si="57"/>
        <v>IE-TA</v>
      </c>
      <c r="CD72" s="718" t="str">
        <f t="shared" si="57"/>
        <v>IE-WD</v>
      </c>
      <c r="CE72" s="718" t="str">
        <f t="shared" si="57"/>
        <v>IE-G</v>
      </c>
      <c r="CF72" s="718" t="str">
        <f t="shared" si="57"/>
        <v>IE-LM</v>
      </c>
      <c r="CG72" s="718" t="str">
        <f t="shared" si="57"/>
        <v>IE-MO</v>
      </c>
      <c r="CH72" s="718" t="str">
        <f t="shared" si="57"/>
        <v>IE-RN</v>
      </c>
      <c r="CI72" s="718" t="str">
        <f t="shared" si="57"/>
        <v>IE-SO</v>
      </c>
      <c r="CJ72" s="718" t="str">
        <f t="shared" si="57"/>
        <v>IE-CN</v>
      </c>
      <c r="CK72" s="718" t="str">
        <f t="shared" si="57"/>
        <v>IE-DL</v>
      </c>
      <c r="CL72" s="718" t="str">
        <f t="shared" si="57"/>
        <v>IE-MN</v>
      </c>
      <c r="CM72" s="716"/>
    </row>
    <row r="73" spans="1:92">
      <c r="A73" s="459" t="str">
        <f>Commodities!K35</f>
        <v>T-HGT-ICE_DST00</v>
      </c>
      <c r="B73" s="28" t="s">
        <v>64</v>
      </c>
      <c r="C73" s="716" t="str">
        <f>Commodities!B19</f>
        <v>TRADSB</v>
      </c>
      <c r="D73" s="459" t="str">
        <f>Commodities!B25</f>
        <v>TFGV</v>
      </c>
      <c r="E73" s="9">
        <f>SUM(F73:AE73)</f>
        <v>353.57099999999997</v>
      </c>
      <c r="F73" s="517">
        <f>D183/1000</f>
        <v>5.7990000000000004</v>
      </c>
      <c r="G73" s="517">
        <f t="shared" ref="G73:AE73" si="58">E183/1000</f>
        <v>74.245000000000005</v>
      </c>
      <c r="H73" s="517">
        <f t="shared" si="58"/>
        <v>16.042000000000002</v>
      </c>
      <c r="I73" s="517">
        <f t="shared" si="58"/>
        <v>8.2059999999999995</v>
      </c>
      <c r="J73" s="517">
        <f t="shared" si="58"/>
        <v>6.0140000000000002</v>
      </c>
      <c r="K73" s="517">
        <f t="shared" si="58"/>
        <v>3.931</v>
      </c>
      <c r="L73" s="517">
        <f t="shared" si="58"/>
        <v>8.1280000000000001</v>
      </c>
      <c r="M73" s="517">
        <f t="shared" si="58"/>
        <v>14.762</v>
      </c>
      <c r="N73" s="517">
        <f t="shared" si="58"/>
        <v>6.5149999999999997</v>
      </c>
      <c r="O73" s="517">
        <f t="shared" si="58"/>
        <v>8.0960000000000001</v>
      </c>
      <c r="P73" s="517">
        <f t="shared" si="58"/>
        <v>13.961</v>
      </c>
      <c r="Q73" s="517">
        <f t="shared" si="58"/>
        <v>9.39</v>
      </c>
      <c r="R73" s="517">
        <f t="shared" si="58"/>
        <v>9.42</v>
      </c>
      <c r="S73" s="517">
        <f t="shared" si="58"/>
        <v>41.390999999999998</v>
      </c>
      <c r="T73" s="517">
        <f t="shared" si="58"/>
        <v>11.898999999999999</v>
      </c>
      <c r="U73" s="517">
        <f t="shared" si="58"/>
        <v>13.635</v>
      </c>
      <c r="V73" s="517">
        <f t="shared" si="58"/>
        <v>13.935</v>
      </c>
      <c r="W73" s="517">
        <f t="shared" si="58"/>
        <v>8.1319999999999997</v>
      </c>
      <c r="X73" s="517">
        <f t="shared" si="58"/>
        <v>20.314</v>
      </c>
      <c r="Y73" s="517">
        <f t="shared" si="58"/>
        <v>3.4009999999999998</v>
      </c>
      <c r="Z73" s="517">
        <f t="shared" si="58"/>
        <v>13.343</v>
      </c>
      <c r="AA73" s="517">
        <f t="shared" si="58"/>
        <v>6.3689999999999998</v>
      </c>
      <c r="AB73" s="517">
        <f t="shared" si="58"/>
        <v>6.0369999999999999</v>
      </c>
      <c r="AC73" s="517">
        <f t="shared" si="58"/>
        <v>8.0429999999999993</v>
      </c>
      <c r="AD73" s="517">
        <f t="shared" si="58"/>
        <v>14.606</v>
      </c>
      <c r="AE73" s="517">
        <f t="shared" si="58"/>
        <v>7.9569999999999999</v>
      </c>
      <c r="AF73" s="451"/>
      <c r="AG73" s="778" t="str">
        <f>A89</f>
        <v>T-CYC_CYC</v>
      </c>
      <c r="AH73" s="779">
        <f>E89*AF!D5*ACT2FLO!D49/1000</f>
        <v>16</v>
      </c>
      <c r="AI73" s="779">
        <f>F89*AF!E5*ACT2FLO!E49/1000</f>
        <v>0.19129311729752929</v>
      </c>
      <c r="AJ73" s="779">
        <f>G89*AF!F5*ACT2FLO!F49/1000</f>
        <v>4.5271640418197538</v>
      </c>
      <c r="AK73" s="779">
        <f>H89*AF!G5*ACT2FLO!G49/1000</f>
        <v>0.7476196826243493</v>
      </c>
      <c r="AL73" s="779">
        <f>I89*AF!H5*ACT2FLO!H49/1000</f>
        <v>0.3334223040762388</v>
      </c>
      <c r="AM73" s="779">
        <f>J89*AF!I5*ACT2FLO!I49/1000</f>
        <v>0.28458429627887372</v>
      </c>
      <c r="AN73" s="779">
        <f>K89*AF!J5*ACT2FLO!J49/1000</f>
        <v>0.13733442674246321</v>
      </c>
      <c r="AO73" s="779">
        <f>L89*AF!K5*ACT2FLO!K49/1000</f>
        <v>0.43305385599969731</v>
      </c>
      <c r="AP73" s="779">
        <f>M89*AF!L5*ACT2FLO!L49/1000</f>
        <v>0.65535331220015636</v>
      </c>
      <c r="AQ73" s="779">
        <f>N89*AF!M5*ACT2FLO!M49/1000</f>
        <v>0.26195114729207969</v>
      </c>
      <c r="AR73" s="779">
        <f>O89*AF!N5*ACT2FLO!N49/1000</f>
        <v>0.29826969055191588</v>
      </c>
      <c r="AS73" s="779">
        <f>P89*AF!O5*ACT2FLO!O49/1000</f>
        <v>0.50307012063550693</v>
      </c>
      <c r="AT73" s="779">
        <f>Q89*AF!P5*ACT2FLO!P49/1000</f>
        <v>0.47855199590916547</v>
      </c>
      <c r="AU73" s="779">
        <f>R89*AF!Q5*ACT2FLO!Q49/1000</f>
        <v>0.3992284535575869</v>
      </c>
      <c r="AV73" s="779">
        <f>S89*AF!R5*ACT2FLO!R49/1000</f>
        <v>1.8240517108317842</v>
      </c>
      <c r="AW73" s="779">
        <f>T89*AF!S5*ACT2FLO!S49/1000</f>
        <v>0.49629966410219495</v>
      </c>
      <c r="AX73" s="779">
        <f>U89*AF!T5*ACT2FLO!T49/1000</f>
        <v>0.65486610813200241</v>
      </c>
      <c r="AY73" s="779">
        <f>V89*AF!U5*ACT2FLO!U49/1000</f>
        <v>0.53610255645634608</v>
      </c>
      <c r="AZ73" s="779">
        <f>W89*AF!V5*ACT2FLO!V49/1000</f>
        <v>0.39035461946107219</v>
      </c>
      <c r="BA73" s="779">
        <f>X89*AF!W5*ACT2FLO!W49/1000</f>
        <v>0.86708212013570252</v>
      </c>
      <c r="BB73" s="779">
        <f>Y89*AF!X5*ACT2FLO!X49/1000</f>
        <v>0.10766873903397085</v>
      </c>
      <c r="BC73" s="779">
        <f>Z89*AF!Y5*ACT2FLO!Y49/1000</f>
        <v>0.43850718153496554</v>
      </c>
      <c r="BD73" s="779">
        <f>AA89*AF!Z5*ACT2FLO!Z49/1000</f>
        <v>0.21686965086158452</v>
      </c>
      <c r="BE73" s="779">
        <f>AB89*AF!AA5*ACT2FLO!AA49/1000</f>
        <v>0.22019943866531269</v>
      </c>
      <c r="BF73" s="779">
        <f>AC89*AF!AB5*ACT2FLO!AB49/1000</f>
        <v>0.25595349721170152</v>
      </c>
      <c r="BG73" s="779">
        <f>AD89*AF!AC5*ACT2FLO!AC49/1000</f>
        <v>0.5348895863280454</v>
      </c>
      <c r="BH73" s="779">
        <f>AE89*AF!AD5*ACT2FLO!AD49/1000</f>
        <v>0.20625868225999672</v>
      </c>
      <c r="BK73" s="787" t="s">
        <v>1111</v>
      </c>
      <c r="BL73" s="788">
        <f>Demands!C7</f>
        <v>11.536999999999999</v>
      </c>
      <c r="BM73" s="788">
        <f>Demands!D7</f>
        <v>0.17794099599204954</v>
      </c>
      <c r="BN73" s="788">
        <f>Demands!E7</f>
        <v>2.6292279716035631</v>
      </c>
      <c r="BO73" s="788">
        <f>Demands!F7</f>
        <v>0.48228404218784626</v>
      </c>
      <c r="BP73" s="788">
        <f>Demands!G7</f>
        <v>0.31014966827589163</v>
      </c>
      <c r="BQ73" s="788">
        <f>Demands!H7</f>
        <v>0.22090468018989404</v>
      </c>
      <c r="BR73" s="788">
        <f>Demands!I7</f>
        <v>0.10660397645018758</v>
      </c>
      <c r="BS73" s="788">
        <f>Demands!J7</f>
        <v>0.27935990585939297</v>
      </c>
      <c r="BT73" s="788">
        <f>Demands!K7</f>
        <v>0.42276367492038924</v>
      </c>
      <c r="BU73" s="788">
        <f>Demands!L7</f>
        <v>0.20333600685129727</v>
      </c>
      <c r="BV73" s="788">
        <f>Demands!M7</f>
        <v>0.23152778091853185</v>
      </c>
      <c r="BW73" s="788">
        <f>Demands!N7</f>
        <v>0.46795618987426485</v>
      </c>
      <c r="BX73" s="788">
        <f>Demands!O7</f>
        <v>0.30871042636808321</v>
      </c>
      <c r="BY73" s="788">
        <f>Demands!P7</f>
        <v>0.30378726686741447</v>
      </c>
      <c r="BZ73" s="788">
        <f>Demands!Q7</f>
        <v>1.625427705266085</v>
      </c>
      <c r="CA73" s="788">
        <f>Demands!R7</f>
        <v>0.44225677339931185</v>
      </c>
      <c r="CB73" s="788">
        <f>Demands!S7</f>
        <v>0.49831113834882401</v>
      </c>
      <c r="CC73" s="788">
        <f>Demands!T7</f>
        <v>0.40793968700183131</v>
      </c>
      <c r="CD73" s="788">
        <f>Demands!U7</f>
        <v>0.36310814920207179</v>
      </c>
      <c r="CE73" s="788">
        <f>Demands!V7</f>
        <v>0.60506096800451603</v>
      </c>
      <c r="CF73" s="788">
        <f>Demands!W7</f>
        <v>8.0693470189707711E-2</v>
      </c>
      <c r="CG73" s="788">
        <f>Demands!X7</f>
        <v>0.30599590693319084</v>
      </c>
      <c r="CH73" s="788">
        <f>Demands!Y7</f>
        <v>0.1513344097795204</v>
      </c>
      <c r="CI73" s="788">
        <f>Demands!Z7</f>
        <v>0.16503078794415471</v>
      </c>
      <c r="CJ73" s="788">
        <f>Demands!AA7</f>
        <v>0.19182704360164693</v>
      </c>
      <c r="CK73" s="788">
        <f>Demands!AB7</f>
        <v>0.40087863270627727</v>
      </c>
      <c r="CL73" s="788">
        <f>Demands!AC7</f>
        <v>0.15458274126405555</v>
      </c>
      <c r="CM73" s="716"/>
    </row>
    <row r="74" spans="1:92" s="459" customFormat="1">
      <c r="A74" s="459" t="str">
        <f>Commodities!K36</f>
        <v>T-GTR-ICE_DST00</v>
      </c>
      <c r="B74" s="459" t="s">
        <v>64</v>
      </c>
      <c r="C74" s="716" t="str">
        <f>Commodities!B19</f>
        <v>TRADSB</v>
      </c>
      <c r="D74" s="459" t="str">
        <f>Commodities!B26</f>
        <v>TFRAIL</v>
      </c>
      <c r="E74" s="517">
        <f>C184/1000</f>
        <v>1.4E-2</v>
      </c>
      <c r="F74" s="517">
        <f>D184/1000</f>
        <v>0</v>
      </c>
      <c r="G74" s="517">
        <f t="shared" ref="G74:AE74" si="59">E184/1000</f>
        <v>1.4E-2</v>
      </c>
      <c r="H74" s="517">
        <f t="shared" si="59"/>
        <v>0</v>
      </c>
      <c r="I74" s="517">
        <f t="shared" si="59"/>
        <v>0</v>
      </c>
      <c r="J74" s="517">
        <f t="shared" si="59"/>
        <v>0</v>
      </c>
      <c r="K74" s="517">
        <f t="shared" si="59"/>
        <v>0</v>
      </c>
      <c r="L74" s="517">
        <f t="shared" si="59"/>
        <v>0</v>
      </c>
      <c r="M74" s="517">
        <f t="shared" si="59"/>
        <v>1.4E-2</v>
      </c>
      <c r="N74" s="517">
        <f t="shared" si="59"/>
        <v>0</v>
      </c>
      <c r="O74" s="517">
        <f t="shared" si="59"/>
        <v>0</v>
      </c>
      <c r="P74" s="517">
        <f t="shared" si="59"/>
        <v>0</v>
      </c>
      <c r="Q74" s="517">
        <f t="shared" si="59"/>
        <v>0</v>
      </c>
      <c r="R74" s="517">
        <f t="shared" si="59"/>
        <v>0</v>
      </c>
      <c r="S74" s="517">
        <f t="shared" si="59"/>
        <v>0</v>
      </c>
      <c r="T74" s="517">
        <f t="shared" si="59"/>
        <v>0</v>
      </c>
      <c r="U74" s="517">
        <f t="shared" si="59"/>
        <v>0</v>
      </c>
      <c r="V74" s="517">
        <f t="shared" si="59"/>
        <v>0</v>
      </c>
      <c r="W74" s="517">
        <f t="shared" si="59"/>
        <v>1.4E-2</v>
      </c>
      <c r="X74" s="517">
        <f t="shared" si="59"/>
        <v>0</v>
      </c>
      <c r="Y74" s="517">
        <f t="shared" si="59"/>
        <v>0</v>
      </c>
      <c r="Z74" s="517">
        <f t="shared" si="59"/>
        <v>1.4E-2</v>
      </c>
      <c r="AA74" s="517">
        <f t="shared" si="59"/>
        <v>0</v>
      </c>
      <c r="AB74" s="517">
        <f t="shared" si="59"/>
        <v>0</v>
      </c>
      <c r="AC74" s="517">
        <f t="shared" si="59"/>
        <v>0</v>
      </c>
      <c r="AD74" s="517">
        <f t="shared" si="59"/>
        <v>0</v>
      </c>
      <c r="AE74" s="517">
        <f t="shared" si="59"/>
        <v>0</v>
      </c>
      <c r="AF74" s="451"/>
      <c r="AG74" s="101"/>
      <c r="BK74" s="1" t="s">
        <v>367</v>
      </c>
      <c r="BL74" s="789">
        <f>Demands!C8</f>
        <v>8.8551000000000005E-2</v>
      </c>
      <c r="BM74" s="789">
        <f>Demands!D8</f>
        <v>0</v>
      </c>
      <c r="BN74" s="789">
        <f>Demands!E8</f>
        <v>2.8462821428571431E-2</v>
      </c>
      <c r="BO74" s="789">
        <f>Demands!F8</f>
        <v>0</v>
      </c>
      <c r="BP74" s="789">
        <f>Demands!G8</f>
        <v>0</v>
      </c>
      <c r="BQ74" s="789">
        <f>Demands!H8</f>
        <v>0</v>
      </c>
      <c r="BR74" s="789">
        <f>Demands!I8</f>
        <v>0</v>
      </c>
      <c r="BS74" s="789">
        <f>Demands!J8</f>
        <v>0</v>
      </c>
      <c r="BT74" s="789">
        <f>Demands!K8</f>
        <v>9.4876071428571431E-3</v>
      </c>
      <c r="BU74" s="789">
        <f>Demands!L8</f>
        <v>0</v>
      </c>
      <c r="BV74" s="789">
        <f>Demands!M8</f>
        <v>0</v>
      </c>
      <c r="BW74" s="789">
        <f>Demands!N8</f>
        <v>0</v>
      </c>
      <c r="BX74" s="789">
        <f>Demands!O8</f>
        <v>0</v>
      </c>
      <c r="BY74" s="789">
        <f>Demands!P8</f>
        <v>0</v>
      </c>
      <c r="BZ74" s="789">
        <f>Demands!Q8</f>
        <v>0</v>
      </c>
      <c r="CA74" s="789">
        <f>Demands!R8</f>
        <v>0</v>
      </c>
      <c r="CB74" s="789">
        <f>Demands!S8</f>
        <v>0</v>
      </c>
      <c r="CC74" s="789">
        <f>Demands!T8</f>
        <v>0</v>
      </c>
      <c r="CD74" s="789">
        <f>Demands!U8</f>
        <v>1.5812678571428571E-2</v>
      </c>
      <c r="CE74" s="789">
        <f>Demands!V8</f>
        <v>0</v>
      </c>
      <c r="CF74" s="789">
        <f>Demands!W8</f>
        <v>0</v>
      </c>
      <c r="CG74" s="789">
        <f>Demands!X8</f>
        <v>3.4787892857142858E-2</v>
      </c>
      <c r="CH74" s="789">
        <f>Demands!Y8</f>
        <v>0</v>
      </c>
      <c r="CI74" s="789">
        <f>Demands!Z8</f>
        <v>0</v>
      </c>
      <c r="CJ74" s="789">
        <f>Demands!AA8</f>
        <v>0</v>
      </c>
      <c r="CK74" s="789">
        <f>Demands!AB8</f>
        <v>0</v>
      </c>
      <c r="CL74" s="789">
        <f>Demands!AC8</f>
        <v>0</v>
      </c>
      <c r="CM74" s="716"/>
    </row>
    <row r="75" spans="1:92" s="459" customFormat="1" ht="15.75">
      <c r="A75" s="455" t="s">
        <v>752</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c r="AG75" s="716"/>
      <c r="AH75" s="716"/>
      <c r="AI75" s="716"/>
      <c r="AJ75" s="716"/>
      <c r="AK75" s="716"/>
      <c r="AL75" s="716"/>
      <c r="AM75" s="716"/>
      <c r="AN75" s="716"/>
      <c r="AO75" s="716"/>
      <c r="AP75" s="716"/>
      <c r="AQ75" s="716"/>
      <c r="AR75" s="716"/>
      <c r="AS75" s="716"/>
      <c r="AT75" s="716"/>
      <c r="AU75" s="716"/>
      <c r="AV75" s="716"/>
      <c r="AW75" s="716"/>
      <c r="AX75" s="716"/>
      <c r="AY75" s="716"/>
      <c r="AZ75" s="716"/>
      <c r="BA75" s="716"/>
      <c r="BB75" s="716"/>
      <c r="BC75" s="716"/>
      <c r="BD75" s="716"/>
      <c r="BE75" s="716"/>
      <c r="BF75" s="716"/>
      <c r="BG75" s="716"/>
      <c r="BH75" s="716"/>
      <c r="BK75" s="136" t="s">
        <v>1</v>
      </c>
      <c r="BL75" s="790">
        <f>SUM(BL73:BL74)</f>
        <v>11.625551</v>
      </c>
      <c r="BM75" s="790">
        <f t="shared" ref="BM75:CL75" si="60">SUM(BM73:BM74)</f>
        <v>0.17794099599204954</v>
      </c>
      <c r="BN75" s="790">
        <f t="shared" si="60"/>
        <v>2.6576907930321347</v>
      </c>
      <c r="BO75" s="790">
        <f t="shared" si="60"/>
        <v>0.48228404218784626</v>
      </c>
      <c r="BP75" s="790">
        <f t="shared" si="60"/>
        <v>0.31014966827589163</v>
      </c>
      <c r="BQ75" s="790">
        <f t="shared" si="60"/>
        <v>0.22090468018989404</v>
      </c>
      <c r="BR75" s="790">
        <f t="shared" si="60"/>
        <v>0.10660397645018758</v>
      </c>
      <c r="BS75" s="790">
        <f t="shared" si="60"/>
        <v>0.27935990585939297</v>
      </c>
      <c r="BT75" s="790">
        <f t="shared" si="60"/>
        <v>0.43225128206324637</v>
      </c>
      <c r="BU75" s="790">
        <f t="shared" si="60"/>
        <v>0.20333600685129727</v>
      </c>
      <c r="BV75" s="790">
        <f t="shared" si="60"/>
        <v>0.23152778091853185</v>
      </c>
      <c r="BW75" s="790">
        <f t="shared" si="60"/>
        <v>0.46795618987426485</v>
      </c>
      <c r="BX75" s="790">
        <f t="shared" si="60"/>
        <v>0.30871042636808321</v>
      </c>
      <c r="BY75" s="790">
        <f t="shared" si="60"/>
        <v>0.30378726686741447</v>
      </c>
      <c r="BZ75" s="790">
        <f t="shared" si="60"/>
        <v>1.625427705266085</v>
      </c>
      <c r="CA75" s="790">
        <f t="shared" si="60"/>
        <v>0.44225677339931185</v>
      </c>
      <c r="CB75" s="790">
        <f t="shared" si="60"/>
        <v>0.49831113834882401</v>
      </c>
      <c r="CC75" s="790">
        <f t="shared" si="60"/>
        <v>0.40793968700183131</v>
      </c>
      <c r="CD75" s="790">
        <f t="shared" si="60"/>
        <v>0.37892082777350039</v>
      </c>
      <c r="CE75" s="790">
        <f t="shared" si="60"/>
        <v>0.60506096800451603</v>
      </c>
      <c r="CF75" s="790">
        <f t="shared" si="60"/>
        <v>8.0693470189707711E-2</v>
      </c>
      <c r="CG75" s="790">
        <f t="shared" si="60"/>
        <v>0.34078379979033369</v>
      </c>
      <c r="CH75" s="790">
        <f t="shared" si="60"/>
        <v>0.1513344097795204</v>
      </c>
      <c r="CI75" s="790">
        <f t="shared" si="60"/>
        <v>0.16503078794415471</v>
      </c>
      <c r="CJ75" s="790">
        <f t="shared" si="60"/>
        <v>0.19182704360164693</v>
      </c>
      <c r="CK75" s="790">
        <f t="shared" si="60"/>
        <v>0.40087863270627727</v>
      </c>
      <c r="CL75" s="790">
        <f t="shared" si="60"/>
        <v>0.15458274126405555</v>
      </c>
      <c r="CM75" s="716"/>
    </row>
    <row r="76" spans="1:92" s="459" customFormat="1" ht="15.75">
      <c r="A76" s="459" t="str">
        <f>Commodities!K38</f>
        <v>T-TUR_CON00</v>
      </c>
      <c r="B76" s="28" t="s">
        <v>875</v>
      </c>
      <c r="C76" s="716" t="str">
        <f>Commodities!B19</f>
        <v>TRADSB</v>
      </c>
      <c r="D76" s="459" t="str">
        <f>Commodities!B27</f>
        <v>TTURS</v>
      </c>
      <c r="E76" s="655"/>
      <c r="F76" s="655"/>
      <c r="G76" s="655"/>
      <c r="H76" s="655"/>
      <c r="I76" s="655"/>
      <c r="J76" s="655"/>
      <c r="K76" s="655"/>
      <c r="L76" s="655"/>
      <c r="M76" s="655"/>
      <c r="N76" s="655"/>
      <c r="O76" s="655"/>
      <c r="P76" s="655"/>
      <c r="Q76" s="655"/>
      <c r="R76" s="655"/>
      <c r="S76" s="655"/>
      <c r="T76" s="655"/>
      <c r="U76" s="655"/>
      <c r="V76" s="655"/>
      <c r="W76" s="655"/>
      <c r="X76" s="655"/>
      <c r="Y76" s="655"/>
      <c r="Z76" s="655"/>
      <c r="AA76" s="655"/>
      <c r="AB76" s="655"/>
      <c r="AC76" s="655"/>
      <c r="AD76" s="655"/>
      <c r="AE76" s="655"/>
      <c r="AF76" s="451"/>
      <c r="AG76" s="716" t="s">
        <v>1103</v>
      </c>
      <c r="AH76" s="401"/>
      <c r="AI76" s="40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716"/>
      <c r="BJ76" s="716"/>
      <c r="BL76" s="716"/>
      <c r="BM76" s="716"/>
      <c r="BN76" s="716"/>
      <c r="BO76" s="716"/>
      <c r="BP76" s="716"/>
      <c r="BQ76" s="716"/>
      <c r="BR76" s="716"/>
      <c r="BS76" s="716"/>
      <c r="BT76" s="716"/>
      <c r="BU76" s="716"/>
      <c r="BV76" s="716"/>
      <c r="BW76" s="716"/>
      <c r="BX76" s="716"/>
      <c r="BY76" s="716"/>
      <c r="BZ76" s="716"/>
      <c r="CA76" s="716"/>
      <c r="CB76" s="716"/>
      <c r="CC76" s="716"/>
      <c r="CD76" s="716"/>
      <c r="CE76" s="716"/>
      <c r="CF76" s="716"/>
      <c r="CG76" s="716"/>
      <c r="CH76" s="716"/>
      <c r="CI76" s="716"/>
      <c r="CJ76" s="716"/>
      <c r="CK76" s="716"/>
      <c r="CL76" s="716"/>
      <c r="CM76" s="716"/>
    </row>
    <row r="77" spans="1:92" s="459" customFormat="1">
      <c r="A77" s="459" t="str">
        <f>Commodities!K39</f>
        <v>T-NAV_CON00</v>
      </c>
      <c r="B77" s="28" t="s">
        <v>875</v>
      </c>
      <c r="C77" s="716" t="str">
        <f>Commodities!B19</f>
        <v>TRADSB</v>
      </c>
      <c r="D77" s="459" t="str">
        <f>Commodities!B28</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c r="AG77" s="718" t="s">
        <v>360</v>
      </c>
      <c r="AH77" s="718" t="str">
        <f>AH48</f>
        <v>IE</v>
      </c>
      <c r="AI77" s="718" t="str">
        <f t="shared" ref="AI77:BH77" si="61">AI48</f>
        <v>IE-CW</v>
      </c>
      <c r="AJ77" s="718" t="str">
        <f t="shared" si="61"/>
        <v>IE-D</v>
      </c>
      <c r="AK77" s="718" t="str">
        <f t="shared" si="61"/>
        <v>IE-KE</v>
      </c>
      <c r="AL77" s="718" t="str">
        <f t="shared" si="61"/>
        <v>IE-KK</v>
      </c>
      <c r="AM77" s="718" t="str">
        <f t="shared" si="61"/>
        <v>IE-LS</v>
      </c>
      <c r="AN77" s="718" t="str">
        <f t="shared" si="61"/>
        <v>IE-LD</v>
      </c>
      <c r="AO77" s="718" t="str">
        <f t="shared" si="61"/>
        <v>IE-LH</v>
      </c>
      <c r="AP77" s="718" t="str">
        <f t="shared" si="61"/>
        <v>IE-MH</v>
      </c>
      <c r="AQ77" s="718" t="str">
        <f t="shared" si="61"/>
        <v>IE-OY</v>
      </c>
      <c r="AR77" s="718" t="str">
        <f t="shared" si="61"/>
        <v>IE-WH</v>
      </c>
      <c r="AS77" s="718" t="str">
        <f t="shared" si="61"/>
        <v>IE-WX</v>
      </c>
      <c r="AT77" s="718" t="str">
        <f t="shared" si="61"/>
        <v>IE-WW</v>
      </c>
      <c r="AU77" s="718" t="str">
        <f t="shared" si="61"/>
        <v>IE-CE</v>
      </c>
      <c r="AV77" s="718" t="str">
        <f t="shared" si="61"/>
        <v>IE-CO</v>
      </c>
      <c r="AW77" s="718" t="str">
        <f t="shared" si="61"/>
        <v>IE-KY</v>
      </c>
      <c r="AX77" s="718" t="str">
        <f t="shared" si="61"/>
        <v>IE-LK</v>
      </c>
      <c r="AY77" s="718" t="str">
        <f t="shared" si="61"/>
        <v>IE-TA</v>
      </c>
      <c r="AZ77" s="718" t="str">
        <f t="shared" si="61"/>
        <v>IE-WD</v>
      </c>
      <c r="BA77" s="718" t="str">
        <f t="shared" si="61"/>
        <v>IE-G</v>
      </c>
      <c r="BB77" s="718" t="str">
        <f t="shared" si="61"/>
        <v>IE-LM</v>
      </c>
      <c r="BC77" s="718" t="str">
        <f t="shared" si="61"/>
        <v>IE-MO</v>
      </c>
      <c r="BD77" s="718" t="str">
        <f t="shared" si="61"/>
        <v>IE-RN</v>
      </c>
      <c r="BE77" s="718" t="str">
        <f t="shared" si="61"/>
        <v>IE-SO</v>
      </c>
      <c r="BF77" s="718" t="str">
        <f t="shared" si="61"/>
        <v>IE-CN</v>
      </c>
      <c r="BG77" s="718" t="str">
        <f t="shared" si="61"/>
        <v>IE-DL</v>
      </c>
      <c r="BH77" s="718" t="str">
        <f t="shared" si="61"/>
        <v>IE-MN</v>
      </c>
      <c r="BI77" s="716"/>
      <c r="BJ77" s="716"/>
      <c r="BL77" s="797"/>
      <c r="BM77" s="797"/>
      <c r="BN77" s="797"/>
      <c r="BO77" s="797"/>
      <c r="BP77" s="797"/>
      <c r="BQ77" s="797"/>
      <c r="BR77" s="797"/>
      <c r="BS77" s="797"/>
      <c r="BT77" s="797"/>
      <c r="BU77" s="797"/>
      <c r="BV77" s="797"/>
      <c r="BW77" s="797"/>
      <c r="BX77" s="797"/>
      <c r="BY77" s="797"/>
      <c r="BZ77" s="797"/>
      <c r="CA77" s="797"/>
      <c r="CB77" s="797"/>
      <c r="CC77" s="797"/>
      <c r="CD77" s="797"/>
      <c r="CE77" s="797"/>
      <c r="CF77" s="797"/>
      <c r="CG77" s="797"/>
      <c r="CH77" s="797"/>
      <c r="CI77" s="797"/>
      <c r="CJ77" s="797"/>
      <c r="CK77" s="797"/>
      <c r="CL77" s="797"/>
    </row>
    <row r="78" spans="1:92" s="459" customFormat="1">
      <c r="A78" s="459" t="str">
        <f>Commodities!K40</f>
        <v>T-OTH_CON00</v>
      </c>
      <c r="B78" s="28" t="s">
        <v>875</v>
      </c>
      <c r="C78" s="459" t="str">
        <f>Commodities!B18&amp;","&amp;Commodities!B19&amp;","&amp;Commodities!B12</f>
        <v>TRAGSE,TRADSB,TRACNG</v>
      </c>
      <c r="D78" s="459" t="str">
        <f>Commodities!B29</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c r="AG78" s="716" t="s">
        <v>369</v>
      </c>
      <c r="AH78" s="658">
        <f>AH50</f>
        <v>0.1197193932</v>
      </c>
      <c r="AI78" s="658">
        <f>AI50</f>
        <v>1.6330940999999999E-3</v>
      </c>
      <c r="AJ78" s="658">
        <f t="shared" ref="AJ78:BH78" si="62">AJ50</f>
        <v>3.8829524800000001E-2</v>
      </c>
      <c r="AK78" s="658">
        <f t="shared" si="62"/>
        <v>6.505734400000001E-3</v>
      </c>
      <c r="AL78" s="658">
        <f t="shared" si="62"/>
        <v>2.5437984E-3</v>
      </c>
      <c r="AM78" s="658">
        <f t="shared" si="62"/>
        <v>1.5292530000000002E-3</v>
      </c>
      <c r="AN78" s="658">
        <f t="shared" si="62"/>
        <v>6.2534670000000006E-4</v>
      </c>
      <c r="AO78" s="658">
        <f t="shared" si="62"/>
        <v>2.5938989999999998E-3</v>
      </c>
      <c r="AP78" s="658">
        <f t="shared" si="62"/>
        <v>5.0422328000000001E-3</v>
      </c>
      <c r="AQ78" s="658">
        <f t="shared" si="62"/>
        <v>1.9545504000000003E-3</v>
      </c>
      <c r="AR78" s="658">
        <f t="shared" si="62"/>
        <v>1.7978663999999999E-3</v>
      </c>
      <c r="AS78" s="658">
        <f t="shared" si="62"/>
        <v>4.4015862000000008E-3</v>
      </c>
      <c r="AT78" s="658">
        <f t="shared" si="62"/>
        <v>4.6495680000000015E-3</v>
      </c>
      <c r="AU78" s="658">
        <f t="shared" si="62"/>
        <v>2.7707064000000005E-3</v>
      </c>
      <c r="AV78" s="658">
        <f t="shared" si="62"/>
        <v>1.6120473600000004E-2</v>
      </c>
      <c r="AW78" s="658">
        <f t="shared" si="62"/>
        <v>3.1307760000000005E-3</v>
      </c>
      <c r="AX78" s="658">
        <f t="shared" si="62"/>
        <v>4.4223300000000012E-3</v>
      </c>
      <c r="AY78" s="658">
        <f t="shared" si="62"/>
        <v>4.1843208000000003E-3</v>
      </c>
      <c r="AZ78" s="658">
        <f t="shared" si="62"/>
        <v>3.7662504000000002E-3</v>
      </c>
      <c r="BA78" s="658">
        <f t="shared" si="62"/>
        <v>4.3318637999999994E-3</v>
      </c>
      <c r="BB78" s="658">
        <f t="shared" si="62"/>
        <v>4.796E-4</v>
      </c>
      <c r="BC78" s="658">
        <f t="shared" si="62"/>
        <v>1.8088290000000003E-3</v>
      </c>
      <c r="BD78" s="658">
        <f t="shared" si="62"/>
        <v>8.8556050000000003E-4</v>
      </c>
      <c r="BE78" s="658">
        <f t="shared" si="62"/>
        <v>1.1651200000000002E-3</v>
      </c>
      <c r="BF78" s="658">
        <f t="shared" si="62"/>
        <v>1.3359808000000001E-3</v>
      </c>
      <c r="BG78" s="658">
        <f t="shared" si="62"/>
        <v>2.2612128000000006E-3</v>
      </c>
      <c r="BH78" s="658">
        <f t="shared" si="62"/>
        <v>9.2045800000000008E-4</v>
      </c>
      <c r="BI78" s="716"/>
      <c r="BJ78" s="716"/>
      <c r="BL78" s="716"/>
      <c r="BM78" s="716"/>
      <c r="BN78" s="716"/>
      <c r="BO78" s="716"/>
      <c r="BP78" s="716"/>
      <c r="BQ78" s="716"/>
      <c r="BR78" s="716"/>
      <c r="BS78" s="716"/>
      <c r="BT78" s="716"/>
      <c r="BU78" s="716"/>
      <c r="BV78" s="716"/>
      <c r="BW78" s="716"/>
      <c r="BX78" s="716"/>
      <c r="BY78" s="716"/>
      <c r="BZ78" s="716"/>
      <c r="CA78" s="716"/>
      <c r="CB78" s="716"/>
      <c r="CC78" s="716"/>
      <c r="CD78" s="716"/>
      <c r="CE78" s="716"/>
      <c r="CF78" s="716"/>
      <c r="CG78" s="716"/>
      <c r="CH78" s="716"/>
      <c r="CI78" s="716"/>
      <c r="CJ78" s="716"/>
      <c r="CK78" s="716"/>
      <c r="CL78" s="716"/>
    </row>
    <row r="79" spans="1:92" s="459" customFormat="1" ht="15.75">
      <c r="A79" s="709" t="s">
        <v>754</v>
      </c>
      <c r="B79" s="709"/>
      <c r="C79" s="710"/>
      <c r="D79" s="710"/>
      <c r="E79" s="710"/>
      <c r="F79" s="710"/>
      <c r="G79" s="710"/>
      <c r="H79" s="710"/>
      <c r="I79" s="710"/>
      <c r="J79" s="710"/>
      <c r="K79" s="710"/>
      <c r="L79" s="710"/>
      <c r="M79" s="710"/>
      <c r="N79" s="710"/>
      <c r="O79" s="710"/>
      <c r="P79" s="710"/>
      <c r="Q79" s="710"/>
      <c r="R79" s="710"/>
      <c r="S79" s="710"/>
      <c r="T79" s="710"/>
      <c r="U79" s="710"/>
      <c r="V79" s="710"/>
      <c r="W79" s="710"/>
      <c r="X79" s="710"/>
      <c r="Y79" s="710"/>
      <c r="Z79" s="710"/>
      <c r="AA79" s="710"/>
      <c r="AB79" s="710"/>
      <c r="AC79" s="710"/>
      <c r="AD79" s="710"/>
      <c r="AE79" s="710"/>
      <c r="AF79" s="451"/>
      <c r="AG79" s="716" t="s">
        <v>368</v>
      </c>
      <c r="AH79" s="658">
        <f>SUM(AH52:AH60)</f>
        <v>53.758747600038653</v>
      </c>
      <c r="AI79" s="658">
        <f t="shared" ref="AI79:BH79" si="63">SUM(AI52:AI60)</f>
        <v>0.78966407904147462</v>
      </c>
      <c r="AJ79" s="658">
        <f t="shared" si="63"/>
        <v>11.079564756060126</v>
      </c>
      <c r="AK79" s="658">
        <f t="shared" si="63"/>
        <v>2.6964779761585058</v>
      </c>
      <c r="AL79" s="658">
        <f t="shared" si="63"/>
        <v>1.2690988363284785</v>
      </c>
      <c r="AM79" s="658">
        <f t="shared" si="63"/>
        <v>1.0068606202341559</v>
      </c>
      <c r="AN79" s="658">
        <f t="shared" si="63"/>
        <v>0.52947645374390007</v>
      </c>
      <c r="AO79" s="658">
        <f t="shared" si="63"/>
        <v>1.3352294033040024</v>
      </c>
      <c r="AP79" s="658">
        <f t="shared" si="63"/>
        <v>2.3869119684108218</v>
      </c>
      <c r="AQ79" s="658">
        <f t="shared" si="63"/>
        <v>0.98093561302287224</v>
      </c>
      <c r="AR79" s="658">
        <f t="shared" si="63"/>
        <v>1.175222403819151</v>
      </c>
      <c r="AS79" s="658">
        <f t="shared" si="63"/>
        <v>2.0626315938238249</v>
      </c>
      <c r="AT79" s="658">
        <f t="shared" si="63"/>
        <v>1.7237353997585985</v>
      </c>
      <c r="AU79" s="658">
        <f t="shared" si="63"/>
        <v>1.5984164656182818</v>
      </c>
      <c r="AV79" s="658">
        <f t="shared" si="63"/>
        <v>6.4232698866175211</v>
      </c>
      <c r="AW79" s="658">
        <f t="shared" si="63"/>
        <v>1.9344771216245975</v>
      </c>
      <c r="AX79" s="658">
        <f t="shared" si="63"/>
        <v>2.3378489986886493</v>
      </c>
      <c r="AY79" s="658">
        <f t="shared" si="63"/>
        <v>2.2506745506428643</v>
      </c>
      <c r="AZ79" s="658">
        <f t="shared" si="63"/>
        <v>1.4711859036504289</v>
      </c>
      <c r="BA79" s="658">
        <f t="shared" si="63"/>
        <v>3.4157125375195854</v>
      </c>
      <c r="BB79" s="658">
        <f t="shared" si="63"/>
        <v>0.43240953811041527</v>
      </c>
      <c r="BC79" s="658">
        <f t="shared" si="63"/>
        <v>1.7032425856842379</v>
      </c>
      <c r="BD79" s="658">
        <f t="shared" si="63"/>
        <v>0.99024429529398805</v>
      </c>
      <c r="BE79" s="658">
        <f t="shared" si="63"/>
        <v>0.78418802822583822</v>
      </c>
      <c r="BF79" s="658">
        <f t="shared" si="63"/>
        <v>0.9154658907750638</v>
      </c>
      <c r="BG79" s="658">
        <f t="shared" si="63"/>
        <v>1.7427772833553983</v>
      </c>
      <c r="BH79" s="658">
        <f t="shared" si="63"/>
        <v>0.76583177166814842</v>
      </c>
      <c r="BI79" s="716"/>
      <c r="BJ79" s="716"/>
      <c r="BK79" s="716" t="s">
        <v>1112</v>
      </c>
      <c r="BL79" s="401"/>
      <c r="BM79" s="401"/>
      <c r="BN79" s="1"/>
      <c r="BO79" s="1"/>
      <c r="BP79" s="1"/>
      <c r="BQ79" s="1"/>
      <c r="BR79" s="1"/>
      <c r="BS79" s="1"/>
      <c r="BT79" s="1"/>
      <c r="BU79" s="1"/>
      <c r="BV79" s="1"/>
      <c r="BW79" s="1"/>
      <c r="BX79" s="1"/>
      <c r="BY79" s="1"/>
      <c r="BZ79" s="1"/>
      <c r="CA79" s="1"/>
      <c r="CB79" s="1"/>
      <c r="CC79" s="1"/>
      <c r="CD79" s="1"/>
      <c r="CE79" s="1"/>
      <c r="CF79" s="1"/>
      <c r="CG79" s="1"/>
      <c r="CH79" s="1"/>
      <c r="CI79" s="1"/>
      <c r="CJ79" s="1"/>
      <c r="CK79" s="1"/>
      <c r="CL79" s="1"/>
    </row>
    <row r="80" spans="1:92" s="459" customFormat="1">
      <c r="A80" s="1" t="str">
        <f>Commodities!K42</f>
        <v>T-AVI_DOM00</v>
      </c>
      <c r="B80" s="711" t="s">
        <v>875</v>
      </c>
      <c r="C80" s="1" t="str">
        <f>Commodities!B17</f>
        <v>TRAKER</v>
      </c>
      <c r="D80" s="1" t="str">
        <f>Commodities!B30</f>
        <v>TAVIDOM</v>
      </c>
      <c r="E80" s="712"/>
      <c r="F80" s="712"/>
      <c r="G80" s="712"/>
      <c r="H80" s="712"/>
      <c r="I80" s="712"/>
      <c r="J80" s="712"/>
      <c r="K80" s="712"/>
      <c r="L80" s="712"/>
      <c r="M80" s="712"/>
      <c r="N80" s="712"/>
      <c r="O80" s="712"/>
      <c r="P80" s="712"/>
      <c r="Q80" s="712"/>
      <c r="R80" s="712"/>
      <c r="S80" s="712"/>
      <c r="T80" s="712"/>
      <c r="U80" s="712"/>
      <c r="V80" s="712"/>
      <c r="W80" s="712"/>
      <c r="X80" s="712"/>
      <c r="Y80" s="712"/>
      <c r="Z80" s="712"/>
      <c r="AA80" s="712"/>
      <c r="AB80" s="712"/>
      <c r="AC80" s="712"/>
      <c r="AD80" s="712"/>
      <c r="AE80" s="712"/>
      <c r="AF80" s="451"/>
      <c r="AG80" s="716" t="s">
        <v>365</v>
      </c>
      <c r="AH80" s="658">
        <f t="shared" ref="AH80:BH80" si="64">SUM(AH62:AH64)</f>
        <v>1.2560687371407953</v>
      </c>
      <c r="AI80" s="658">
        <f t="shared" si="64"/>
        <v>8.6519167029038106E-3</v>
      </c>
      <c r="AJ80" s="658">
        <f t="shared" si="64"/>
        <v>0.64155712623289118</v>
      </c>
      <c r="AK80" s="658">
        <f t="shared" si="64"/>
        <v>5.2060708829763568E-2</v>
      </c>
      <c r="AL80" s="658">
        <f t="shared" si="64"/>
        <v>1.337629360534914E-2</v>
      </c>
      <c r="AM80" s="658">
        <f t="shared" si="64"/>
        <v>1.3999979786088411E-2</v>
      </c>
      <c r="AN80" s="658">
        <f t="shared" si="64"/>
        <v>5.8868284440788919E-3</v>
      </c>
      <c r="AO80" s="658">
        <f t="shared" si="64"/>
        <v>3.6544391764975877E-2</v>
      </c>
      <c r="AP80" s="658">
        <f t="shared" si="64"/>
        <v>6.333299165780075E-2</v>
      </c>
      <c r="AQ80" s="658">
        <f t="shared" si="64"/>
        <v>9.4047320049095353E-3</v>
      </c>
      <c r="AR80" s="658">
        <f t="shared" si="64"/>
        <v>1.7567036174527199E-2</v>
      </c>
      <c r="AS80" s="658">
        <f t="shared" si="64"/>
        <v>1.5509834274720994E-2</v>
      </c>
      <c r="AT80" s="658">
        <f t="shared" si="64"/>
        <v>2.0545174726743252E-2</v>
      </c>
      <c r="AU80" s="658">
        <f t="shared" si="64"/>
        <v>2.0828449526479477E-2</v>
      </c>
      <c r="AV80" s="658">
        <f t="shared" si="64"/>
        <v>0.10429714230065162</v>
      </c>
      <c r="AW80" s="658">
        <f t="shared" si="64"/>
        <v>2.7021552127919037E-2</v>
      </c>
      <c r="AX80" s="658">
        <f t="shared" si="64"/>
        <v>3.9025323445254577E-2</v>
      </c>
      <c r="AY80" s="658">
        <f t="shared" si="64"/>
        <v>1.5267985174916173E-2</v>
      </c>
      <c r="AZ80" s="658">
        <f t="shared" si="64"/>
        <v>1.7575606288714341E-2</v>
      </c>
      <c r="BA80" s="658">
        <f t="shared" si="64"/>
        <v>5.7645097586095456E-2</v>
      </c>
      <c r="BB80" s="658">
        <f t="shared" si="64"/>
        <v>4.1674567453412322E-3</v>
      </c>
      <c r="BC80" s="658">
        <f t="shared" si="64"/>
        <v>1.6589908876156006E-2</v>
      </c>
      <c r="BD80" s="658">
        <f t="shared" si="64"/>
        <v>7.6486165383991157E-3</v>
      </c>
      <c r="BE80" s="658">
        <f t="shared" si="64"/>
        <v>9.9008437403891314E-3</v>
      </c>
      <c r="BF80" s="658">
        <f t="shared" si="64"/>
        <v>1.0753641718562811E-2</v>
      </c>
      <c r="BG80" s="658">
        <f t="shared" si="64"/>
        <v>2.2082561304006636E-2</v>
      </c>
      <c r="BH80" s="658">
        <f t="shared" si="64"/>
        <v>4.8388917708456604E-3</v>
      </c>
      <c r="BI80" s="716"/>
      <c r="BJ80" s="716"/>
      <c r="BK80" s="718" t="str">
        <f>BK72</f>
        <v>Technology</v>
      </c>
      <c r="BL80" s="718" t="str">
        <f t="shared" ref="BL80:CL80" si="65">BL72</f>
        <v>IE</v>
      </c>
      <c r="BM80" s="718" t="str">
        <f t="shared" si="65"/>
        <v>IE-CW</v>
      </c>
      <c r="BN80" s="718" t="str">
        <f t="shared" si="65"/>
        <v>IE-D</v>
      </c>
      <c r="BO80" s="718" t="str">
        <f t="shared" si="65"/>
        <v>IE-KE</v>
      </c>
      <c r="BP80" s="718" t="str">
        <f t="shared" si="65"/>
        <v>IE-KK</v>
      </c>
      <c r="BQ80" s="718" t="str">
        <f t="shared" si="65"/>
        <v>IE-LS</v>
      </c>
      <c r="BR80" s="718" t="str">
        <f t="shared" si="65"/>
        <v>IE-LD</v>
      </c>
      <c r="BS80" s="718" t="str">
        <f t="shared" si="65"/>
        <v>IE-LH</v>
      </c>
      <c r="BT80" s="718" t="str">
        <f t="shared" si="65"/>
        <v>IE-MH</v>
      </c>
      <c r="BU80" s="718" t="str">
        <f t="shared" si="65"/>
        <v>IE-OY</v>
      </c>
      <c r="BV80" s="718" t="str">
        <f t="shared" si="65"/>
        <v>IE-WH</v>
      </c>
      <c r="BW80" s="718" t="str">
        <f t="shared" si="65"/>
        <v>IE-WX</v>
      </c>
      <c r="BX80" s="718" t="str">
        <f t="shared" si="65"/>
        <v>IE-WW</v>
      </c>
      <c r="BY80" s="718" t="str">
        <f t="shared" si="65"/>
        <v>IE-CE</v>
      </c>
      <c r="BZ80" s="718" t="str">
        <f t="shared" si="65"/>
        <v>IE-CO</v>
      </c>
      <c r="CA80" s="718" t="str">
        <f t="shared" si="65"/>
        <v>IE-KY</v>
      </c>
      <c r="CB80" s="718" t="str">
        <f t="shared" si="65"/>
        <v>IE-LK</v>
      </c>
      <c r="CC80" s="718" t="str">
        <f t="shared" si="65"/>
        <v>IE-TA</v>
      </c>
      <c r="CD80" s="718" t="str">
        <f t="shared" si="65"/>
        <v>IE-WD</v>
      </c>
      <c r="CE80" s="718" t="str">
        <f t="shared" si="65"/>
        <v>IE-G</v>
      </c>
      <c r="CF80" s="718" t="str">
        <f t="shared" si="65"/>
        <v>IE-LM</v>
      </c>
      <c r="CG80" s="718" t="str">
        <f t="shared" si="65"/>
        <v>IE-MO</v>
      </c>
      <c r="CH80" s="718" t="str">
        <f t="shared" si="65"/>
        <v>IE-RN</v>
      </c>
      <c r="CI80" s="718" t="str">
        <f t="shared" si="65"/>
        <v>IE-SO</v>
      </c>
      <c r="CJ80" s="718" t="str">
        <f t="shared" si="65"/>
        <v>IE-CN</v>
      </c>
      <c r="CK80" s="718" t="str">
        <f t="shared" si="65"/>
        <v>IE-DL</v>
      </c>
      <c r="CL80" s="718" t="str">
        <f t="shared" si="65"/>
        <v>IE-MN</v>
      </c>
      <c r="CM80" s="1"/>
    </row>
    <row r="81" spans="1:91" s="459" customFormat="1">
      <c r="A81" s="458" t="str">
        <f>Commodities!K43</f>
        <v>T-AVI_INT00</v>
      </c>
      <c r="B81" s="129" t="s">
        <v>875</v>
      </c>
      <c r="C81" s="458" t="str">
        <f>Commodities!B17</f>
        <v>TRAKER</v>
      </c>
      <c r="D81" s="458" t="str">
        <f>Commodities!B31</f>
        <v>TAVIINT</v>
      </c>
      <c r="E81" s="643"/>
      <c r="F81" s="643"/>
      <c r="G81" s="643"/>
      <c r="H81" s="643"/>
      <c r="I81" s="643"/>
      <c r="J81" s="643"/>
      <c r="K81" s="643"/>
      <c r="L81" s="643"/>
      <c r="M81" s="643"/>
      <c r="N81" s="643"/>
      <c r="O81" s="643"/>
      <c r="P81" s="643"/>
      <c r="Q81" s="643"/>
      <c r="R81" s="643"/>
      <c r="S81" s="643"/>
      <c r="T81" s="643"/>
      <c r="U81" s="643"/>
      <c r="V81" s="643"/>
      <c r="W81" s="643"/>
      <c r="X81" s="643"/>
      <c r="Y81" s="643"/>
      <c r="Z81" s="643"/>
      <c r="AA81" s="643"/>
      <c r="AB81" s="643"/>
      <c r="AC81" s="643"/>
      <c r="AD81" s="643"/>
      <c r="AE81" s="643"/>
      <c r="AF81" s="451"/>
      <c r="AG81" s="716" t="s">
        <v>589</v>
      </c>
      <c r="AH81" s="658">
        <f>AH66</f>
        <v>10.519481681250003</v>
      </c>
      <c r="AI81" s="658">
        <f t="shared" ref="AI81:BH81" si="66">AI66</f>
        <v>0.11808831099999999</v>
      </c>
      <c r="AJ81" s="658">
        <f t="shared" si="66"/>
        <v>3.5358560684999998</v>
      </c>
      <c r="AK81" s="658">
        <f t="shared" si="66"/>
        <v>0.45269495775000002</v>
      </c>
      <c r="AL81" s="658">
        <f t="shared" si="66"/>
        <v>0.29241756999999996</v>
      </c>
      <c r="AM81" s="658">
        <f t="shared" si="66"/>
        <v>0.1493744175</v>
      </c>
      <c r="AN81" s="658">
        <f t="shared" si="66"/>
        <v>8.4421181249999991E-2</v>
      </c>
      <c r="AO81" s="658">
        <f t="shared" si="66"/>
        <v>0.22892670500000004</v>
      </c>
      <c r="AP81" s="658">
        <f t="shared" si="66"/>
        <v>0.30109920200000001</v>
      </c>
      <c r="AQ81" s="658">
        <f t="shared" si="66"/>
        <v>0.18289379775</v>
      </c>
      <c r="AR81" s="658">
        <f t="shared" si="66"/>
        <v>0.14101548000000003</v>
      </c>
      <c r="AS81" s="658">
        <f t="shared" si="66"/>
        <v>0.26711272949999998</v>
      </c>
      <c r="AT81" s="658">
        <f t="shared" si="66"/>
        <v>0.24114906574999997</v>
      </c>
      <c r="AU81" s="658">
        <f t="shared" si="66"/>
        <v>0.20048626149999998</v>
      </c>
      <c r="AV81" s="658">
        <f t="shared" si="66"/>
        <v>0.79161909450000012</v>
      </c>
      <c r="AW81" s="658">
        <f t="shared" si="66"/>
        <v>0.49987923200000006</v>
      </c>
      <c r="AX81" s="658">
        <f t="shared" si="66"/>
        <v>0.29683354150000002</v>
      </c>
      <c r="AY81" s="658">
        <f t="shared" si="66"/>
        <v>0.34555485200000002</v>
      </c>
      <c r="AZ81" s="658">
        <f t="shared" si="66"/>
        <v>0.1514736485</v>
      </c>
      <c r="BA81" s="658">
        <f t="shared" si="66"/>
        <v>0.57002661799999998</v>
      </c>
      <c r="BB81" s="658">
        <f t="shared" si="66"/>
        <v>5.9836094999999999E-2</v>
      </c>
      <c r="BC81" s="658">
        <f t="shared" si="66"/>
        <v>0.34838503700000001</v>
      </c>
      <c r="BD81" s="658">
        <f t="shared" si="66"/>
        <v>0.10867027499999998</v>
      </c>
      <c r="BE81" s="658">
        <f t="shared" si="66"/>
        <v>0.11319791700000001</v>
      </c>
      <c r="BF81" s="658">
        <f t="shared" si="66"/>
        <v>0.20658056049999998</v>
      </c>
      <c r="BG81" s="658">
        <f t="shared" si="66"/>
        <v>0.55923812499999992</v>
      </c>
      <c r="BH81" s="658">
        <f t="shared" si="66"/>
        <v>0.27255499050000004</v>
      </c>
      <c r="BI81" s="716"/>
      <c r="BJ81" s="716"/>
      <c r="BK81" s="787" t="s">
        <v>1111</v>
      </c>
      <c r="BL81" s="788">
        <f>1000*BL73/SUMPRODUCT(E72:E73,AF!D23:'AF'!D24)</f>
        <v>1.4619882861227993</v>
      </c>
      <c r="BM81" s="788">
        <f>1000*BM73/SUMPRODUCT(F72:F73,AF!E23:'AF'!E24)</f>
        <v>1.3745573499910064</v>
      </c>
      <c r="BN81" s="788">
        <f>1000*BN73/SUMPRODUCT(G72:G73,AF!F23:'AF'!F24)</f>
        <v>1.485604194837586</v>
      </c>
      <c r="BO81" s="788">
        <f>1000*BO73/SUMPRODUCT(H72:H73,AF!G23:'AF'!G24)</f>
        <v>1.2772306066079127</v>
      </c>
      <c r="BP81" s="788">
        <f>1000*BP73/SUMPRODUCT(I72:I73,AF!H23:'AF'!H24)</f>
        <v>1.6404478233016127</v>
      </c>
      <c r="BQ81" s="788">
        <f>1000*BQ73/SUMPRODUCT(J72:J73,AF!I23:'AF'!I24)</f>
        <v>1.57400016155707</v>
      </c>
      <c r="BR81" s="788">
        <f>1000*BR73/SUMPRODUCT(K72:K73,AF!J23:'AF'!J24)</f>
        <v>1.2151607425593969</v>
      </c>
      <c r="BS81" s="788">
        <f>1000*BS73/SUMPRODUCT(L72:L73,AF!K23:'AF'!K24)</f>
        <v>1.4850826036776856</v>
      </c>
      <c r="BT81" s="788">
        <f>1000*BT73/SUMPRODUCT(M72:M73,AF!L23:'AF'!L24)</f>
        <v>1.1840047505197961</v>
      </c>
      <c r="BU81" s="788">
        <f>1000*BU73/SUMPRODUCT(N72:N73,AF!M23:'AF'!M24)</f>
        <v>1.4587006982179762</v>
      </c>
      <c r="BV81" s="788">
        <f>1000*BV73/SUMPRODUCT(O72:O73,AF!N23:'AF'!N24)</f>
        <v>1.3322766755559916</v>
      </c>
      <c r="BW81" s="788">
        <f>1000*BW73/SUMPRODUCT(P72:P73,AF!O23:'AF'!O24)</f>
        <v>1.3999088755716118</v>
      </c>
      <c r="BX81" s="788">
        <f>1000*BX73/SUMPRODUCT(Q72:Q73,AF!P23:'AF'!P24)</f>
        <v>1.5443290374492857</v>
      </c>
      <c r="BY81" s="788">
        <f>1000*BY73/SUMPRODUCT(R72:R73,AF!Q23:'AF'!Q24)</f>
        <v>1.5352697002129094</v>
      </c>
      <c r="BZ81" s="788">
        <f>1000*BZ73/SUMPRODUCT(S72:S73,AF!R23:'AF'!R24)</f>
        <v>1.849413728792074</v>
      </c>
      <c r="CA81" s="788">
        <f>1000*CA73/SUMPRODUCT(T72:T73,AF!S23:'AF'!S24)</f>
        <v>1.8076011503062872</v>
      </c>
      <c r="CB81" s="788">
        <f>1000*CB73/SUMPRODUCT(U72:U73,AF!T23:'AF'!T24)</f>
        <v>1.5474925446836603</v>
      </c>
      <c r="CC81" s="788">
        <f>1000*CC73/SUMPRODUCT(V72:V73,AF!U23:'AF'!U24)</f>
        <v>1.3488658994771257</v>
      </c>
      <c r="CD81" s="788">
        <f>1000*CD73/SUMPRODUCT(W72:W73,AF!V23:'AF'!V24)</f>
        <v>2.2283854786052903</v>
      </c>
      <c r="CE81" s="788">
        <f>1000*CE73/SUMPRODUCT(X72:X73,AF!W23:'AF'!W24)</f>
        <v>1.4102072448599945</v>
      </c>
      <c r="CF81" s="788">
        <f>1000*CF73/SUMPRODUCT(Y72:Y73,AF!X23:'AF'!X24)</f>
        <v>1.1485270420400568</v>
      </c>
      <c r="CG81" s="788">
        <f>1000*CG73/SUMPRODUCT(Z72:Z73,AF!Y23:'AF'!Y24)</f>
        <v>1.1301538685672965</v>
      </c>
      <c r="CH81" s="788">
        <f>1000*CH73/SUMPRODUCT(AA72:AA73,AF!Z23:'AF'!Z24)</f>
        <v>1.0993844097414549</v>
      </c>
      <c r="CI81" s="788">
        <f>1000*CI73/SUMPRODUCT(AB72:AB73,AF!AA23:'AF'!AA24)</f>
        <v>1.3599089062669418</v>
      </c>
      <c r="CJ81" s="788">
        <f>1000*CJ73/SUMPRODUCT(AC72:AC73,AF!AB23:'AF'!AB24)</f>
        <v>1.0748575228797197</v>
      </c>
      <c r="CK81" s="788">
        <f>1000*CK73/SUMPRODUCT(AD72:AD73,AF!AC23:'AF'!AC24)</f>
        <v>1.386856564214078</v>
      </c>
      <c r="CL81" s="788">
        <f>1000*CL73/SUMPRODUCT(AE72:AE73,AF!AD23:'AF'!AD24)</f>
        <v>0.77491217770465182</v>
      </c>
      <c r="CM81" s="1"/>
    </row>
    <row r="82" spans="1:91"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c r="AG82" s="716" t="s">
        <v>576</v>
      </c>
      <c r="AH82" s="658">
        <f t="shared" ref="AH82:BH82" si="67">AH68</f>
        <v>0.31718342830155838</v>
      </c>
      <c r="AI82" s="658">
        <f t="shared" si="67"/>
        <v>0</v>
      </c>
      <c r="AJ82" s="658">
        <f t="shared" si="67"/>
        <v>0.31718342830155838</v>
      </c>
      <c r="AK82" s="658">
        <f t="shared" si="67"/>
        <v>0</v>
      </c>
      <c r="AL82" s="658">
        <f t="shared" si="67"/>
        <v>0</v>
      </c>
      <c r="AM82" s="658">
        <f t="shared" si="67"/>
        <v>0</v>
      </c>
      <c r="AN82" s="658">
        <f t="shared" si="67"/>
        <v>0</v>
      </c>
      <c r="AO82" s="658">
        <f t="shared" si="67"/>
        <v>0</v>
      </c>
      <c r="AP82" s="658">
        <f t="shared" si="67"/>
        <v>0</v>
      </c>
      <c r="AQ82" s="658">
        <f t="shared" si="67"/>
        <v>0</v>
      </c>
      <c r="AR82" s="658">
        <f t="shared" si="67"/>
        <v>0</v>
      </c>
      <c r="AS82" s="658">
        <f t="shared" si="67"/>
        <v>0</v>
      </c>
      <c r="AT82" s="658">
        <f t="shared" si="67"/>
        <v>0</v>
      </c>
      <c r="AU82" s="658">
        <f t="shared" si="67"/>
        <v>0</v>
      </c>
      <c r="AV82" s="658">
        <f t="shared" si="67"/>
        <v>0</v>
      </c>
      <c r="AW82" s="658">
        <f t="shared" si="67"/>
        <v>0</v>
      </c>
      <c r="AX82" s="658">
        <f t="shared" si="67"/>
        <v>0</v>
      </c>
      <c r="AY82" s="658">
        <f t="shared" si="67"/>
        <v>0</v>
      </c>
      <c r="AZ82" s="658">
        <f t="shared" si="67"/>
        <v>0</v>
      </c>
      <c r="BA82" s="658">
        <f t="shared" si="67"/>
        <v>0</v>
      </c>
      <c r="BB82" s="658">
        <f t="shared" si="67"/>
        <v>0</v>
      </c>
      <c r="BC82" s="658">
        <f t="shared" si="67"/>
        <v>0</v>
      </c>
      <c r="BD82" s="658">
        <f t="shared" si="67"/>
        <v>0</v>
      </c>
      <c r="BE82" s="658">
        <f t="shared" si="67"/>
        <v>0</v>
      </c>
      <c r="BF82" s="658">
        <f t="shared" si="67"/>
        <v>0</v>
      </c>
      <c r="BG82" s="658">
        <f t="shared" si="67"/>
        <v>0</v>
      </c>
      <c r="BH82" s="658">
        <f t="shared" si="67"/>
        <v>0</v>
      </c>
      <c r="BI82" s="716"/>
      <c r="BJ82" s="716"/>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row>
    <row r="83" spans="1:91"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c r="AG83" s="716" t="s">
        <v>367</v>
      </c>
      <c r="AH83" s="658">
        <f t="shared" ref="AH83:BH83" si="68">SUM(AH69:AH70)</f>
        <v>1.9196540561307294</v>
      </c>
      <c r="AI83" s="658">
        <f t="shared" si="68"/>
        <v>1.5264180732683506E-2</v>
      </c>
      <c r="AJ83" s="658">
        <f t="shared" si="68"/>
        <v>1.0041823232418055</v>
      </c>
      <c r="AK83" s="658">
        <f t="shared" si="68"/>
        <v>5.9656103241498816E-2</v>
      </c>
      <c r="AL83" s="658">
        <f t="shared" si="68"/>
        <v>2.6605339395518336E-2</v>
      </c>
      <c r="AM83" s="658">
        <f t="shared" si="68"/>
        <v>2.2708324237969767E-2</v>
      </c>
      <c r="AN83" s="658">
        <f t="shared" si="68"/>
        <v>1.0958562128275364E-2</v>
      </c>
      <c r="AO83" s="658">
        <f t="shared" si="68"/>
        <v>3.4555411184416164E-2</v>
      </c>
      <c r="AP83" s="658">
        <f t="shared" si="68"/>
        <v>5.2293734048084059E-2</v>
      </c>
      <c r="AQ83" s="658">
        <f t="shared" si="68"/>
        <v>2.0902318451850255E-2</v>
      </c>
      <c r="AR83" s="658">
        <f t="shared" si="68"/>
        <v>2.3800346442076771E-2</v>
      </c>
      <c r="AS83" s="658">
        <f t="shared" si="68"/>
        <v>4.0142339416476505E-2</v>
      </c>
      <c r="AT83" s="658">
        <f t="shared" si="68"/>
        <v>3.8185922519013003E-2</v>
      </c>
      <c r="AU83" s="658">
        <f t="shared" si="68"/>
        <v>3.1856322667660655E-2</v>
      </c>
      <c r="AV83" s="658">
        <f t="shared" si="68"/>
        <v>0.1455496955313432</v>
      </c>
      <c r="AW83" s="658">
        <f t="shared" si="68"/>
        <v>3.9602092733128702E-2</v>
      </c>
      <c r="AX83" s="658">
        <f t="shared" si="68"/>
        <v>5.2254857735882849E-2</v>
      </c>
      <c r="AY83" s="658">
        <f t="shared" si="68"/>
        <v>4.2778153383718334E-2</v>
      </c>
      <c r="AZ83" s="658">
        <f t="shared" si="68"/>
        <v>3.1148237560602809E-2</v>
      </c>
      <c r="BA83" s="658">
        <f t="shared" si="68"/>
        <v>6.9188574993234747E-2</v>
      </c>
      <c r="BB83" s="658">
        <f t="shared" si="68"/>
        <v>8.5913968839687761E-3</v>
      </c>
      <c r="BC83" s="658">
        <f t="shared" si="68"/>
        <v>3.4990557768571746E-2</v>
      </c>
      <c r="BD83" s="658">
        <f t="shared" si="68"/>
        <v>1.7305053066997901E-2</v>
      </c>
      <c r="BE83" s="658">
        <f t="shared" si="68"/>
        <v>1.7570752552455802E-2</v>
      </c>
      <c r="BF83" s="658">
        <f t="shared" si="68"/>
        <v>2.0423737643028506E-2</v>
      </c>
      <c r="BG83" s="658">
        <f t="shared" si="68"/>
        <v>4.2681364771962209E-2</v>
      </c>
      <c r="BH83" s="658">
        <f t="shared" si="68"/>
        <v>1.6458353798505406E-2</v>
      </c>
      <c r="BI83" s="716"/>
      <c r="BJ83" s="716"/>
      <c r="BK83" s="1" t="s">
        <v>1113</v>
      </c>
      <c r="BL83" s="659">
        <f>E72*AF!D23*Stock!BL81/1000</f>
        <v>2.164755821344027E-2</v>
      </c>
      <c r="BM83" s="659">
        <f>F72*AF!E23*Stock!BM81/1000</f>
        <v>2.5016943769836313E-4</v>
      </c>
      <c r="BN83" s="659">
        <f>G72*AF!F23*Stock!BN81/1000</f>
        <v>7.0973700485429288E-3</v>
      </c>
      <c r="BO83" s="659">
        <f>H72*AF!G23*Stock!BO81/1000</f>
        <v>1.1330261621994527E-3</v>
      </c>
      <c r="BP83" s="659">
        <f>I72*AF!H23*Stock!BP81/1000</f>
        <v>3.3290427902171277E-4</v>
      </c>
      <c r="BQ83" s="659">
        <f>J72*AF!I23*Stock!BQ81/1000</f>
        <v>4.8800930608980018E-4</v>
      </c>
      <c r="BR83" s="659">
        <f>K72*AF!J23*Stock!BR81/1000</f>
        <v>1.5783479852955496E-4</v>
      </c>
      <c r="BS83" s="659">
        <f>L72*AF!K23*Stock!BS81/1000</f>
        <v>4.6519470018901668E-4</v>
      </c>
      <c r="BT83" s="659">
        <f>M72*AF!L23*Stock!BT81/1000</f>
        <v>4.1856225537525521E-4</v>
      </c>
      <c r="BU83" s="659">
        <f>N72*AF!M23*Stock!BU81/1000</f>
        <v>2.6660672661329955E-4</v>
      </c>
      <c r="BV83" s="659">
        <f>O72*AF!N23*Stock!BV81/1000</f>
        <v>3.274709422983116E-4</v>
      </c>
      <c r="BW83" s="659">
        <f>P72*AF!O23*Stock!BW81/1000</f>
        <v>7.1472627624083755E-4</v>
      </c>
      <c r="BX83" s="659">
        <f>Q72*AF!P23*Stock!BX81/1000</f>
        <v>9.9390854789583607E-4</v>
      </c>
      <c r="BY83" s="659">
        <f>R72*AF!Q23*Stock!BY81/1000</f>
        <v>3.9838406396884747E-4</v>
      </c>
      <c r="BZ83" s="659">
        <f>S72*AF!R23*Stock!BZ81/1000</f>
        <v>3.7353681740376217E-3</v>
      </c>
      <c r="CA83" s="659">
        <f>T72*AF!S23*Stock!CA81/1000</f>
        <v>6.4125193087460636E-4</v>
      </c>
      <c r="CB83" s="659">
        <f>U72*AF!T23*Stock!CB81/1000</f>
        <v>4.7630273032818384E-4</v>
      </c>
      <c r="CC83" s="659">
        <f>V72*AF!U23*Stock!CC81/1000</f>
        <v>6.2069548116929364E-4</v>
      </c>
      <c r="CD83" s="659">
        <f>W72*AF!V23*Stock!CD81/1000</f>
        <v>1.045959575947751E-3</v>
      </c>
      <c r="CE83" s="659">
        <f>X72*AF!W23*Stock!CE81/1000</f>
        <v>9.8273394314007403E-4</v>
      </c>
      <c r="CF83" s="659">
        <f>Y72*AF!X23*Stock!CF81/1000</f>
        <v>3.9481765597168991E-5</v>
      </c>
      <c r="CG83" s="659">
        <f>Z72*AF!Y23*Stock!CG81/1000</f>
        <v>3.3154193888290212E-4</v>
      </c>
      <c r="CH83" s="659">
        <f>AA72*AF!Z23*Stock!CH81/1000</f>
        <v>2.9471417748821126E-4</v>
      </c>
      <c r="CI83" s="659">
        <f>AB72*AF!AA23*Stock!CI81/1000</f>
        <v>2.1144407638200915E-4</v>
      </c>
      <c r="CJ83" s="659">
        <f>AC72*AF!AB23*Stock!CJ81/1000</f>
        <v>1.137704442242497E-4</v>
      </c>
      <c r="CK83" s="659">
        <f>AD72*AF!AC23*Stock!CK81/1000</f>
        <v>6.5214849647320691E-4</v>
      </c>
      <c r="CL83" s="659">
        <f>AE72*AF!AD23*Stock!CL81/1000</f>
        <v>1.681993376438609E-4</v>
      </c>
      <c r="CM83" s="1"/>
    </row>
    <row r="84" spans="1:91"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c r="AG84" s="774" t="s">
        <v>16</v>
      </c>
      <c r="AH84" s="780">
        <f t="shared" ref="AH84:BH84" si="69">SUM(AH78:AH83)</f>
        <v>67.89085489606174</v>
      </c>
      <c r="AI84" s="780">
        <f t="shared" si="69"/>
        <v>0.93330158157706189</v>
      </c>
      <c r="AJ84" s="780">
        <f t="shared" si="69"/>
        <v>16.61717322713638</v>
      </c>
      <c r="AK84" s="780">
        <f t="shared" si="69"/>
        <v>3.2673954803797685</v>
      </c>
      <c r="AL84" s="780">
        <f t="shared" si="69"/>
        <v>1.6040418377293462</v>
      </c>
      <c r="AM84" s="780">
        <f t="shared" si="69"/>
        <v>1.194472594758214</v>
      </c>
      <c r="AN84" s="780">
        <f t="shared" si="69"/>
        <v>0.63136837226625431</v>
      </c>
      <c r="AO84" s="780">
        <f t="shared" si="69"/>
        <v>1.6378498102533947</v>
      </c>
      <c r="AP84" s="780">
        <f t="shared" si="69"/>
        <v>2.8086801289167069</v>
      </c>
      <c r="AQ84" s="780">
        <f t="shared" si="69"/>
        <v>1.1960910116296319</v>
      </c>
      <c r="AR84" s="780">
        <f t="shared" si="69"/>
        <v>1.3594031328357552</v>
      </c>
      <c r="AS84" s="780">
        <f t="shared" si="69"/>
        <v>2.3897980832150227</v>
      </c>
      <c r="AT84" s="780">
        <f t="shared" si="69"/>
        <v>2.0282651307543547</v>
      </c>
      <c r="AU84" s="780">
        <f t="shared" si="69"/>
        <v>1.8543582057124219</v>
      </c>
      <c r="AV84" s="780">
        <f t="shared" si="69"/>
        <v>7.4808562925495163</v>
      </c>
      <c r="AW84" s="780">
        <f t="shared" si="69"/>
        <v>2.5041107744856452</v>
      </c>
      <c r="AX84" s="780">
        <f t="shared" si="69"/>
        <v>2.7303850513697867</v>
      </c>
      <c r="AY84" s="780">
        <f t="shared" si="69"/>
        <v>2.6584598620014983</v>
      </c>
      <c r="AZ84" s="780">
        <f t="shared" si="69"/>
        <v>1.675149646399746</v>
      </c>
      <c r="BA84" s="780">
        <f t="shared" si="69"/>
        <v>4.1169046918989158</v>
      </c>
      <c r="BB84" s="780">
        <f t="shared" si="69"/>
        <v>0.50548408673972534</v>
      </c>
      <c r="BC84" s="780">
        <f t="shared" si="69"/>
        <v>2.1050169183289658</v>
      </c>
      <c r="BD84" s="780">
        <f t="shared" si="69"/>
        <v>1.1247538003993849</v>
      </c>
      <c r="BE84" s="780">
        <f t="shared" si="69"/>
        <v>0.92602266151868318</v>
      </c>
      <c r="BF84" s="780">
        <f t="shared" si="69"/>
        <v>1.1545598114366551</v>
      </c>
      <c r="BG84" s="780">
        <f t="shared" si="69"/>
        <v>2.3690405472313669</v>
      </c>
      <c r="BH84" s="780">
        <f t="shared" si="69"/>
        <v>1.0606044657374996</v>
      </c>
      <c r="BI84" s="716"/>
      <c r="BJ84" s="716"/>
      <c r="BK84" s="1" t="s">
        <v>1114</v>
      </c>
      <c r="BL84" s="659">
        <f>E73*AF!D24*Stock!BL81/1000</f>
        <v>11.515352441786558</v>
      </c>
      <c r="BM84" s="659">
        <f>F73*AF!E24*Stock!BM81/1000</f>
        <v>0.1776908265543512</v>
      </c>
      <c r="BN84" s="659">
        <f>G73*AF!F24*Stock!BN81/1000</f>
        <v>2.6221306015550203</v>
      </c>
      <c r="BO84" s="659">
        <f>H73*AF!G24*Stock!BO81/1000</f>
        <v>0.4811510160256468</v>
      </c>
      <c r="BP84" s="659">
        <f>I73*AF!H24*Stock!BP81/1000</f>
        <v>0.30981676399686997</v>
      </c>
      <c r="BQ84" s="659">
        <f>J73*AF!I24*Stock!BQ81/1000</f>
        <v>0.22041667088380423</v>
      </c>
      <c r="BR84" s="659">
        <f>K73*AF!J24*Stock!BR81/1000</f>
        <v>0.10644614165165804</v>
      </c>
      <c r="BS84" s="659">
        <f>L73*AF!K24*Stock!BS81/1000</f>
        <v>0.27889471115920395</v>
      </c>
      <c r="BT84" s="659">
        <f>M73*AF!L24*Stock!BT81/1000</f>
        <v>0.42234511266501396</v>
      </c>
      <c r="BU84" s="659">
        <f>N73*AF!M24*Stock!BU81/1000</f>
        <v>0.20306940012468397</v>
      </c>
      <c r="BV84" s="659">
        <f>O73*AF!N24*Stock!BV81/1000</f>
        <v>0.23120030997623353</v>
      </c>
      <c r="BW84" s="659">
        <f>P73*AF!O24*Stock!BW81/1000</f>
        <v>0.46724146359802399</v>
      </c>
      <c r="BX84" s="659">
        <f>Q73*AF!P24*Stock!BX81/1000</f>
        <v>0.30771651782018739</v>
      </c>
      <c r="BY84" s="659">
        <f>R73*AF!Q24*Stock!BY81/1000</f>
        <v>0.30338888280344567</v>
      </c>
      <c r="BZ84" s="659">
        <f>S73*AF!R24*Stock!BZ81/1000</f>
        <v>1.6216923370920471</v>
      </c>
      <c r="CA84" s="659">
        <f>T73*AF!S24*Stock!CA81/1000</f>
        <v>0.4416155214684373</v>
      </c>
      <c r="CB84" s="659">
        <f>U73*AF!T24*Stock!CB81/1000</f>
        <v>0.49783483561849579</v>
      </c>
      <c r="CC84" s="659">
        <f>V73*AF!U24*Stock!CC81/1000</f>
        <v>0.40731899152066192</v>
      </c>
      <c r="CD84" s="659">
        <f>W73*AF!V24*Stock!CD81/1000</f>
        <v>0.36206218962612408</v>
      </c>
      <c r="CE84" s="659">
        <f>X73*AF!W24*Stock!CE81/1000</f>
        <v>0.60407823406137595</v>
      </c>
      <c r="CF84" s="659">
        <f>Y73*AF!X24*Stock!CF81/1000</f>
        <v>8.0653988424110548E-2</v>
      </c>
      <c r="CG84" s="659">
        <f>Z73*AF!Y24*Stock!CG81/1000</f>
        <v>0.30566436499430794</v>
      </c>
      <c r="CH84" s="659">
        <f>AA73*AF!Z24*Stock!CH81/1000</f>
        <v>0.1510396956020322</v>
      </c>
      <c r="CI84" s="659">
        <f>AB73*AF!AA24*Stock!CI81/1000</f>
        <v>0.16481934386777272</v>
      </c>
      <c r="CJ84" s="659">
        <f>AC73*AF!AB24*Stock!CJ81/1000</f>
        <v>0.19171327315742268</v>
      </c>
      <c r="CK84" s="659">
        <f>AD73*AF!AC24*Stock!CK81/1000</f>
        <v>0.40022648420980411</v>
      </c>
      <c r="CL84" s="659">
        <f>AE73*AF!AD24*Stock!CL81/1000</f>
        <v>0.15441454192641169</v>
      </c>
      <c r="CM84" s="1"/>
    </row>
    <row r="85" spans="1:91" s="459" customFormat="1">
      <c r="B85"/>
      <c r="D85" s="674" t="s">
        <v>885</v>
      </c>
      <c r="AD85"/>
      <c r="AE85"/>
      <c r="AF85" s="451"/>
      <c r="BI85" s="716"/>
      <c r="BJ85" s="716"/>
      <c r="BK85" s="21" t="s">
        <v>1115</v>
      </c>
      <c r="BL85" s="1">
        <f>SUM(BL83:BL84)</f>
        <v>11.536999999999997</v>
      </c>
      <c r="BM85" s="1">
        <f t="shared" ref="BM85:CL85" si="70">SUM(BM83:BM84)</f>
        <v>0.17794099599204957</v>
      </c>
      <c r="BN85" s="1">
        <f t="shared" si="70"/>
        <v>2.6292279716035631</v>
      </c>
      <c r="BO85" s="1">
        <f t="shared" si="70"/>
        <v>0.48228404218784626</v>
      </c>
      <c r="BP85" s="1">
        <f t="shared" si="70"/>
        <v>0.31014966827589169</v>
      </c>
      <c r="BQ85" s="1">
        <f t="shared" si="70"/>
        <v>0.22090468018989404</v>
      </c>
      <c r="BR85" s="1">
        <f t="shared" si="70"/>
        <v>0.1066039764501876</v>
      </c>
      <c r="BS85" s="1">
        <f t="shared" si="70"/>
        <v>0.27935990585939297</v>
      </c>
      <c r="BT85" s="1">
        <f t="shared" si="70"/>
        <v>0.42276367492038919</v>
      </c>
      <c r="BU85" s="1">
        <f t="shared" si="70"/>
        <v>0.20333600685129727</v>
      </c>
      <c r="BV85" s="1">
        <f t="shared" si="70"/>
        <v>0.23152778091853185</v>
      </c>
      <c r="BW85" s="1">
        <f t="shared" si="70"/>
        <v>0.46795618987426485</v>
      </c>
      <c r="BX85" s="1">
        <f t="shared" si="70"/>
        <v>0.30871042636808321</v>
      </c>
      <c r="BY85" s="1">
        <f t="shared" si="70"/>
        <v>0.30378726686741453</v>
      </c>
      <c r="BZ85" s="1">
        <f t="shared" si="70"/>
        <v>1.6254277052660846</v>
      </c>
      <c r="CA85" s="1">
        <f t="shared" si="70"/>
        <v>0.44225677339931191</v>
      </c>
      <c r="CB85" s="1">
        <f t="shared" si="70"/>
        <v>0.49831113834882396</v>
      </c>
      <c r="CC85" s="1">
        <f t="shared" si="70"/>
        <v>0.4079396870018312</v>
      </c>
      <c r="CD85" s="1">
        <f t="shared" si="70"/>
        <v>0.36310814920207185</v>
      </c>
      <c r="CE85" s="1">
        <f t="shared" si="70"/>
        <v>0.60506096800451603</v>
      </c>
      <c r="CF85" s="1">
        <f t="shared" si="70"/>
        <v>8.0693470189707711E-2</v>
      </c>
      <c r="CG85" s="1">
        <f t="shared" si="70"/>
        <v>0.30599590693319084</v>
      </c>
      <c r="CH85" s="1">
        <f t="shared" si="70"/>
        <v>0.15133440977952042</v>
      </c>
      <c r="CI85" s="1">
        <f t="shared" si="70"/>
        <v>0.16503078794415474</v>
      </c>
      <c r="CJ85" s="1">
        <f t="shared" si="70"/>
        <v>0.19182704360164693</v>
      </c>
      <c r="CK85" s="1">
        <f t="shared" si="70"/>
        <v>0.40087863270627733</v>
      </c>
      <c r="CL85" s="1">
        <f t="shared" si="70"/>
        <v>0.15458274126405555</v>
      </c>
      <c r="CM85" s="1"/>
    </row>
    <row r="86" spans="1:91" s="459" customFormat="1" ht="16.5"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c r="AG86" s="716" t="s">
        <v>1102</v>
      </c>
      <c r="AH86" s="401"/>
      <c r="AI86" s="40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716"/>
      <c r="BJ86" s="716"/>
      <c r="BK86" s="21" t="s">
        <v>1116</v>
      </c>
      <c r="BL86" s="798">
        <f>BL85-Demands!C7</f>
        <v>0</v>
      </c>
      <c r="BM86" s="798">
        <f>BM85-Demands!D7</f>
        <v>0</v>
      </c>
      <c r="BN86" s="798">
        <f>BN85-Demands!E7</f>
        <v>0</v>
      </c>
      <c r="BO86" s="798">
        <f>BO85-Demands!F7</f>
        <v>0</v>
      </c>
      <c r="BP86" s="798">
        <f>BP85-Demands!G7</f>
        <v>0</v>
      </c>
      <c r="BQ86" s="798">
        <f>BQ85-Demands!H7</f>
        <v>0</v>
      </c>
      <c r="BR86" s="798">
        <f>BR85-Demands!I7</f>
        <v>0</v>
      </c>
      <c r="BS86" s="798">
        <f>BS85-Demands!J7</f>
        <v>0</v>
      </c>
      <c r="BT86" s="798">
        <f>BT85-Demands!K7</f>
        <v>0</v>
      </c>
      <c r="BU86" s="798">
        <f>BU85-Demands!L7</f>
        <v>0</v>
      </c>
      <c r="BV86" s="798">
        <f>BV85-Demands!M7</f>
        <v>0</v>
      </c>
      <c r="BW86" s="798">
        <f>BW85-Demands!N7</f>
        <v>0</v>
      </c>
      <c r="BX86" s="798">
        <f>BX85-Demands!O7</f>
        <v>0</v>
      </c>
      <c r="BY86" s="798">
        <f>BY85-Demands!P7</f>
        <v>0</v>
      </c>
      <c r="BZ86" s="798">
        <f>BZ85-Demands!Q7</f>
        <v>0</v>
      </c>
      <c r="CA86" s="798">
        <f>CA85-Demands!R7</f>
        <v>0</v>
      </c>
      <c r="CB86" s="798">
        <f>CB85-Demands!S7</f>
        <v>0</v>
      </c>
      <c r="CC86" s="798">
        <f>CC85-Demands!T7</f>
        <v>0</v>
      </c>
      <c r="CD86" s="798">
        <f>CD85-Demands!U7</f>
        <v>0</v>
      </c>
      <c r="CE86" s="798">
        <f>CE85-Demands!V7</f>
        <v>0</v>
      </c>
      <c r="CF86" s="798">
        <f>CF85-Demands!W7</f>
        <v>0</v>
      </c>
      <c r="CG86" s="798">
        <f>CG85-Demands!X7</f>
        <v>0</v>
      </c>
      <c r="CH86" s="798">
        <f>CH85-Demands!Y7</f>
        <v>0</v>
      </c>
      <c r="CI86" s="798">
        <f>CI85-Demands!Z7</f>
        <v>0</v>
      </c>
      <c r="CJ86" s="798">
        <f>CJ85-Demands!AA7</f>
        <v>0</v>
      </c>
      <c r="CK86" s="798">
        <f>CK85-Demands!AB7</f>
        <v>0</v>
      </c>
      <c r="CL86" s="798">
        <f>CL85-Demands!AC7</f>
        <v>0</v>
      </c>
      <c r="CM86" s="1"/>
    </row>
    <row r="87" spans="1:91" s="459" customFormat="1" ht="15.75">
      <c r="A87" s="454" t="s">
        <v>667</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c r="AG87" s="718" t="s">
        <v>360</v>
      </c>
      <c r="AH87" s="718" t="str">
        <f>AH77</f>
        <v>IE</v>
      </c>
      <c r="AI87" s="718" t="str">
        <f t="shared" ref="AI87:BH87" si="71">AI77</f>
        <v>IE-CW</v>
      </c>
      <c r="AJ87" s="718" t="str">
        <f t="shared" si="71"/>
        <v>IE-D</v>
      </c>
      <c r="AK87" s="718" t="str">
        <f t="shared" si="71"/>
        <v>IE-KE</v>
      </c>
      <c r="AL87" s="718" t="str">
        <f t="shared" si="71"/>
        <v>IE-KK</v>
      </c>
      <c r="AM87" s="718" t="str">
        <f t="shared" si="71"/>
        <v>IE-LS</v>
      </c>
      <c r="AN87" s="718" t="str">
        <f t="shared" si="71"/>
        <v>IE-LD</v>
      </c>
      <c r="AO87" s="718" t="str">
        <f t="shared" si="71"/>
        <v>IE-LH</v>
      </c>
      <c r="AP87" s="718" t="str">
        <f t="shared" si="71"/>
        <v>IE-MH</v>
      </c>
      <c r="AQ87" s="718" t="str">
        <f t="shared" si="71"/>
        <v>IE-OY</v>
      </c>
      <c r="AR87" s="718" t="str">
        <f t="shared" si="71"/>
        <v>IE-WH</v>
      </c>
      <c r="AS87" s="718" t="str">
        <f t="shared" si="71"/>
        <v>IE-WX</v>
      </c>
      <c r="AT87" s="718" t="str">
        <f t="shared" si="71"/>
        <v>IE-WW</v>
      </c>
      <c r="AU87" s="718" t="str">
        <f t="shared" si="71"/>
        <v>IE-CE</v>
      </c>
      <c r="AV87" s="718" t="str">
        <f t="shared" si="71"/>
        <v>IE-CO</v>
      </c>
      <c r="AW87" s="718" t="str">
        <f t="shared" si="71"/>
        <v>IE-KY</v>
      </c>
      <c r="AX87" s="718" t="str">
        <f t="shared" si="71"/>
        <v>IE-LK</v>
      </c>
      <c r="AY87" s="718" t="str">
        <f t="shared" si="71"/>
        <v>IE-TA</v>
      </c>
      <c r="AZ87" s="718" t="str">
        <f t="shared" si="71"/>
        <v>IE-WD</v>
      </c>
      <c r="BA87" s="718" t="str">
        <f t="shared" si="71"/>
        <v>IE-G</v>
      </c>
      <c r="BB87" s="718" t="str">
        <f t="shared" si="71"/>
        <v>IE-LM</v>
      </c>
      <c r="BC87" s="718" t="str">
        <f t="shared" si="71"/>
        <v>IE-MO</v>
      </c>
      <c r="BD87" s="718" t="str">
        <f t="shared" si="71"/>
        <v>IE-RN</v>
      </c>
      <c r="BE87" s="718" t="str">
        <f t="shared" si="71"/>
        <v>IE-SO</v>
      </c>
      <c r="BF87" s="718" t="str">
        <f t="shared" si="71"/>
        <v>IE-CN</v>
      </c>
      <c r="BG87" s="718" t="str">
        <f t="shared" si="71"/>
        <v>IE-DL</v>
      </c>
      <c r="BH87" s="718" t="str">
        <f t="shared" si="71"/>
        <v>IE-MN</v>
      </c>
      <c r="BI87" s="716"/>
      <c r="BJ87" s="716"/>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row>
    <row r="88" spans="1:91" s="459" customFormat="1">
      <c r="A88" s="127" t="str">
        <f>Commodities!K8</f>
        <v>T-WLK_WLK</v>
      </c>
      <c r="B88" s="28" t="s">
        <v>873</v>
      </c>
      <c r="C88" s="127" t="str">
        <f>Commodities!B6</f>
        <v>TRAWLK</v>
      </c>
      <c r="D88" s="127" t="str">
        <f>Commodities!B22</f>
        <v>TRAPS</v>
      </c>
      <c r="E88" s="724">
        <v>4700</v>
      </c>
      <c r="F88" s="724">
        <f>$E$88*Demands!C180</f>
        <v>56.192353206149228</v>
      </c>
      <c r="G88" s="724">
        <f>$E$88*Demands!D180</f>
        <v>1329.8544372845527</v>
      </c>
      <c r="H88" s="724">
        <f>$E$88*Demands!E180</f>
        <v>219.6132817709026</v>
      </c>
      <c r="I88" s="724">
        <f>$E$88*Demands!F180</f>
        <v>97.94280182239514</v>
      </c>
      <c r="J88" s="724">
        <f>$E$88*Demands!G180</f>
        <v>83.596637031919158</v>
      </c>
      <c r="K88" s="724">
        <f>$E$88*Demands!H180</f>
        <v>40.341987855598568</v>
      </c>
      <c r="L88" s="724">
        <f>$E$88*Demands!I180</f>
        <v>127.20957019991108</v>
      </c>
      <c r="M88" s="724">
        <f>$E$88*Demands!J180</f>
        <v>192.51003545879593</v>
      </c>
      <c r="N88" s="724">
        <f>$E$88*Demands!K180</f>
        <v>76.948149517048407</v>
      </c>
      <c r="O88" s="724">
        <f>$E$88*Demands!L180</f>
        <v>87.616721599625293</v>
      </c>
      <c r="P88" s="724">
        <f>$E$88*Demands!M180</f>
        <v>147.77684793668016</v>
      </c>
      <c r="Q88" s="724">
        <f>$E$88*Demands!N180</f>
        <v>140.57464879831736</v>
      </c>
      <c r="R88" s="724">
        <f>$E$88*Demands!O180</f>
        <v>117.27335823254116</v>
      </c>
      <c r="S88" s="724">
        <f>$E$88*Demands!P180</f>
        <v>535.81519005683663</v>
      </c>
      <c r="T88" s="724">
        <f>$E$88*Demands!Q180</f>
        <v>145.78802633001976</v>
      </c>
      <c r="U88" s="724">
        <f>$E$88*Demands!R180</f>
        <v>192.36691926377571</v>
      </c>
      <c r="V88" s="724">
        <f>$E$88*Demands!S180</f>
        <v>157.48012595905166</v>
      </c>
      <c r="W88" s="724">
        <f>$E$88*Demands!T180</f>
        <v>114.66666946668995</v>
      </c>
      <c r="X88" s="724">
        <f>$E$88*Demands!U180</f>
        <v>254.70537278986262</v>
      </c>
      <c r="Y88" s="724">
        <f>$E$88*Demands!V180</f>
        <v>31.627692091228937</v>
      </c>
      <c r="Z88" s="724">
        <f>$E$88*Demands!W180</f>
        <v>128.81148457589612</v>
      </c>
      <c r="AA88" s="724">
        <f>$E$88*Demands!X180</f>
        <v>63.705459940590451</v>
      </c>
      <c r="AB88" s="724">
        <f>$E$88*Demands!Y180</f>
        <v>64.683585107935599</v>
      </c>
      <c r="AC88" s="724">
        <f>$E$88*Demands!Z180</f>
        <v>75.186339805937322</v>
      </c>
      <c r="AD88" s="724">
        <f>$E$88*Demands!AA180</f>
        <v>157.12381598386332</v>
      </c>
      <c r="AE88" s="724">
        <f>$E$88*Demands!AB180</f>
        <v>60.588487913874033</v>
      </c>
      <c r="AF88" s="451"/>
      <c r="AG88" s="716" t="s">
        <v>369</v>
      </c>
      <c r="AH88" s="658">
        <f>E50*AF!D6*ACT2FLO!D10/1000</f>
        <v>0.12080775131999999</v>
      </c>
      <c r="AI88" s="784">
        <f>F50*AF!E6*ACT2FLO!E10/1000</f>
        <v>1.4846309999999997E-3</v>
      </c>
      <c r="AJ88" s="784">
        <f>G50*AF!F6*ACT2FLO!F10/1000</f>
        <v>3.7417542080000005E-2</v>
      </c>
      <c r="AK88" s="784">
        <f>H50*AF!G6*ACT2FLO!G10/1000</f>
        <v>7.27459392E-3</v>
      </c>
      <c r="AL88" s="784">
        <f>I50*AF!H6*ACT2FLO!H10/1000</f>
        <v>2.3125440000000001E-3</v>
      </c>
      <c r="AM88" s="784">
        <f>J50*AF!I6*ACT2FLO!I10/1000</f>
        <v>1.3902300000000001E-3</v>
      </c>
      <c r="AN88" s="784">
        <f>K50*AF!J6*ACT2FLO!J10/1000</f>
        <v>1.1028841800000001E-3</v>
      </c>
      <c r="AO88" s="784">
        <f>L50*AF!K6*ACT2FLO!K10/1000</f>
        <v>2.3580899999999998E-3</v>
      </c>
      <c r="AP88" s="784">
        <f>M50*AF!L6*ACT2FLO!L10/1000</f>
        <v>5.5006175999999995E-3</v>
      </c>
      <c r="AQ88" s="784">
        <f>N50*AF!M6*ACT2FLO!M10/1000</f>
        <v>2.2033113600000002E-3</v>
      </c>
      <c r="AR88" s="784">
        <f>O50*AF!N6*ACT2FLO!N10/1000</f>
        <v>2.2064723999999998E-3</v>
      </c>
      <c r="AS88" s="784">
        <f>P50*AF!O6*ACT2FLO!O10/1000</f>
        <v>4.4015862000000008E-3</v>
      </c>
      <c r="AT88" s="784">
        <f>Q50*AF!P6*ACT2FLO!P10/1000</f>
        <v>4.438224000000001E-3</v>
      </c>
      <c r="AU88" s="784">
        <f>R50*AF!Q6*ACT2FLO!Q10/1000</f>
        <v>3.32484768E-3</v>
      </c>
      <c r="AV88" s="784">
        <f>S50*AF!R6*ACT2FLO!R10/1000</f>
        <v>1.656012288E-2</v>
      </c>
      <c r="AW88" s="784">
        <f>T50*AF!S6*ACT2FLO!S10/1000</f>
        <v>3.3015455999999997E-3</v>
      </c>
      <c r="AX88" s="784">
        <f>U50*AF!T6*ACT2FLO!T10/1000</f>
        <v>4.4223300000000012E-3</v>
      </c>
      <c r="AY88" s="784">
        <f>V50*AF!U6*ACT2FLO!U10/1000</f>
        <v>4.4125564799999996E-3</v>
      </c>
      <c r="AZ88" s="784">
        <f>W50*AF!V6*ACT2FLO!V10/1000</f>
        <v>3.423864E-3</v>
      </c>
      <c r="BA88" s="784">
        <f>X50*AF!W6*ACT2FLO!W10/1000</f>
        <v>4.4106249599999998E-3</v>
      </c>
      <c r="BB88" s="784">
        <f>Y50*AF!X6*ACT2FLO!X10/1000</f>
        <v>1.1030799999999998E-3</v>
      </c>
      <c r="BC88" s="784">
        <f>Z50*AF!Y6*ACT2FLO!Y10/1000</f>
        <v>2.2034825999999999E-3</v>
      </c>
      <c r="BD88" s="784">
        <f>AA50*AF!Z6*ACT2FLO!Z10/1000</f>
        <v>1.1029253499999999E-3</v>
      </c>
      <c r="BE88" s="784">
        <f>AB50*AF!AA6*ACT2FLO!AA10/1000</f>
        <v>1.101568E-3</v>
      </c>
      <c r="BF88" s="784">
        <f>AC50*AF!AB6*ACT2FLO!AB10/1000</f>
        <v>1.2145280000000001E-3</v>
      </c>
      <c r="BG88" s="784">
        <f>AD50*AF!AC6*ACT2FLO!AC10/1000</f>
        <v>2.2200998400000007E-3</v>
      </c>
      <c r="BH88" s="784">
        <f>AE50*AF!AD6*ACT2FLO!AD10/1000</f>
        <v>1.1045496000000002E-3</v>
      </c>
      <c r="BI88" s="716"/>
      <c r="BJ88" s="716"/>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row>
    <row r="89" spans="1:91" s="459" customFormat="1">
      <c r="A89" s="653" t="str">
        <f>Commodities!K9</f>
        <v>T-CYC_CYC</v>
      </c>
      <c r="B89" s="129" t="s">
        <v>873</v>
      </c>
      <c r="C89" s="653" t="str">
        <f>Commodities!B7</f>
        <v>TRACYC</v>
      </c>
      <c r="D89" s="653" t="str">
        <f>Commodities!B22</f>
        <v>TRAPS</v>
      </c>
      <c r="E89" s="725">
        <v>2000</v>
      </c>
      <c r="F89" s="725">
        <f>$E$89*Demands!C180</f>
        <v>23.91163966219116</v>
      </c>
      <c r="G89" s="725">
        <f>$E$89*Demands!D180</f>
        <v>565.89550522746924</v>
      </c>
      <c r="H89" s="725">
        <f>$E$89*Demands!E180</f>
        <v>93.452460328043657</v>
      </c>
      <c r="I89" s="725">
        <f>$E$89*Demands!F180</f>
        <v>41.677788009529849</v>
      </c>
      <c r="J89" s="725">
        <f>$E$89*Demands!G180</f>
        <v>35.573037034859212</v>
      </c>
      <c r="K89" s="725">
        <f>$E$89*Demands!H180</f>
        <v>17.166803342807903</v>
      </c>
      <c r="L89" s="725">
        <f>$E$89*Demands!I180</f>
        <v>54.131731999962163</v>
      </c>
      <c r="M89" s="725">
        <f>$E$89*Demands!J180</f>
        <v>81.919164025019541</v>
      </c>
      <c r="N89" s="725">
        <f>$E$89*Demands!K180</f>
        <v>32.743893411509958</v>
      </c>
      <c r="O89" s="725">
        <f>$E$89*Demands!L180</f>
        <v>37.283711318989482</v>
      </c>
      <c r="P89" s="725">
        <f>$E$89*Demands!M180</f>
        <v>62.883765079438369</v>
      </c>
      <c r="Q89" s="725">
        <f>$E$89*Demands!N180</f>
        <v>59.818999488645687</v>
      </c>
      <c r="R89" s="725">
        <f>$E$89*Demands!O180</f>
        <v>49.903556694698366</v>
      </c>
      <c r="S89" s="725">
        <f>$E$89*Demands!P180</f>
        <v>228.00646385397303</v>
      </c>
      <c r="T89" s="725">
        <f>$E$89*Demands!Q180</f>
        <v>62.037458012774366</v>
      </c>
      <c r="U89" s="725">
        <f>$E$89*Demands!R180</f>
        <v>81.858263516500301</v>
      </c>
      <c r="V89" s="725">
        <f>$E$89*Demands!S180</f>
        <v>67.012819557043258</v>
      </c>
      <c r="W89" s="725">
        <f>$E$89*Demands!T180</f>
        <v>48.794327432634027</v>
      </c>
      <c r="X89" s="725">
        <f>$E$89*Demands!U180</f>
        <v>108.38526501696282</v>
      </c>
      <c r="Y89" s="725">
        <f>$E$89*Demands!V180</f>
        <v>13.458592379246356</v>
      </c>
      <c r="Z89" s="725">
        <f>$E$89*Demands!W180</f>
        <v>54.813397691870691</v>
      </c>
      <c r="AA89" s="725">
        <f>$E$89*Demands!X180</f>
        <v>27.108706357698065</v>
      </c>
      <c r="AB89" s="725">
        <f>$E$89*Demands!Y180</f>
        <v>27.524929833164087</v>
      </c>
      <c r="AC89" s="725">
        <f>$E$89*Demands!Z180</f>
        <v>31.99418715146269</v>
      </c>
      <c r="AD89" s="725">
        <f>$E$89*Demands!AA180</f>
        <v>66.861198291005678</v>
      </c>
      <c r="AE89" s="725">
        <f>$E$89*Demands!AB180</f>
        <v>25.782335282499588</v>
      </c>
      <c r="AF89" s="451"/>
      <c r="AG89" s="716" t="s">
        <v>368</v>
      </c>
      <c r="AH89" s="658">
        <f>SUMPRODUCT(E52:E60,AF!D7:'AF'!D15,ACT2FLO!D11:'ACT2FLO'!D19)/1000</f>
        <v>53.686270312489995</v>
      </c>
      <c r="AI89" s="658">
        <f>SUMPRODUCT(F52:F60,AF!E7:'AF'!E15,ACT2FLO!E11:'ACT2FLO'!E19)/1000</f>
        <v>0.79389207150000007</v>
      </c>
      <c r="AJ89" s="658">
        <f>SUMPRODUCT(G52:G60,AF!F7:'AF'!F15,ACT2FLO!F11:'ACT2FLO'!F19)/1000</f>
        <v>11.361664315170001</v>
      </c>
      <c r="AK89" s="658">
        <f>SUMPRODUCT(H52:H60,AF!G7:'AF'!G15,ACT2FLO!G11:'ACT2FLO'!G19)/1000</f>
        <v>2.7289881356100003</v>
      </c>
      <c r="AL89" s="658">
        <f>SUMPRODUCT(I52:I60,AF!H7:'AF'!H15,ACT2FLO!H11:'ACT2FLO'!H19)/1000</f>
        <v>1.2418699672799998</v>
      </c>
      <c r="AM89" s="658">
        <f>SUMPRODUCT(J52:J60,AF!I7:'AF'!I15,ACT2FLO!I11:'ACT2FLO'!I19)/1000</f>
        <v>1.0055031755399999</v>
      </c>
      <c r="AN89" s="658">
        <f>SUMPRODUCT(K52:K60,AF!J7:'AF'!J15,ACT2FLO!J11:'ACT2FLO'!J19)/1000</f>
        <v>0.50747016177000004</v>
      </c>
      <c r="AO89" s="658">
        <f>SUMPRODUCT(L52:L60,AF!K7:'AF'!K15,ACT2FLO!K11:'ACT2FLO'!K19)/1000</f>
        <v>1.3513276326200001</v>
      </c>
      <c r="AP89" s="658">
        <f>SUMPRODUCT(M52:M60,AF!L7:'AF'!L15,ACT2FLO!L11:'ACT2FLO'!L19)/1000</f>
        <v>2.4156898369399995</v>
      </c>
      <c r="AQ89" s="658">
        <f>SUMPRODUCT(N52:N60,AF!M7:'AF'!M15,ACT2FLO!M11:'ACT2FLO'!M19)/1000</f>
        <v>0.98618770499999997</v>
      </c>
      <c r="AR89" s="658">
        <f>SUMPRODUCT(O52:O60,AF!N7:'AF'!N15,ACT2FLO!N11:'ACT2FLO'!N19)/1000</f>
        <v>1.1736379745699999</v>
      </c>
      <c r="AS89" s="658">
        <f>SUMPRODUCT(P52:P60,AF!O7:'AF'!O15,ACT2FLO!O11:'ACT2FLO'!O19)/1000</f>
        <v>2.0736752655000004</v>
      </c>
      <c r="AT89" s="658">
        <f>SUMPRODUCT(Q52:Q60,AF!P7:'AF'!P15,ACT2FLO!P11:'ACT2FLO'!P19)/1000</f>
        <v>1.7329645650000001</v>
      </c>
      <c r="AU89" s="658">
        <f>SUMPRODUCT(R52:R60,AF!Q7:'AF'!Q15,ACT2FLO!Q11:'ACT2FLO'!Q19)/1000</f>
        <v>1.6069746525000002</v>
      </c>
      <c r="AV89" s="658">
        <f>SUMPRODUCT(S52:S60,AF!R7:'AF'!R15,ACT2FLO!R11:'ACT2FLO'!R19)/1000</f>
        <v>6.4146100647400006</v>
      </c>
      <c r="AW89" s="658">
        <f>SUMPRODUCT(T52:T60,AF!S7:'AF'!S15,ACT2FLO!S11:'ACT2FLO'!S19)/1000</f>
        <v>1.91890350456</v>
      </c>
      <c r="AX89" s="658">
        <f>SUMPRODUCT(U52:U60,AF!T7:'AF'!T15,ACT2FLO!T11:'ACT2FLO'!T19)/1000</f>
        <v>2.3660353382000001</v>
      </c>
      <c r="AY89" s="658">
        <f>SUMPRODUCT(V52:V60,AF!U7:'AF'!U15,ACT2FLO!U11:'ACT2FLO'!U19)/1000</f>
        <v>2.2627250354999995</v>
      </c>
      <c r="AZ89" s="658">
        <f>SUMPRODUCT(W52:W60,AF!V7:'AF'!V15,ACT2FLO!V11:'ACT2FLO'!V19)/1000</f>
        <v>1.46920245782</v>
      </c>
      <c r="BA89" s="658">
        <f>SUMPRODUCT(X52:X60,AF!W7:'AF'!W15,ACT2FLO!W11:'ACT2FLO'!W19)/1000</f>
        <v>3.0906007461000007</v>
      </c>
      <c r="BB89" s="658">
        <f>SUMPRODUCT(Y52:Y60,AF!X7:'AF'!X15,ACT2FLO!X11:'ACT2FLO'!X19)/1000</f>
        <v>0.42603023589000005</v>
      </c>
      <c r="BC89" s="658">
        <f>SUMPRODUCT(Z52:Z60,AF!Y7:'AF'!Y15,ACT2FLO!Y11:'ACT2FLO'!Y19)/1000</f>
        <v>1.7009462821399999</v>
      </c>
      <c r="BD89" s="658">
        <f>SUMPRODUCT(AA52:AA60,AF!Z7:'AF'!Z15,ACT2FLO!Z11:'ACT2FLO'!Z19)/1000</f>
        <v>0.98890925265000007</v>
      </c>
      <c r="BE89" s="658">
        <f>SUMPRODUCT(AB52:AB60,AF!AA7:'AF'!AA15,ACT2FLO!AA11:'ACT2FLO'!AA19)/1000</f>
        <v>0.78838670099999986</v>
      </c>
      <c r="BF89" s="658">
        <f>SUMPRODUCT(AC52:AC60,AF!AB7:'AF'!AB15,ACT2FLO!AB11:'ACT2FLO'!AB19)/1000</f>
        <v>0.92036744699999995</v>
      </c>
      <c r="BG89" s="658">
        <f>SUMPRODUCT(AD52:AD60,AF!AC7:'AF'!AC15,ACT2FLO!AC11:'ACT2FLO'!AC19)/1000</f>
        <v>1.7521084019999997</v>
      </c>
      <c r="BH89" s="658">
        <f>SUMPRODUCT(AE52:AE60,AF!AD7:'AF'!AD15,ACT2FLO!AD11:'ACT2FLO'!AD19)/1000</f>
        <v>0.73913487552000012</v>
      </c>
      <c r="BI89" s="716"/>
      <c r="BJ89" s="716"/>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row>
    <row r="90" spans="1:91" s="459" customFormat="1">
      <c r="E90" s="658"/>
      <c r="F90" s="658"/>
      <c r="G90" s="658"/>
      <c r="H90" s="658"/>
      <c r="I90" s="658"/>
      <c r="J90" s="658"/>
      <c r="K90" s="658"/>
      <c r="L90" s="658"/>
      <c r="M90" s="658"/>
      <c r="N90" s="658"/>
      <c r="O90" s="658"/>
      <c r="P90" s="658"/>
      <c r="Q90" s="658"/>
      <c r="R90" s="658"/>
      <c r="S90" s="658"/>
      <c r="T90" s="658"/>
      <c r="U90" s="658"/>
      <c r="V90" s="658"/>
      <c r="W90" s="658"/>
      <c r="X90" s="658"/>
      <c r="Y90" s="658"/>
      <c r="Z90" s="658"/>
      <c r="AA90" s="658"/>
      <c r="AB90" s="658"/>
      <c r="AC90" s="658"/>
      <c r="AD90" s="658"/>
      <c r="AF90" s="451"/>
      <c r="AG90" s="716" t="s">
        <v>365</v>
      </c>
      <c r="AH90" s="658">
        <f>SUMPRODUCT(E62:E64,AF!D16:'AF'!D18,ACT2FLO!D20:'ACT2FLO'!D22)/1000</f>
        <v>1.2543753112499998</v>
      </c>
      <c r="AI90" s="658">
        <f>SUMPRODUCT(F62:F64,AF!E16:'AF'!E18,ACT2FLO!E20:'ACT2FLO'!E22)/1000</f>
        <v>7.4797020132752147E-3</v>
      </c>
      <c r="AJ90" s="658">
        <f>SUMPRODUCT(G62:G64,AF!F16:'AF'!F18,ACT2FLO!F20:'ACT2FLO'!F22)/1000</f>
        <v>0.64080593498319915</v>
      </c>
      <c r="AK90" s="658">
        <f>SUMPRODUCT(H62:H64,AF!G16:'AF'!G18,ACT2FLO!G20:'ACT2FLO'!G22)/1000</f>
        <v>5.2329469143760854E-2</v>
      </c>
      <c r="AL90" s="658">
        <f>SUMPRODUCT(I62:I64,AF!H16:'AF'!H18,ACT2FLO!H20:'ACT2FLO'!H22)/1000</f>
        <v>1.3446998252194246E-2</v>
      </c>
      <c r="AM90" s="658">
        <f>SUMPRODUCT(J62:J64,AF!I16:'AF'!I18,ACT2FLO!I20:'ACT2FLO'!I22)/1000</f>
        <v>1.3418521536475285E-2</v>
      </c>
      <c r="AN90" s="658">
        <f>SUMPRODUCT(K62:K64,AF!J16:'AF'!J18,ACT2FLO!J20:'ACT2FLO'!J22)/1000</f>
        <v>5.9582319264010648E-3</v>
      </c>
      <c r="AO90" s="658">
        <f>SUMPRODUCT(L62:L64,AF!K16:'AF'!K18,ACT2FLO!K20:'ACT2FLO'!K22)/1000</f>
        <v>3.7234919667432517E-2</v>
      </c>
      <c r="AP90" s="658">
        <f>SUMPRODUCT(M62:M64,AF!L16:'AF'!L18,ACT2FLO!L20:'ACT2FLO'!L22)/1000</f>
        <v>6.2808340338219124E-2</v>
      </c>
      <c r="AQ90" s="658">
        <f>SUMPRODUCT(N62:N64,AF!M16:'AF'!M18,ACT2FLO!M20:'ACT2FLO'!M22)/1000</f>
        <v>8.9508905454396236E-3</v>
      </c>
      <c r="AR90" s="658">
        <f>SUMPRODUCT(O62:O64,AF!N16:'AF'!N18,ACT2FLO!N20:'ACT2FLO'!N22)/1000</f>
        <v>1.7896975599379999E-2</v>
      </c>
      <c r="AS90" s="658">
        <f>SUMPRODUCT(P62:P64,AF!O16:'AF'!O18,ACT2FLO!O20:'ACT2FLO'!O22)/1000</f>
        <v>1.6423834722673992E-2</v>
      </c>
      <c r="AT90" s="658">
        <f>SUMPRODUCT(Q62:Q64,AF!P16:'AF'!P18,ACT2FLO!P20:'ACT2FLO'!P22)/1000</f>
        <v>2.0927617814480833E-2</v>
      </c>
      <c r="AU90" s="658">
        <f>SUMPRODUCT(R62:R64,AF!Q16:'AF'!Q18,ACT2FLO!Q20:'ACT2FLO'!Q22)/1000</f>
        <v>2.0933819186262734E-2</v>
      </c>
      <c r="AV90" s="658">
        <f>SUMPRODUCT(S62:S64,AF!R16:'AF'!R18,ACT2FLO!R20:'ACT2FLO'!R22)/1000</f>
        <v>0.10417930199823515</v>
      </c>
      <c r="AW90" s="658">
        <f>SUMPRODUCT(T62:T64,AF!S16:'AF'!S18,ACT2FLO!S20:'ACT2FLO'!S22)/1000</f>
        <v>2.6806516875903567E-2</v>
      </c>
      <c r="AX90" s="658">
        <f>SUMPRODUCT(U62:U64,AF!T16:'AF'!T18,ACT2FLO!T20:'ACT2FLO'!T22)/1000</f>
        <v>4.0281191836487901E-2</v>
      </c>
      <c r="AY90" s="658">
        <f>SUMPRODUCT(V62:V64,AF!U16:'AF'!U18,ACT2FLO!U20:'ACT2FLO'!U22)/1000</f>
        <v>1.4939604425173397E-2</v>
      </c>
      <c r="AZ90" s="658">
        <f>SUMPRODUCT(W62:W64,AF!V16:'AF'!V18,ACT2FLO!V20:'ACT2FLO'!V22)/1000</f>
        <v>1.6378197072605814E-2</v>
      </c>
      <c r="BA90" s="658">
        <f>SUMPRODUCT(X62:X64,AF!W16:'AF'!W18,ACT2FLO!W20:'ACT2FLO'!W22)/1000</f>
        <v>5.6783957560384464E-2</v>
      </c>
      <c r="BB90" s="658">
        <f>SUMPRODUCT(Y62:Y64,AF!X16:'AF'!X18,ACT2FLO!X20:'ACT2FLO'!X22)/1000</f>
        <v>4.4690880000000004E-3</v>
      </c>
      <c r="BC90" s="658">
        <f>SUMPRODUCT(Z62:Z64,AF!Y16:'AF'!Y18,ACT2FLO!Y20:'ACT2FLO'!Y22)/1000</f>
        <v>1.6453766276645451E-2</v>
      </c>
      <c r="BD90" s="658">
        <f>SUMPRODUCT(AA62:AA64,AF!Z16:'AF'!Z18,ACT2FLO!Z20:'ACT2FLO'!Z22)/1000</f>
        <v>7.4841635621511644E-3</v>
      </c>
      <c r="BE90" s="658">
        <f>SUMPRODUCT(AB62:AB64,AF!AA16:'AF'!AA18,ACT2FLO!AA20:'ACT2FLO'!AA22)/1000</f>
        <v>8.9581520008502283E-3</v>
      </c>
      <c r="BF90" s="658">
        <f>SUMPRODUCT(AC62:AC64,AF!AB16:'AF'!AB18,ACT2FLO!AB20:'ACT2FLO'!AB22)/1000</f>
        <v>1.0450608893784052E-2</v>
      </c>
      <c r="BG90" s="658">
        <f>SUMPRODUCT(AD62:AD64,AF!AC16:'AF'!AC18,ACT2FLO!AC20:'ACT2FLO'!AC22)/1000</f>
        <v>2.2350054092676572E-2</v>
      </c>
      <c r="BH90" s="658">
        <f>SUMPRODUCT(AE62:AE64,AF!AD16:'AF'!AD18,ACT2FLO!AD20:'ACT2FLO'!AD22)/1000</f>
        <v>4.4756231886609113E-3</v>
      </c>
      <c r="BI90" s="716"/>
      <c r="BJ90" s="716"/>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row>
    <row r="91" spans="1:91" s="459" customFormat="1">
      <c r="E91" s="658"/>
      <c r="F91" s="658"/>
      <c r="G91" s="658"/>
      <c r="H91" s="658"/>
      <c r="I91" s="658"/>
      <c r="J91" s="658"/>
      <c r="K91" s="658"/>
      <c r="L91" s="658"/>
      <c r="M91" s="658"/>
      <c r="N91" s="658"/>
      <c r="O91" s="658"/>
      <c r="P91" s="658"/>
      <c r="Q91" s="658"/>
      <c r="R91" s="658"/>
      <c r="S91" s="658"/>
      <c r="T91" s="658"/>
      <c r="U91" s="658"/>
      <c r="V91" s="658"/>
      <c r="W91" s="658"/>
      <c r="X91" s="658"/>
      <c r="Y91" s="658"/>
      <c r="Z91" s="658"/>
      <c r="AA91" s="658"/>
      <c r="AB91" s="658"/>
      <c r="AC91" s="658"/>
      <c r="AD91" s="658"/>
      <c r="AF91" s="451"/>
      <c r="AG91" s="716" t="s">
        <v>589</v>
      </c>
      <c r="AH91" s="658">
        <f>E66*AF!D19*ACT2FLO!D23/1000</f>
        <v>9.8168961157500032</v>
      </c>
      <c r="AI91" s="658">
        <f>F66*AF!E19*ACT2FLO!E23/1000</f>
        <v>0.10903126255999998</v>
      </c>
      <c r="AJ91" s="658">
        <f>G66*AF!F19*ACT2FLO!F23/1000</f>
        <v>3.54364143966</v>
      </c>
      <c r="AK91" s="658">
        <f>H66*AF!G19*ACT2FLO!G23/1000</f>
        <v>0.46332705951000003</v>
      </c>
      <c r="AL91" s="658">
        <f>I66*AF!H19*ACT2FLO!H23/1000</f>
        <v>0.29982190479999998</v>
      </c>
      <c r="AM91" s="658">
        <f>J66*AF!I19*ACT2FLO!I23/1000</f>
        <v>0.13627332180000001</v>
      </c>
      <c r="AN91" s="658">
        <f>K66*AF!J19*ACT2FLO!J23/1000</f>
        <v>8.1756879749999997E-2</v>
      </c>
      <c r="AO91" s="658">
        <f>L66*AF!K19*ACT2FLO!K23/1000</f>
        <v>0.21800543100000006</v>
      </c>
      <c r="AP91" s="658">
        <f>M66*AF!L19*ACT2FLO!L23/1000</f>
        <v>0.29977326056000003</v>
      </c>
      <c r="AQ91" s="658">
        <f>N66*AF!M19*ACT2FLO!M23/1000</f>
        <v>0.19081360257000002</v>
      </c>
      <c r="AR91" s="658">
        <f>O66*AF!N19*ACT2FLO!N23/1000</f>
        <v>0.13625459040000004</v>
      </c>
      <c r="AS91" s="658">
        <f>P66*AF!O19*ACT2FLO!O23/1000</f>
        <v>0.27250399559999999</v>
      </c>
      <c r="AT91" s="658">
        <f>Q66*AF!P19*ACT2FLO!P23/1000</f>
        <v>0.24530833403999999</v>
      </c>
      <c r="AU91" s="658">
        <f>R66*AF!Q19*ACT2FLO!Q23/1000</f>
        <v>0.19077463342000001</v>
      </c>
      <c r="AV91" s="658">
        <f>S66*AF!R19*ACT2FLO!R23/1000</f>
        <v>0.7904570848200001</v>
      </c>
      <c r="AW91" s="658">
        <f>T66*AF!S19*ACT2FLO!S23/1000</f>
        <v>0.49052369408000007</v>
      </c>
      <c r="AX91" s="658">
        <f>U66*AF!T19*ACT2FLO!T23/1000</f>
        <v>0.29977464448000007</v>
      </c>
      <c r="AY91" s="658">
        <f>V66*AF!U19*ACT2FLO!U23/1000</f>
        <v>0.35430468128000009</v>
      </c>
      <c r="AZ91" s="658">
        <f>W66*AF!V19*ACT2FLO!V23/1000</f>
        <v>0.16353595372000002</v>
      </c>
      <c r="BA91" s="658">
        <f>X66*AF!W19*ACT2FLO!W23/1000</f>
        <v>0.57232764288000015</v>
      </c>
      <c r="BB91" s="658">
        <f>Y66*AF!X19*ACT2FLO!X23/1000</f>
        <v>5.4500252399999997E-2</v>
      </c>
      <c r="BC91" s="658">
        <f>Z66*AF!Y19*ACT2FLO!Y23/1000</f>
        <v>0.35426603212000002</v>
      </c>
      <c r="BD91" s="658">
        <f>AA66*AF!Z19*ACT2FLO!Z23/1000</f>
        <v>0.109029186</v>
      </c>
      <c r="BE91" s="658">
        <f>AB66*AF!AA19*ACT2FLO!AA23/1000</f>
        <v>0.10900232448000001</v>
      </c>
      <c r="BF91" s="658">
        <f>AC66*AF!AB19*ACT2FLO!AB23/1000</f>
        <v>0.19278325334000002</v>
      </c>
      <c r="BG91" s="658">
        <f>AD66*AF!AC19*ACT2FLO!AC23/1000</f>
        <v>0.52188717500000004</v>
      </c>
      <c r="BH91" s="658">
        <f>AE66*AF!AD19*ACT2FLO!AD23/1000</f>
        <v>0.27255499050000004</v>
      </c>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row>
    <row r="92" spans="1:91" s="459" customFormat="1">
      <c r="A92" s="453" t="s">
        <v>753</v>
      </c>
      <c r="B92" s="453"/>
      <c r="AF92" s="451"/>
      <c r="AG92" s="716" t="s">
        <v>576</v>
      </c>
      <c r="AH92" s="658">
        <f>E68*AF!D20*ACT2FLO!D24/1000</f>
        <v>0.31722651729000001</v>
      </c>
      <c r="AI92" s="658">
        <f>F68*AF!E20*ACT2FLO!E24/1000</f>
        <v>0</v>
      </c>
      <c r="AJ92" s="658">
        <f>G68*AF!F20*ACT2FLO!F24/1000</f>
        <v>0.31722651729000001</v>
      </c>
      <c r="AK92" s="658">
        <f>H68*AF!G20*ACT2FLO!G24/1000</f>
        <v>0</v>
      </c>
      <c r="AL92" s="658">
        <f>I68*AF!H20*ACT2FLO!H24/1000</f>
        <v>0</v>
      </c>
      <c r="AM92" s="658">
        <f>J68*AF!I20*ACT2FLO!I24/1000</f>
        <v>0</v>
      </c>
      <c r="AN92" s="658">
        <f>K68*AF!J20*ACT2FLO!J24/1000</f>
        <v>0</v>
      </c>
      <c r="AO92" s="658">
        <f>L68*AF!K20*ACT2FLO!K24/1000</f>
        <v>0</v>
      </c>
      <c r="AP92" s="658">
        <f>M68*AF!L20*ACT2FLO!L24/1000</f>
        <v>0</v>
      </c>
      <c r="AQ92" s="658">
        <f>N68*AF!M20*ACT2FLO!M24/1000</f>
        <v>0</v>
      </c>
      <c r="AR92" s="658">
        <f>O68*AF!N20*ACT2FLO!N24/1000</f>
        <v>0</v>
      </c>
      <c r="AS92" s="658">
        <f>P68*AF!O20*ACT2FLO!O24/1000</f>
        <v>0</v>
      </c>
      <c r="AT92" s="658">
        <f>Q68*AF!P20*ACT2FLO!P24/1000</f>
        <v>0</v>
      </c>
      <c r="AU92" s="658">
        <f>R68*AF!Q20*ACT2FLO!Q24/1000</f>
        <v>0</v>
      </c>
      <c r="AV92" s="658">
        <f>S68*AF!R20*ACT2FLO!R24/1000</f>
        <v>0</v>
      </c>
      <c r="AW92" s="658">
        <f>T68*AF!S20*ACT2FLO!S24/1000</f>
        <v>0</v>
      </c>
      <c r="AX92" s="658">
        <f>U68*AF!T20*ACT2FLO!T24/1000</f>
        <v>0</v>
      </c>
      <c r="AY92" s="658">
        <f>V68*AF!U20*ACT2FLO!U24/1000</f>
        <v>0</v>
      </c>
      <c r="AZ92" s="658">
        <f>W68*AF!V20*ACT2FLO!V24/1000</f>
        <v>0</v>
      </c>
      <c r="BA92" s="658">
        <f>X68*AF!W20*ACT2FLO!W24/1000</f>
        <v>0</v>
      </c>
      <c r="BB92" s="658">
        <f>Y68*AF!X20*ACT2FLO!X24/1000</f>
        <v>0</v>
      </c>
      <c r="BC92" s="658">
        <f>Z68*AF!Y20*ACT2FLO!Y24/1000</f>
        <v>0</v>
      </c>
      <c r="BD92" s="658">
        <f>AA68*AF!Z20*ACT2FLO!Z24/1000</f>
        <v>0</v>
      </c>
      <c r="BE92" s="658">
        <f>AB68*AF!AA20*ACT2FLO!AA24/1000</f>
        <v>0</v>
      </c>
      <c r="BF92" s="658">
        <f>AC68*AF!AB20*ACT2FLO!AB24/1000</f>
        <v>0</v>
      </c>
      <c r="BG92" s="658">
        <f>AD68*AF!AC20*ACT2FLO!AC24/1000</f>
        <v>0</v>
      </c>
      <c r="BH92" s="658">
        <f>AE68*AF!AD20*ACT2FLO!AD24/1000</f>
        <v>0</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row>
    <row r="93" spans="1:91" s="459" customFormat="1" ht="15.75" thickBot="1">
      <c r="A93" s="41" t="s">
        <v>70</v>
      </c>
      <c r="B93" s="672" t="s">
        <v>172</v>
      </c>
      <c r="E93" s="658"/>
      <c r="F93" s="658"/>
      <c r="G93" s="658"/>
      <c r="H93" s="658"/>
      <c r="I93" s="658"/>
      <c r="J93" s="658"/>
      <c r="K93" s="658"/>
      <c r="L93" s="658"/>
      <c r="M93" s="658"/>
      <c r="N93" s="658"/>
      <c r="O93" s="658"/>
      <c r="P93" s="658"/>
      <c r="Q93" s="658"/>
      <c r="R93" s="658"/>
      <c r="S93" s="658"/>
      <c r="T93" s="658"/>
      <c r="U93" s="658"/>
      <c r="V93" s="658"/>
      <c r="W93" s="658"/>
      <c r="X93" s="658"/>
      <c r="Y93" s="658"/>
      <c r="Z93" s="658"/>
      <c r="AA93" s="658"/>
      <c r="AB93" s="658"/>
      <c r="AC93" s="658"/>
      <c r="AD93" s="658"/>
      <c r="AF93" s="451"/>
      <c r="AG93" s="716" t="s">
        <v>367</v>
      </c>
      <c r="AH93" s="658">
        <f>SUMPRODUCT(E69:E70,AF!D21:'AF'!D22,ACT2FLO!D25:'ACT2FLO'!D26)/1000</f>
        <v>2.2810873993599996</v>
      </c>
      <c r="AI93" s="658">
        <f>SUMPRODUCT(F69:F70,AF!E21:'AF'!E22,ACT2FLO!E25:'ACT2FLO'!E26)/1000</f>
        <v>2.7273274924122255E-2</v>
      </c>
      <c r="AJ93" s="658">
        <f>SUMPRODUCT(G69:G70,AF!F21:'AF'!F22,ACT2FLO!F25:'ACT2FLO'!F26)/1000</f>
        <v>0.6454765761280199</v>
      </c>
      <c r="AK93" s="658">
        <f>SUMPRODUCT(H69:H70,AF!G21:'AF'!G22,ACT2FLO!G25:'ACT2FLO'!G26)/1000</f>
        <v>0.10659054246674803</v>
      </c>
      <c r="AL93" s="658">
        <f>SUMPRODUCT(I69:I70,AF!H21:'AF'!H22,ACT2FLO!H25:'ACT2FLO'!H26)/1000</f>
        <v>4.7537090164942383E-2</v>
      </c>
      <c r="AM93" s="658">
        <f>SUMPRODUCT(J69:J70,AF!I21:'AF'!I22,ACT2FLO!I25:'ACT2FLO'!I26)/1000</f>
        <v>4.0574098332192478E-2</v>
      </c>
      <c r="AN93" s="658">
        <f>SUMPRODUCT(K69:K70,AF!J21:'AF'!J22,ACT2FLO!J25:'ACT2FLO'!J26)/1000</f>
        <v>1.9580210882696007E-2</v>
      </c>
      <c r="AO93" s="658">
        <f>SUMPRODUCT(L69:L70,AF!K21:'AF'!K22,ACT2FLO!K25:'ACT2FLO'!K26)/1000</f>
        <v>6.1741880933755586E-2</v>
      </c>
      <c r="AP93" s="658">
        <f>SUMPRODUCT(M69:M70,AF!L21:'AF'!L22,ACT2FLO!L25:'ACT2FLO'!L26)/1000</f>
        <v>9.3435829310414192E-2</v>
      </c>
      <c r="AQ93" s="658">
        <f>SUMPRODUCT(N69:N70,AF!M21:'AF'!M22,ACT2FLO!M25:'ACT2FLO'!M26)/1000</f>
        <v>3.7347217493843447E-2</v>
      </c>
      <c r="AR93" s="658">
        <f>SUMPRODUCT(O69:O70,AF!N21:'AF'!N22,ACT2FLO!N25:'ACT2FLO'!N26)/1000</f>
        <v>4.2525269005380673E-2</v>
      </c>
      <c r="AS93" s="658">
        <f>SUMPRODUCT(P69:P70,AF!O21:'AF'!O22,ACT2FLO!O25:'ACT2FLO'!O26)/1000</f>
        <v>7.1724324952389382E-2</v>
      </c>
      <c r="AT93" s="658">
        <f>SUMPRODUCT(Q69:Q70,AF!P21:'AF'!P22,ACT2FLO!P25:'ACT2FLO'!P26)/1000</f>
        <v>6.8228697060846485E-2</v>
      </c>
      <c r="AU93" s="658">
        <f>SUMPRODUCT(R69:R70,AF!Q21:'AF'!Q22,ACT2FLO!Q25:'ACT2FLO'!Q26)/1000</f>
        <v>5.6919284526442668E-2</v>
      </c>
      <c r="AV93" s="658">
        <f>SUMPRODUCT(S69:S70,AF!R21:'AF'!R22,ACT2FLO!R25:'ACT2FLO'!R26)/1000</f>
        <v>0.26006091849062746</v>
      </c>
      <c r="AW93" s="658">
        <f>SUMPRODUCT(T69:T70,AF!S21:'AF'!S22,ACT2FLO!S25:'ACT2FLO'!S26)/1000</f>
        <v>7.0759039190917708E-2</v>
      </c>
      <c r="AX93" s="658">
        <f>SUMPRODUCT(U69:U70,AF!T21:'AF'!T22,ACT2FLO!T25:'ACT2FLO'!T26)/1000</f>
        <v>9.3366367059588687E-2</v>
      </c>
      <c r="AY93" s="658">
        <f>SUMPRODUCT(V69:V70,AF!U21:'AF'!U22,ACT2FLO!U25:'ACT2FLO'!U26)/1000</f>
        <v>7.6433865558358738E-2</v>
      </c>
      <c r="AZ93" s="658">
        <f>SUMPRODUCT(W69:W70,AF!V21:'AF'!V22,ACT2FLO!V25:'ACT2FLO'!V26)/1000</f>
        <v>5.565411346140707E-2</v>
      </c>
      <c r="BA93" s="658">
        <f>SUMPRODUCT(X69:X70,AF!W21:'AF'!W22,ACT2FLO!W25:'ACT2FLO'!W26)/1000</f>
        <v>0.12362268636916218</v>
      </c>
      <c r="BB93" s="658">
        <f>SUMPRODUCT(Y69:Y70,AF!X21:'AF'!X22,ACT2FLO!X25:'ACT2FLO'!X26)/1000</f>
        <v>1.5350678382431211E-2</v>
      </c>
      <c r="BC93" s="658">
        <f>SUMPRODUCT(Z69:Z70,AF!Y21:'AF'!Y22,ACT2FLO!Y25:'ACT2FLO'!Y26)/1000</f>
        <v>6.251937909299557E-2</v>
      </c>
      <c r="BD93" s="658">
        <f>SUMPRODUCT(AA69:AA70,AF!Z21:'AF'!Z22,ACT2FLO!Z25:'ACT2FLO'!Z26)/1000</f>
        <v>3.0919803567458496E-2</v>
      </c>
      <c r="BE93" s="658">
        <f>SUMPRODUCT(AB69:AB70,AF!AA21:'AF'!AA22,ACT2FLO!AA25:'ACT2FLO'!AA26)/1000</f>
        <v>3.1394542123100402E-2</v>
      </c>
      <c r="BF93" s="658">
        <f>SUMPRODUCT(AC69:AC70,AF!AB21:'AF'!AB22,ACT2FLO!AB25:'ACT2FLO'!AB26)/1000</f>
        <v>3.6492113233681178E-2</v>
      </c>
      <c r="BG93" s="658">
        <f>SUMPRODUCT(AD69:AD70,AF!AC21:'AF'!AC22,ACT2FLO!AC25:'ACT2FLO'!AC26)/1000</f>
        <v>7.6260928506303491E-2</v>
      </c>
      <c r="BH93" s="658">
        <f>SUMPRODUCT(AE69:AE70,AF!AD21:'AF'!AD22,ACT2FLO!AD25:'ACT2FLO'!AD26)/1000</f>
        <v>2.9406963649479534E-2</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row>
    <row r="94" spans="1:91" s="459" customFormat="1" ht="15.75">
      <c r="A94" s="455" t="s">
        <v>667</v>
      </c>
      <c r="B94" s="574"/>
      <c r="AF94" s="451"/>
      <c r="AG94" s="775" t="s">
        <v>16</v>
      </c>
      <c r="AH94" s="780">
        <f t="shared" ref="AH94" si="72">SUM(AH88:AH93)</f>
        <v>67.476663407459995</v>
      </c>
      <c r="AI94" s="780">
        <f t="shared" ref="AI94" si="73">SUM(AI88:AI93)</f>
        <v>0.93916094199739741</v>
      </c>
      <c r="AJ94" s="780">
        <f t="shared" ref="AJ94" si="74">SUM(AJ88:AJ93)</f>
        <v>16.54623232531122</v>
      </c>
      <c r="AK94" s="780">
        <f t="shared" ref="AK94" si="75">SUM(AK88:AK93)</f>
        <v>3.3585098006505096</v>
      </c>
      <c r="AL94" s="780">
        <f t="shared" ref="AL94" si="76">SUM(AL88:AL93)</f>
        <v>1.6049885044971364</v>
      </c>
      <c r="AM94" s="780">
        <f t="shared" ref="AM94" si="77">SUM(AM88:AM93)</f>
        <v>1.1971593472086677</v>
      </c>
      <c r="AN94" s="780">
        <f t="shared" ref="AN94" si="78">SUM(AN88:AN93)</f>
        <v>0.61586836850909721</v>
      </c>
      <c r="AO94" s="780">
        <f t="shared" ref="AO94" si="79">SUM(AO88:AO93)</f>
        <v>1.6706679542211882</v>
      </c>
      <c r="AP94" s="780">
        <f t="shared" ref="AP94" si="80">SUM(AP88:AP93)</f>
        <v>2.8772078847486324</v>
      </c>
      <c r="AQ94" s="780">
        <f t="shared" ref="AQ94" si="81">SUM(AQ88:AQ93)</f>
        <v>1.2255027269692831</v>
      </c>
      <c r="AR94" s="780">
        <f t="shared" ref="AR94" si="82">SUM(AR88:AR93)</f>
        <v>1.3725212819747608</v>
      </c>
      <c r="AS94" s="780">
        <f t="shared" ref="AS94" si="83">SUM(AS88:AS93)</f>
        <v>2.4387290069750645</v>
      </c>
      <c r="AT94" s="780">
        <f t="shared" ref="AT94" si="84">SUM(AT88:AT93)</f>
        <v>2.0718674379153272</v>
      </c>
      <c r="AU94" s="780">
        <f t="shared" ref="AU94" si="85">SUM(AU88:AU93)</f>
        <v>1.8789272373127055</v>
      </c>
      <c r="AV94" s="780">
        <f t="shared" ref="AV94" si="86">SUM(AV88:AV93)</f>
        <v>7.5858674929288634</v>
      </c>
      <c r="AW94" s="780">
        <f t="shared" ref="AW94" si="87">SUM(AW88:AW93)</f>
        <v>2.5102943003068217</v>
      </c>
      <c r="AX94" s="780">
        <f t="shared" ref="AX94" si="88">SUM(AX88:AX93)</f>
        <v>2.8038798715760769</v>
      </c>
      <c r="AY94" s="780">
        <f t="shared" ref="AY94" si="89">SUM(AY88:AY93)</f>
        <v>2.7128157432435316</v>
      </c>
      <c r="AZ94" s="780">
        <f t="shared" ref="AZ94" si="90">SUM(AZ88:AZ93)</f>
        <v>1.7081945860740129</v>
      </c>
      <c r="BA94" s="780">
        <f t="shared" ref="BA94" si="91">SUM(BA88:BA93)</f>
        <v>3.8477456578695475</v>
      </c>
      <c r="BB94" s="780">
        <f t="shared" ref="BB94" si="92">SUM(BB88:BB93)</f>
        <v>0.50145333467243125</v>
      </c>
      <c r="BC94" s="780">
        <f t="shared" ref="BC94" si="93">SUM(BC88:BC93)</f>
        <v>2.1363889422296412</v>
      </c>
      <c r="BD94" s="780">
        <f t="shared" ref="BD94" si="94">SUM(BD88:BD93)</f>
        <v>1.1374453311296098</v>
      </c>
      <c r="BE94" s="780">
        <f t="shared" ref="BE94" si="95">SUM(BE88:BE93)</f>
        <v>0.93884328760395064</v>
      </c>
      <c r="BF94" s="780">
        <f t="shared" ref="BF94" si="96">SUM(BF88:BF93)</f>
        <v>1.161307950467465</v>
      </c>
      <c r="BG94" s="780">
        <f t="shared" ref="BG94" si="97">SUM(BG88:BG93)</f>
        <v>2.3748266594389795</v>
      </c>
      <c r="BH94" s="780">
        <f t="shared" ref="BH94" si="98">SUM(BH88:BH93)</f>
        <v>1.0466770024581407</v>
      </c>
    </row>
    <row r="95" spans="1:91" s="459" customFormat="1">
      <c r="A95" s="127" t="str">
        <f>A88</f>
        <v>T-WLK_WLK</v>
      </c>
      <c r="B95" s="673">
        <v>100</v>
      </c>
      <c r="AF95" s="451"/>
    </row>
    <row r="96" spans="1:91" s="459" customFormat="1">
      <c r="A96" s="127" t="str">
        <f>A89</f>
        <v>T-CYC_CYC</v>
      </c>
      <c r="B96" s="673">
        <v>100</v>
      </c>
      <c r="AF96" s="451"/>
    </row>
    <row r="97" spans="1:61" s="459" customFormat="1" ht="15.75">
      <c r="A97" s="455" t="str">
        <f t="shared" ref="A97:A122" si="99">A49</f>
        <v>*Two-wheelers</v>
      </c>
      <c r="B97" s="574"/>
      <c r="AF97" s="451"/>
      <c r="AG97" s="716" t="s">
        <v>1104</v>
      </c>
    </row>
    <row r="98" spans="1:61" s="459" customFormat="1">
      <c r="A98" s="127" t="str">
        <f t="shared" si="99"/>
        <v>T-MOT-ICE_GSL00</v>
      </c>
      <c r="B98" s="673">
        <v>10</v>
      </c>
      <c r="AF98" s="451"/>
      <c r="AG98" s="718" t="s">
        <v>360</v>
      </c>
      <c r="AH98" s="718" t="str">
        <f>AH87</f>
        <v>IE</v>
      </c>
      <c r="AI98" s="718" t="str">
        <f t="shared" ref="AI98:BH98" si="100">AI87</f>
        <v>IE-CW</v>
      </c>
      <c r="AJ98" s="718" t="str">
        <f t="shared" si="100"/>
        <v>IE-D</v>
      </c>
      <c r="AK98" s="718" t="str">
        <f t="shared" si="100"/>
        <v>IE-KE</v>
      </c>
      <c r="AL98" s="718" t="str">
        <f t="shared" si="100"/>
        <v>IE-KK</v>
      </c>
      <c r="AM98" s="718" t="str">
        <f t="shared" si="100"/>
        <v>IE-LS</v>
      </c>
      <c r="AN98" s="718" t="str">
        <f t="shared" si="100"/>
        <v>IE-LD</v>
      </c>
      <c r="AO98" s="718" t="str">
        <f t="shared" si="100"/>
        <v>IE-LH</v>
      </c>
      <c r="AP98" s="718" t="str">
        <f t="shared" si="100"/>
        <v>IE-MH</v>
      </c>
      <c r="AQ98" s="718" t="str">
        <f t="shared" si="100"/>
        <v>IE-OY</v>
      </c>
      <c r="AR98" s="718" t="str">
        <f t="shared" si="100"/>
        <v>IE-WH</v>
      </c>
      <c r="AS98" s="718" t="str">
        <f t="shared" si="100"/>
        <v>IE-WX</v>
      </c>
      <c r="AT98" s="718" t="str">
        <f t="shared" si="100"/>
        <v>IE-WW</v>
      </c>
      <c r="AU98" s="718" t="str">
        <f t="shared" si="100"/>
        <v>IE-CE</v>
      </c>
      <c r="AV98" s="718" t="str">
        <f t="shared" si="100"/>
        <v>IE-CO</v>
      </c>
      <c r="AW98" s="718" t="str">
        <f t="shared" si="100"/>
        <v>IE-KY</v>
      </c>
      <c r="AX98" s="718" t="str">
        <f t="shared" si="100"/>
        <v>IE-LK</v>
      </c>
      <c r="AY98" s="718" t="str">
        <f t="shared" si="100"/>
        <v>IE-TA</v>
      </c>
      <c r="AZ98" s="718" t="str">
        <f t="shared" si="100"/>
        <v>IE-WD</v>
      </c>
      <c r="BA98" s="718" t="str">
        <f t="shared" si="100"/>
        <v>IE-G</v>
      </c>
      <c r="BB98" s="718" t="str">
        <f t="shared" si="100"/>
        <v>IE-LM</v>
      </c>
      <c r="BC98" s="718" t="str">
        <f t="shared" si="100"/>
        <v>IE-MO</v>
      </c>
      <c r="BD98" s="718" t="str">
        <f t="shared" si="100"/>
        <v>IE-RN</v>
      </c>
      <c r="BE98" s="718" t="str">
        <f t="shared" si="100"/>
        <v>IE-SO</v>
      </c>
      <c r="BF98" s="718" t="str">
        <f t="shared" si="100"/>
        <v>IE-CN</v>
      </c>
      <c r="BG98" s="718" t="str">
        <f t="shared" si="100"/>
        <v>IE-DL</v>
      </c>
      <c r="BH98" s="718" t="str">
        <f t="shared" si="100"/>
        <v>IE-MN</v>
      </c>
    </row>
    <row r="99" spans="1:61" s="459" customFormat="1" ht="15.75">
      <c r="A99" s="455" t="str">
        <f t="shared" si="99"/>
        <v>*Private cars</v>
      </c>
      <c r="B99" s="574"/>
      <c r="AF99" s="451"/>
      <c r="AG99" s="716" t="s">
        <v>369</v>
      </c>
      <c r="AH99" s="785">
        <f t="shared" ref="AH99:BH99" si="101">AH88-AH114-AH127-AH140</f>
        <v>9.0775131999996928E-4</v>
      </c>
      <c r="AI99" s="785">
        <f t="shared" si="101"/>
        <v>3.8463099999999943E-4</v>
      </c>
      <c r="AJ99" s="795">
        <f t="shared" si="101"/>
        <v>1.7542079999995075E-5</v>
      </c>
      <c r="AK99" s="785">
        <f t="shared" si="101"/>
        <v>6.745939199999983E-4</v>
      </c>
      <c r="AL99" s="785">
        <f t="shared" si="101"/>
        <v>1.1254399999999958E-4</v>
      </c>
      <c r="AM99" s="785">
        <f t="shared" si="101"/>
        <v>2.9022999999999994E-4</v>
      </c>
      <c r="AN99" s="785">
        <f t="shared" si="101"/>
        <v>2.8841799999998041E-6</v>
      </c>
      <c r="AO99" s="785">
        <f t="shared" si="101"/>
        <v>1.5808999999999919E-4</v>
      </c>
      <c r="AP99" s="785">
        <f t="shared" si="101"/>
        <v>6.1759999999983634E-7</v>
      </c>
      <c r="AQ99" s="785">
        <f t="shared" si="101"/>
        <v>3.3113599999996281E-6</v>
      </c>
      <c r="AR99" s="785">
        <f t="shared" si="101"/>
        <v>6.4723999999992572E-6</v>
      </c>
      <c r="AS99" s="785">
        <f t="shared" si="101"/>
        <v>1.5862000000001035E-6</v>
      </c>
      <c r="AT99" s="785">
        <f t="shared" si="101"/>
        <v>3.8223999999999897E-5</v>
      </c>
      <c r="AU99" s="785">
        <f t="shared" si="101"/>
        <v>2.4847679999999601E-5</v>
      </c>
      <c r="AV99" s="785">
        <f t="shared" si="101"/>
        <v>6.0122879999999213E-5</v>
      </c>
      <c r="AW99" s="785">
        <f t="shared" si="101"/>
        <v>1.5455999999992691E-6</v>
      </c>
      <c r="AX99" s="785">
        <f t="shared" si="101"/>
        <v>2.2330000000000527E-5</v>
      </c>
      <c r="AY99" s="785">
        <f t="shared" si="101"/>
        <v>1.2556479999998888E-5</v>
      </c>
      <c r="AZ99" s="785">
        <f t="shared" si="101"/>
        <v>1.2386399999999957E-4</v>
      </c>
      <c r="BA99" s="785">
        <f t="shared" si="101"/>
        <v>1.0624959999998643E-5</v>
      </c>
      <c r="BB99" s="785">
        <f t="shared" si="101"/>
        <v>3.0799999999995978E-6</v>
      </c>
      <c r="BC99" s="785">
        <f t="shared" si="101"/>
        <v>3.4825999999993015E-6</v>
      </c>
      <c r="BD99" s="785">
        <f t="shared" si="101"/>
        <v>2.9253499999997703E-6</v>
      </c>
      <c r="BE99" s="785">
        <f t="shared" si="101"/>
        <v>1.5679999999998603E-6</v>
      </c>
      <c r="BF99" s="785">
        <f t="shared" si="101"/>
        <v>1.1452799999999981E-4</v>
      </c>
      <c r="BG99" s="785">
        <f t="shared" si="101"/>
        <v>2.0099840000000098E-5</v>
      </c>
      <c r="BH99" s="785">
        <f t="shared" si="101"/>
        <v>4.5495999999999471E-6</v>
      </c>
    </row>
    <row r="100" spans="1:61" s="459" customFormat="1">
      <c r="A100" s="127" t="str">
        <f t="shared" si="99"/>
        <v>T-CAR-ICE_GSL00</v>
      </c>
      <c r="B100" s="673">
        <v>15</v>
      </c>
      <c r="AF100" s="451"/>
      <c r="AG100" s="716" t="s">
        <v>368</v>
      </c>
      <c r="AH100" s="785">
        <f t="shared" ref="AH100:BH100" si="102">AH89-AH115-AH128-AH141</f>
        <v>8.1717555973064293E-3</v>
      </c>
      <c r="AI100" s="785">
        <f t="shared" si="102"/>
        <v>4.6179759223747285E-3</v>
      </c>
      <c r="AJ100" s="795">
        <f t="shared" si="102"/>
        <v>5.9646149028802498E-3</v>
      </c>
      <c r="AK100" s="785">
        <f t="shared" si="102"/>
        <v>1.3527164057488772E-2</v>
      </c>
      <c r="AL100" s="785">
        <f t="shared" si="102"/>
        <v>7.976437898721267E-3</v>
      </c>
      <c r="AM100" s="785">
        <f t="shared" si="102"/>
        <v>1.3794206747033133E-3</v>
      </c>
      <c r="AN100" s="785">
        <f t="shared" si="102"/>
        <v>1.862440074430205E-4</v>
      </c>
      <c r="AO100" s="785">
        <f t="shared" si="102"/>
        <v>5.533239026392911E-3</v>
      </c>
      <c r="AP100" s="785">
        <f t="shared" si="102"/>
        <v>1.0567262136346733E-2</v>
      </c>
      <c r="AQ100" s="785">
        <f t="shared" si="102"/>
        <v>2.9521114543379356E-3</v>
      </c>
      <c r="AR100" s="785">
        <f t="shared" si="102"/>
        <v>2.4089291476256935E-3</v>
      </c>
      <c r="AS100" s="785">
        <f t="shared" si="102"/>
        <v>7.2393063789962797E-3</v>
      </c>
      <c r="AT100" s="785">
        <f t="shared" si="102"/>
        <v>7.3918699315089764E-4</v>
      </c>
      <c r="AU100" s="785">
        <f t="shared" si="102"/>
        <v>9.0303115479455354E-3</v>
      </c>
      <c r="AV100" s="785">
        <f t="shared" si="102"/>
        <v>1.9445396121482439E-3</v>
      </c>
      <c r="AW100" s="785">
        <f t="shared" si="102"/>
        <v>1.2112778381917932E-2</v>
      </c>
      <c r="AX100" s="785">
        <f t="shared" si="102"/>
        <v>8.6571321269408585E-3</v>
      </c>
      <c r="AY100" s="785">
        <f t="shared" si="102"/>
        <v>5.3116014566211289E-3</v>
      </c>
      <c r="AZ100" s="785">
        <f t="shared" si="102"/>
        <v>1.0631193542468553E-3</v>
      </c>
      <c r="BA100" s="785">
        <f t="shared" si="102"/>
        <v>2.1368938397272608E-3</v>
      </c>
      <c r="BB100" s="785">
        <f t="shared" si="102"/>
        <v>8.0695188315077493E-4</v>
      </c>
      <c r="BC100" s="785">
        <f t="shared" si="102"/>
        <v>6.0211922039269394E-3</v>
      </c>
      <c r="BD100" s="785">
        <f t="shared" si="102"/>
        <v>2.6896360586760037E-3</v>
      </c>
      <c r="BE100" s="785">
        <f t="shared" si="102"/>
        <v>5.0806515136984642E-3</v>
      </c>
      <c r="BF100" s="785">
        <f t="shared" si="102"/>
        <v>5.7643835045663172E-3</v>
      </c>
      <c r="BG100" s="785">
        <f t="shared" si="102"/>
        <v>1.0930954856164465E-2</v>
      </c>
      <c r="BH100" s="785">
        <f t="shared" si="102"/>
        <v>5.0652062871235359E-3</v>
      </c>
    </row>
    <row r="101" spans="1:61" s="459" customFormat="1">
      <c r="A101" s="127" t="str">
        <f t="shared" si="99"/>
        <v>T-CAR-ICE_DST00</v>
      </c>
      <c r="B101" s="673">
        <v>15</v>
      </c>
      <c r="AF101" s="451"/>
      <c r="AG101" s="716" t="s">
        <v>365</v>
      </c>
      <c r="AH101" s="785">
        <f>AH90-AH116-AH129-AH142</f>
        <v>1.0856320719175305E-3</v>
      </c>
      <c r="AI101" s="785">
        <f t="shared" ref="AI101:BH101" si="103">AI90-AI116-AI129-AI142</f>
        <v>1.9644399119964594E-5</v>
      </c>
      <c r="AJ101" s="795">
        <f t="shared" si="103"/>
        <v>-7.5901983415244123E-4</v>
      </c>
      <c r="AK101" s="785">
        <f t="shared" si="103"/>
        <v>1.090658446741069E-4</v>
      </c>
      <c r="AL101" s="785">
        <f t="shared" si="103"/>
        <v>1.8894546714797768E-5</v>
      </c>
      <c r="AM101" s="785">
        <f t="shared" si="103"/>
        <v>-9.5821690041632615E-6</v>
      </c>
      <c r="AN101" s="785">
        <f t="shared" si="103"/>
        <v>-9.8141649231351779E-6</v>
      </c>
      <c r="AO101" s="785">
        <f t="shared" si="103"/>
        <v>-6.5368403343734824E-5</v>
      </c>
      <c r="AP101" s="785">
        <f t="shared" si="103"/>
        <v>1.4385637931503895E-4</v>
      </c>
      <c r="AQ101" s="785">
        <f t="shared" si="103"/>
        <v>-1.1785915466763427E-6</v>
      </c>
      <c r="AR101" s="785">
        <f t="shared" si="103"/>
        <v>-7.1626745926011912E-6</v>
      </c>
      <c r="AS101" s="785">
        <f t="shared" si="103"/>
        <v>1.1707971532442726E-5</v>
      </c>
      <c r="AT101" s="785">
        <f t="shared" si="103"/>
        <v>3.9456494846131299E-5</v>
      </c>
      <c r="AU101" s="785">
        <f t="shared" si="103"/>
        <v>4.5657866628035122E-5</v>
      </c>
      <c r="AV101" s="785">
        <f t="shared" si="103"/>
        <v>-2.6150459993834127E-4</v>
      </c>
      <c r="AW101" s="785">
        <f t="shared" si="103"/>
        <v>-4.9690535055332309E-5</v>
      </c>
      <c r="AX101" s="785">
        <f t="shared" si="103"/>
        <v>-3.1192799504458496E-6</v>
      </c>
      <c r="AY101" s="785">
        <f t="shared" si="103"/>
        <v>1.9489196862897649E-5</v>
      </c>
      <c r="AZ101" s="785">
        <f t="shared" si="103"/>
        <v>-3.3929678535733927E-5</v>
      </c>
      <c r="BA101" s="785">
        <f t="shared" si="103"/>
        <v>8.7519692804570101E-5</v>
      </c>
      <c r="BB101" s="785">
        <f t="shared" si="103"/>
        <v>-6.9465684931497695E-6</v>
      </c>
      <c r="BC101" s="785">
        <f t="shared" si="103"/>
        <v>4.1639525503902979E-5</v>
      </c>
      <c r="BD101" s="785">
        <f t="shared" si="103"/>
        <v>2.4105947995914367E-5</v>
      </c>
      <c r="BE101" s="785">
        <f t="shared" si="103"/>
        <v>6.0828638639284435E-6</v>
      </c>
      <c r="BF101" s="785">
        <f t="shared" si="103"/>
        <v>6.5282339667027851E-6</v>
      </c>
      <c r="BG101" s="785">
        <f t="shared" si="103"/>
        <v>-3.0118749789180381E-5</v>
      </c>
      <c r="BH101" s="785">
        <f t="shared" si="103"/>
        <v>-4.1137983223821922E-7</v>
      </c>
    </row>
    <row r="102" spans="1:61" s="459" customFormat="1">
      <c r="A102" s="127" t="str">
        <f t="shared" si="99"/>
        <v>T-CAR-ICE_DF00</v>
      </c>
      <c r="B102" s="673">
        <v>15</v>
      </c>
      <c r="AF102" s="451"/>
      <c r="AG102" s="716" t="s">
        <v>589</v>
      </c>
      <c r="AH102" s="785">
        <f>AH91-AH117-AH130-AH143</f>
        <v>8.3756831917281005E-4</v>
      </c>
      <c r="AI102" s="785">
        <f t="shared" ref="AI102:BH102" si="104">AI91-AI117-AI130-AI143</f>
        <v>3.1262559999981065E-5</v>
      </c>
      <c r="AJ102" s="795">
        <f t="shared" si="104"/>
        <v>1.141439660000243E-3</v>
      </c>
      <c r="AK102" s="785">
        <f t="shared" si="104"/>
        <v>7.7059510000004883E-5</v>
      </c>
      <c r="AL102" s="785">
        <f t="shared" si="104"/>
        <v>7.190479999999444E-5</v>
      </c>
      <c r="AM102" s="785">
        <f t="shared" si="104"/>
        <v>2.3321799999996562E-5</v>
      </c>
      <c r="AN102" s="785">
        <f t="shared" si="104"/>
        <v>6.8797500000147838E-6</v>
      </c>
      <c r="AO102" s="785">
        <f t="shared" si="104"/>
        <v>5.4310000000695746E-6</v>
      </c>
      <c r="AP102" s="785">
        <f t="shared" si="104"/>
        <v>2.3260560000015751E-5</v>
      </c>
      <c r="AQ102" s="785">
        <f t="shared" si="104"/>
        <v>6.3602570000015346E-5</v>
      </c>
      <c r="AR102" s="785">
        <f t="shared" si="104"/>
        <v>4.590400000024919E-6</v>
      </c>
      <c r="AS102" s="785">
        <f t="shared" si="104"/>
        <v>3.9955999999868874E-6</v>
      </c>
      <c r="AT102" s="785">
        <f t="shared" si="104"/>
        <v>5.8334039999968779E-5</v>
      </c>
      <c r="AU102" s="785">
        <f t="shared" si="104"/>
        <v>2.4633420000003126E-5</v>
      </c>
      <c r="AV102" s="785">
        <f t="shared" si="104"/>
        <v>2.0708482000003636E-4</v>
      </c>
      <c r="AW102" s="785">
        <f t="shared" si="104"/>
        <v>2.3694080000025153E-5</v>
      </c>
      <c r="AX102" s="785">
        <f t="shared" si="104"/>
        <v>2.4644480000057811E-5</v>
      </c>
      <c r="AY102" s="785">
        <f t="shared" si="104"/>
        <v>5.4681280000107302E-5</v>
      </c>
      <c r="AZ102" s="785">
        <f t="shared" si="104"/>
        <v>3.5953720000009293E-5</v>
      </c>
      <c r="BA102" s="785">
        <f t="shared" si="104"/>
        <v>7.7642880000117209E-5</v>
      </c>
      <c r="BB102" s="785">
        <f t="shared" si="104"/>
        <v>2.5240000000106844E-7</v>
      </c>
      <c r="BC102" s="785">
        <f t="shared" si="104"/>
        <v>1.6032120000009087E-5</v>
      </c>
      <c r="BD102" s="785">
        <f t="shared" si="104"/>
        <v>2.9186000000007428E-5</v>
      </c>
      <c r="BE102" s="785">
        <f t="shared" si="104"/>
        <v>2.324480000016893E-6</v>
      </c>
      <c r="BF102" s="785">
        <f t="shared" si="104"/>
        <v>0.14722297666015732</v>
      </c>
      <c r="BG102" s="785">
        <f t="shared" si="104"/>
        <v>0.50688890424901156</v>
      </c>
      <c r="BH102" s="785">
        <f t="shared" si="104"/>
        <v>5.499050000003225E-5</v>
      </c>
    </row>
    <row r="103" spans="1:61" s="459" customFormat="1">
      <c r="A103" s="127" t="str">
        <f t="shared" si="99"/>
        <v>T-CAR-ICE_E8500</v>
      </c>
      <c r="B103" s="673">
        <v>15</v>
      </c>
      <c r="AF103" s="451"/>
      <c r="AG103" s="716" t="s">
        <v>576</v>
      </c>
      <c r="AH103" s="785">
        <f>AH92-AH118-AH131-AH144</f>
        <v>4.0280289999999885E-5</v>
      </c>
      <c r="AI103" s="785">
        <f t="shared" ref="AI103:BH103" si="105">AI92-AI118-AI131-AI144</f>
        <v>0</v>
      </c>
      <c r="AJ103" s="795">
        <f t="shared" si="105"/>
        <v>4.0280289999999885E-5</v>
      </c>
      <c r="AK103" s="785">
        <f t="shared" si="105"/>
        <v>0</v>
      </c>
      <c r="AL103" s="785">
        <f t="shared" si="105"/>
        <v>0</v>
      </c>
      <c r="AM103" s="785">
        <f t="shared" si="105"/>
        <v>0</v>
      </c>
      <c r="AN103" s="785">
        <f t="shared" si="105"/>
        <v>0</v>
      </c>
      <c r="AO103" s="785">
        <f t="shared" si="105"/>
        <v>0</v>
      </c>
      <c r="AP103" s="785">
        <f t="shared" si="105"/>
        <v>0</v>
      </c>
      <c r="AQ103" s="785">
        <f t="shared" si="105"/>
        <v>0</v>
      </c>
      <c r="AR103" s="785">
        <f t="shared" si="105"/>
        <v>0</v>
      </c>
      <c r="AS103" s="785">
        <f t="shared" si="105"/>
        <v>0</v>
      </c>
      <c r="AT103" s="785">
        <f t="shared" si="105"/>
        <v>0</v>
      </c>
      <c r="AU103" s="785">
        <f t="shared" si="105"/>
        <v>0</v>
      </c>
      <c r="AV103" s="785">
        <f t="shared" si="105"/>
        <v>0</v>
      </c>
      <c r="AW103" s="785">
        <f t="shared" si="105"/>
        <v>0</v>
      </c>
      <c r="AX103" s="785">
        <f t="shared" si="105"/>
        <v>0</v>
      </c>
      <c r="AY103" s="785">
        <f t="shared" si="105"/>
        <v>0</v>
      </c>
      <c r="AZ103" s="785">
        <f t="shared" si="105"/>
        <v>0</v>
      </c>
      <c r="BA103" s="785">
        <f t="shared" si="105"/>
        <v>0</v>
      </c>
      <c r="BB103" s="785">
        <f t="shared" si="105"/>
        <v>0</v>
      </c>
      <c r="BC103" s="785">
        <f t="shared" si="105"/>
        <v>0</v>
      </c>
      <c r="BD103" s="785">
        <f t="shared" si="105"/>
        <v>0</v>
      </c>
      <c r="BE103" s="785">
        <f t="shared" si="105"/>
        <v>0</v>
      </c>
      <c r="BF103" s="785">
        <f t="shared" si="105"/>
        <v>0</v>
      </c>
      <c r="BG103" s="785">
        <f t="shared" si="105"/>
        <v>0</v>
      </c>
      <c r="BH103" s="785">
        <f t="shared" si="105"/>
        <v>0</v>
      </c>
    </row>
    <row r="104" spans="1:61" s="459" customFormat="1">
      <c r="A104" s="127" t="str">
        <f t="shared" si="99"/>
        <v>T-CAR-HEV_GSL00</v>
      </c>
      <c r="B104" s="673">
        <v>15</v>
      </c>
      <c r="AF104" s="451"/>
      <c r="AG104" s="458" t="s">
        <v>367</v>
      </c>
      <c r="AH104" s="786">
        <f>AH93-AH119-AH132-AH145</f>
        <v>4.3993599994074373E-6</v>
      </c>
      <c r="AI104" s="786">
        <f t="shared" ref="AI104:BH104" si="106">AI93-AI119-AI132-AI145</f>
        <v>1.0575563472552119E-6</v>
      </c>
      <c r="AJ104" s="796">
        <f t="shared" si="106"/>
        <v>4.9267752624371219E-5</v>
      </c>
      <c r="AK104" s="786">
        <f t="shared" si="106"/>
        <v>4.13318551061026E-6</v>
      </c>
      <c r="AL104" s="786">
        <f t="shared" si="106"/>
        <v>1.8433118711830287E-6</v>
      </c>
      <c r="AM104" s="786">
        <f t="shared" si="106"/>
        <v>1.5733128985936928E-6</v>
      </c>
      <c r="AN104" s="786">
        <f t="shared" si="106"/>
        <v>7.592478848683637E-7</v>
      </c>
      <c r="AO104" s="786">
        <f t="shared" si="106"/>
        <v>2.3941209207345437E-6</v>
      </c>
      <c r="AP104" s="786">
        <f t="shared" si="106"/>
        <v>3.6230945723580987E-6</v>
      </c>
      <c r="AQ104" s="786">
        <f t="shared" si="106"/>
        <v>1.4481864397536404E-6</v>
      </c>
      <c r="AR104" s="786">
        <f t="shared" si="106"/>
        <v>1.6489720534237917E-6</v>
      </c>
      <c r="AS104" s="786">
        <f t="shared" si="106"/>
        <v>2.78120303912055E-6</v>
      </c>
      <c r="AT104" s="786">
        <f t="shared" si="106"/>
        <v>2.6456555673043392E-6</v>
      </c>
      <c r="AU104" s="786">
        <f t="shared" si="106"/>
        <v>2.2071185363514711E-6</v>
      </c>
      <c r="AV104" s="786">
        <f t="shared" si="106"/>
        <v>1.0084196921278377E-5</v>
      </c>
      <c r="AW104" s="786">
        <f t="shared" si="106"/>
        <v>2.7437728409990259E-6</v>
      </c>
      <c r="AX104" s="786">
        <f t="shared" si="106"/>
        <v>3.6204010841478507E-6</v>
      </c>
      <c r="AY104" s="786">
        <f t="shared" si="106"/>
        <v>2.9638215392757683E-6</v>
      </c>
      <c r="AZ104" s="786">
        <f t="shared" si="106"/>
        <v>2.1580598995041278E-6</v>
      </c>
      <c r="BA104" s="786">
        <f t="shared" si="106"/>
        <v>4.7936288178757058E-6</v>
      </c>
      <c r="BB104" s="786">
        <f t="shared" si="106"/>
        <v>5.952423170040716E-7</v>
      </c>
      <c r="BC104" s="786">
        <f t="shared" si="106"/>
        <v>2.4242694128401299E-6</v>
      </c>
      <c r="BD104" s="786">
        <f t="shared" si="106"/>
        <v>1.1989551900078166E-6</v>
      </c>
      <c r="BE104" s="786">
        <f t="shared" si="106"/>
        <v>1.2173637886844779E-6</v>
      </c>
      <c r="BF104" s="786">
        <f t="shared" si="106"/>
        <v>1.4150286712019677E-6</v>
      </c>
      <c r="BG104" s="786">
        <f t="shared" si="106"/>
        <v>2.9571156824476086E-6</v>
      </c>
      <c r="BH104" s="786">
        <f t="shared" si="106"/>
        <v>1.1402928745234131E-6</v>
      </c>
    </row>
    <row r="105" spans="1:61" s="459" customFormat="1">
      <c r="A105" s="127" t="str">
        <f t="shared" si="99"/>
        <v>T-CAR-HEV_DST00</v>
      </c>
      <c r="B105" s="673">
        <v>15</v>
      </c>
      <c r="AF105" s="451"/>
      <c r="AG105" s="716"/>
      <c r="AH105" s="716"/>
      <c r="AI105" s="716"/>
      <c r="AJ105" s="716"/>
      <c r="AK105" s="716"/>
      <c r="AL105" s="716"/>
      <c r="AM105" s="716"/>
      <c r="AN105" s="716"/>
      <c r="AO105" s="716"/>
      <c r="AP105" s="716"/>
      <c r="AQ105" s="716"/>
      <c r="AR105" s="716"/>
      <c r="AS105" s="716"/>
      <c r="AT105" s="716"/>
      <c r="AU105" s="716"/>
      <c r="AV105" s="716"/>
      <c r="AW105" s="716"/>
      <c r="AX105" s="716"/>
      <c r="AY105" s="716"/>
      <c r="AZ105" s="716"/>
      <c r="BA105" s="716"/>
      <c r="BB105" s="716"/>
      <c r="BC105" s="716"/>
      <c r="BD105" s="716"/>
      <c r="BE105" s="716"/>
      <c r="BF105" s="716"/>
      <c r="BG105" s="716"/>
      <c r="BH105" s="716"/>
      <c r="BI105" s="716"/>
    </row>
    <row r="106" spans="1:61" s="459" customFormat="1">
      <c r="A106" s="127" t="str">
        <f t="shared" si="99"/>
        <v>T-CAR-PHEV_GSL00</v>
      </c>
      <c r="B106" s="673">
        <v>15</v>
      </c>
      <c r="AF106" s="451"/>
      <c r="AG106" s="716"/>
      <c r="AH106" s="716"/>
      <c r="AI106" s="716"/>
      <c r="AJ106" s="716"/>
      <c r="AK106" s="716"/>
      <c r="AL106" s="716"/>
      <c r="AM106" s="716"/>
      <c r="AN106" s="716"/>
      <c r="AO106" s="716"/>
      <c r="AP106" s="716"/>
      <c r="AQ106" s="716"/>
      <c r="AR106" s="716"/>
      <c r="AS106" s="716"/>
      <c r="AT106" s="716"/>
      <c r="AU106" s="716"/>
      <c r="AV106" s="716"/>
      <c r="AW106" s="716"/>
      <c r="AX106" s="716"/>
      <c r="AY106" s="716"/>
      <c r="AZ106" s="716"/>
      <c r="BA106" s="716"/>
      <c r="BB106" s="716"/>
      <c r="BC106" s="716"/>
      <c r="BD106" s="716"/>
      <c r="BE106" s="716"/>
      <c r="BF106" s="716"/>
      <c r="BG106" s="716"/>
      <c r="BH106" s="716"/>
      <c r="BI106" s="716"/>
    </row>
    <row r="107" spans="1:61" s="459" customFormat="1">
      <c r="A107" s="127" t="str">
        <f t="shared" si="99"/>
        <v>T-CAR-PHEV_DST00</v>
      </c>
      <c r="B107" s="673">
        <v>15</v>
      </c>
      <c r="AF107" s="451"/>
      <c r="AH107" s="716"/>
      <c r="AI107" s="716"/>
      <c r="AJ107" s="716"/>
      <c r="AK107" s="716"/>
      <c r="AL107" s="716"/>
      <c r="AM107" s="716"/>
      <c r="AN107" s="716"/>
      <c r="AO107" s="716"/>
      <c r="AP107" s="716"/>
      <c r="AQ107" s="716"/>
      <c r="AR107" s="716"/>
      <c r="AS107" s="716"/>
      <c r="AT107" s="716"/>
      <c r="AU107" s="716"/>
      <c r="AV107" s="716"/>
      <c r="AW107" s="716"/>
      <c r="AX107" s="716"/>
      <c r="AY107" s="716"/>
      <c r="AZ107" s="716"/>
      <c r="BA107" s="716"/>
      <c r="BB107" s="716"/>
      <c r="BC107" s="716"/>
      <c r="BD107" s="716"/>
      <c r="BE107" s="716"/>
      <c r="BF107" s="716"/>
      <c r="BG107" s="716"/>
      <c r="BH107" s="716"/>
      <c r="BI107" s="716"/>
    </row>
    <row r="108" spans="1:61" s="459" customFormat="1">
      <c r="A108" s="127" t="str">
        <f t="shared" si="99"/>
        <v>T-CAR-BEV_ELC00</v>
      </c>
      <c r="B108" s="673">
        <v>15</v>
      </c>
      <c r="AF108" s="451"/>
    </row>
    <row r="109" spans="1:61" s="459" customFormat="1" ht="15.75">
      <c r="A109" s="455" t="str">
        <f t="shared" si="99"/>
        <v>*Small sevice vehicle</v>
      </c>
      <c r="B109" s="574"/>
      <c r="AF109" s="451"/>
    </row>
    <row r="110" spans="1:61" s="459" customFormat="1">
      <c r="A110" s="127" t="str">
        <f t="shared" si="99"/>
        <v>T-TAX-ICE_GSL00</v>
      </c>
      <c r="B110" s="673">
        <v>10</v>
      </c>
      <c r="AF110" s="451"/>
    </row>
    <row r="111" spans="1:61" s="459" customFormat="1">
      <c r="A111" s="127" t="str">
        <f t="shared" si="99"/>
        <v>T-TAX-ICE_DST00</v>
      </c>
      <c r="B111" s="673">
        <v>10</v>
      </c>
      <c r="AF111" s="451"/>
    </row>
    <row r="112" spans="1:61" s="459" customFormat="1">
      <c r="A112" s="127" t="str">
        <f t="shared" si="99"/>
        <v>T-TAX-HEV_GSL00</v>
      </c>
      <c r="B112" s="673">
        <v>10</v>
      </c>
      <c r="AF112" s="451"/>
      <c r="AG112" s="716" t="s">
        <v>1099</v>
      </c>
    </row>
    <row r="113" spans="1:60" s="459" customFormat="1" ht="15.75">
      <c r="A113" s="455" t="str">
        <f t="shared" si="99"/>
        <v>*Large sevice vehicle</v>
      </c>
      <c r="B113" s="639"/>
      <c r="AF113" s="451"/>
      <c r="AG113" s="718" t="s">
        <v>360</v>
      </c>
      <c r="AH113" s="718" t="str">
        <f t="shared" ref="AH113:BH113" si="107">AH77</f>
        <v>IE</v>
      </c>
      <c r="AI113" s="718" t="str">
        <f t="shared" si="107"/>
        <v>IE-CW</v>
      </c>
      <c r="AJ113" s="718" t="str">
        <f t="shared" si="107"/>
        <v>IE-D</v>
      </c>
      <c r="AK113" s="718" t="str">
        <f t="shared" si="107"/>
        <v>IE-KE</v>
      </c>
      <c r="AL113" s="718" t="str">
        <f t="shared" si="107"/>
        <v>IE-KK</v>
      </c>
      <c r="AM113" s="718" t="str">
        <f t="shared" si="107"/>
        <v>IE-LS</v>
      </c>
      <c r="AN113" s="718" t="str">
        <f t="shared" si="107"/>
        <v>IE-LD</v>
      </c>
      <c r="AO113" s="718" t="str">
        <f t="shared" si="107"/>
        <v>IE-LH</v>
      </c>
      <c r="AP113" s="718" t="str">
        <f t="shared" si="107"/>
        <v>IE-MH</v>
      </c>
      <c r="AQ113" s="718" t="str">
        <f t="shared" si="107"/>
        <v>IE-OY</v>
      </c>
      <c r="AR113" s="718" t="str">
        <f t="shared" si="107"/>
        <v>IE-WH</v>
      </c>
      <c r="AS113" s="718" t="str">
        <f t="shared" si="107"/>
        <v>IE-WX</v>
      </c>
      <c r="AT113" s="718" t="str">
        <f t="shared" si="107"/>
        <v>IE-WW</v>
      </c>
      <c r="AU113" s="718" t="str">
        <f t="shared" si="107"/>
        <v>IE-CE</v>
      </c>
      <c r="AV113" s="718" t="str">
        <f t="shared" si="107"/>
        <v>IE-CO</v>
      </c>
      <c r="AW113" s="718" t="str">
        <f t="shared" si="107"/>
        <v>IE-KY</v>
      </c>
      <c r="AX113" s="718" t="str">
        <f t="shared" si="107"/>
        <v>IE-LK</v>
      </c>
      <c r="AY113" s="718" t="str">
        <f t="shared" si="107"/>
        <v>IE-TA</v>
      </c>
      <c r="AZ113" s="718" t="str">
        <f t="shared" si="107"/>
        <v>IE-WD</v>
      </c>
      <c r="BA113" s="718" t="str">
        <f t="shared" si="107"/>
        <v>IE-G</v>
      </c>
      <c r="BB113" s="718" t="str">
        <f t="shared" si="107"/>
        <v>IE-LM</v>
      </c>
      <c r="BC113" s="718" t="str">
        <f t="shared" si="107"/>
        <v>IE-MO</v>
      </c>
      <c r="BD113" s="718" t="str">
        <f t="shared" si="107"/>
        <v>IE-RN</v>
      </c>
      <c r="BE113" s="718" t="str">
        <f t="shared" si="107"/>
        <v>IE-SO</v>
      </c>
      <c r="BF113" s="718" t="str">
        <f t="shared" si="107"/>
        <v>IE-CN</v>
      </c>
      <c r="BG113" s="718" t="str">
        <f t="shared" si="107"/>
        <v>IE-DL</v>
      </c>
      <c r="BH113" s="718" t="str">
        <f t="shared" si="107"/>
        <v>IE-MN</v>
      </c>
    </row>
    <row r="114" spans="1:60" s="459" customFormat="1">
      <c r="A114" s="127" t="str">
        <f t="shared" si="99"/>
        <v>T-BUS-ICE_DST00</v>
      </c>
      <c r="B114" s="491">
        <v>15</v>
      </c>
      <c r="AF114" s="451"/>
      <c r="AG114" s="716" t="s">
        <v>369</v>
      </c>
      <c r="AH114" s="10">
        <f>Demands!C$4*Demands!C30</f>
        <v>1.7503649635036499E-2</v>
      </c>
      <c r="AI114" s="10">
        <f>Demands!D$4*Demands!D30</f>
        <v>1.6058394160583947E-4</v>
      </c>
      <c r="AJ114" s="10">
        <f>Demands!E$4*Demands!E30</f>
        <v>5.4598540145985421E-3</v>
      </c>
      <c r="AK114" s="10">
        <f>Demands!F$4*Demands!F30</f>
        <v>9.6350364963503662E-4</v>
      </c>
      <c r="AL114" s="10">
        <f>Demands!G$4*Demands!G30</f>
        <v>3.21167883211679E-4</v>
      </c>
      <c r="AM114" s="10">
        <f>Demands!H$4*Demands!H30</f>
        <v>1.6058394160583945E-4</v>
      </c>
      <c r="AN114" s="10">
        <f>Demands!I$4*Demands!I30</f>
        <v>1.6058394160583945E-4</v>
      </c>
      <c r="AO114" s="10">
        <f>Demands!J$4*Demands!J30</f>
        <v>3.2116788321167895E-4</v>
      </c>
      <c r="AP114" s="10">
        <f>Demands!K$4*Demands!K30</f>
        <v>8.0291970802919726E-4</v>
      </c>
      <c r="AQ114" s="10">
        <f>Demands!L$4*Demands!L30</f>
        <v>3.2116788321167895E-4</v>
      </c>
      <c r="AR114" s="10">
        <f>Demands!M$4*Demands!M30</f>
        <v>3.2116788321167895E-4</v>
      </c>
      <c r="AS114" s="10">
        <f>Demands!N$4*Demands!N30</f>
        <v>6.4233576642335778E-4</v>
      </c>
      <c r="AT114" s="10">
        <f>Demands!O$4*Demands!O30</f>
        <v>6.4233576642335789E-4</v>
      </c>
      <c r="AU114" s="10">
        <f>Demands!P$4*Demands!P30</f>
        <v>4.8175182481751831E-4</v>
      </c>
      <c r="AV114" s="10">
        <f>Demands!Q$4*Demands!Q30</f>
        <v>2.4087591240875917E-3</v>
      </c>
      <c r="AW114" s="10">
        <f>Demands!R$4*Demands!R30</f>
        <v>4.8175182481751837E-4</v>
      </c>
      <c r="AX114" s="10">
        <f>Demands!S$4*Demands!S30</f>
        <v>6.42335766423358E-4</v>
      </c>
      <c r="AY114" s="10">
        <f>Demands!T$4*Demands!T30</f>
        <v>6.4233576642335789E-4</v>
      </c>
      <c r="AZ114" s="10">
        <f>Demands!U$4*Demands!U30</f>
        <v>4.8175182481751837E-4</v>
      </c>
      <c r="BA114" s="10">
        <f>Demands!V$4*Demands!V30</f>
        <v>6.4233576642335778E-4</v>
      </c>
      <c r="BB114" s="10">
        <f>Demands!W$4*Demands!W30</f>
        <v>1.6058394160583947E-4</v>
      </c>
      <c r="BC114" s="10">
        <f>Demands!X$4*Demands!X30</f>
        <v>3.2116788321167895E-4</v>
      </c>
      <c r="BD114" s="10">
        <f>Demands!Y$4*Demands!Y30</f>
        <v>1.6058394160583947E-4</v>
      </c>
      <c r="BE114" s="10">
        <f>Demands!Z$4*Demands!Z30</f>
        <v>1.6058394160583947E-4</v>
      </c>
      <c r="BF114" s="10">
        <f>Demands!AA$4*Demands!AA30</f>
        <v>1.6058394160583947E-4</v>
      </c>
      <c r="BG114" s="10">
        <f>Demands!AB$4*Demands!AB30</f>
        <v>3.2116788321167895E-4</v>
      </c>
      <c r="BH114" s="10">
        <f>Demands!AC$4*Demands!AC30</f>
        <v>1.6058394160583947E-4</v>
      </c>
    </row>
    <row r="115" spans="1:60" s="459" customFormat="1" ht="15.75">
      <c r="A115" s="455" t="str">
        <f t="shared" si="99"/>
        <v>*Rail</v>
      </c>
      <c r="B115" s="639"/>
      <c r="AF115" s="451"/>
      <c r="AG115" s="716" t="s">
        <v>368</v>
      </c>
      <c r="AH115" s="10">
        <f>Demands!C$4*Demands!C31</f>
        <v>7.4852297533110148</v>
      </c>
      <c r="AI115" s="10">
        <f>Demands!D$4*Demands!D31</f>
        <v>0.11006160990359191</v>
      </c>
      <c r="AJ115" s="10">
        <f>Demands!E$4*Demands!E31</f>
        <v>1.5835140131875958</v>
      </c>
      <c r="AK115" s="10">
        <f>Demands!F$4*Demands!F31</f>
        <v>0.37866187150196096</v>
      </c>
      <c r="AL115" s="10">
        <f>Demands!G$4*Demands!G31</f>
        <v>0.17206228996270426</v>
      </c>
      <c r="AM115" s="10">
        <f>Demands!H$4*Demands!H31</f>
        <v>0.14002167006638444</v>
      </c>
      <c r="AN115" s="10">
        <f>Demands!I$4*Demands!I31</f>
        <v>7.073903093992677E-2</v>
      </c>
      <c r="AO115" s="10">
        <f>Demands!J$4*Demands!J31</f>
        <v>0.18766648796415863</v>
      </c>
      <c r="AP115" s="10">
        <f>Demands!K$4*Demands!K31</f>
        <v>0.33538622904459398</v>
      </c>
      <c r="AQ115" s="10">
        <f>Demands!L$4*Demands!L31</f>
        <v>0.13710888643944633</v>
      </c>
      <c r="AR115" s="10">
        <f>Demands!M$4*Demands!M31</f>
        <v>0.16332393908188975</v>
      </c>
      <c r="AS115" s="10">
        <f>Demands!N$4*Demands!N31</f>
        <v>0.28815752309352516</v>
      </c>
      <c r="AT115" s="10">
        <f>Demands!O$4*Demands!O31</f>
        <v>0.2415529850625146</v>
      </c>
      <c r="AU115" s="10">
        <f>Demands!P$4*Demands!P31</f>
        <v>0.22282794746076934</v>
      </c>
      <c r="AV115" s="10">
        <f>Demands!Q$4*Demands!Q31</f>
        <v>0.89422457347001538</v>
      </c>
      <c r="AW115" s="10">
        <f>Demands!R$4*Demands!R31</f>
        <v>0.26589553394478355</v>
      </c>
      <c r="AX115" s="10">
        <f>Demands!S$4*Demands!S31</f>
        <v>0.32872843789730677</v>
      </c>
      <c r="AY115" s="10">
        <f>Demands!T$4*Demands!T31</f>
        <v>0.31478868768267404</v>
      </c>
      <c r="AZ115" s="10">
        <f>Demands!U$4*Demands!U31</f>
        <v>0.20472707777908219</v>
      </c>
      <c r="BA115" s="10">
        <f>Demands!V$4*Demands!V31</f>
        <v>0.43067586484014231</v>
      </c>
      <c r="BB115" s="10">
        <f>Demands!W$4*Demands!W31</f>
        <v>5.9295952405526854E-2</v>
      </c>
      <c r="BC115" s="10">
        <f>Demands!X$4*Demands!X31</f>
        <v>0.23635158572869652</v>
      </c>
      <c r="BD115" s="10">
        <f>Demands!Y$4*Demands!Y31</f>
        <v>0.13752499838615176</v>
      </c>
      <c r="BE115" s="10">
        <f>Demands!Z$4*Demands!Z31</f>
        <v>0.10922938601018103</v>
      </c>
      <c r="BF115" s="10">
        <f>Demands!AA$4*Demands!AA31</f>
        <v>0.12753831166522089</v>
      </c>
      <c r="BG115" s="10">
        <f>Demands!AB$4*Demands!AB31</f>
        <v>0.24280132090263093</v>
      </c>
      <c r="BH115" s="10">
        <f>Demands!AC$4*Demands!AC31</f>
        <v>0.10236353888954106</v>
      </c>
    </row>
    <row r="116" spans="1:60" s="459" customFormat="1">
      <c r="A116" s="127" t="str">
        <f t="shared" si="99"/>
        <v>T-LPT-EV_ELC00</v>
      </c>
      <c r="B116" s="491">
        <v>30</v>
      </c>
      <c r="AF116" s="451"/>
      <c r="AG116" s="716" t="s">
        <v>365</v>
      </c>
      <c r="AH116" s="10">
        <f>Demands!C$4*Demands!C32</f>
        <v>0.23872184365296803</v>
      </c>
      <c r="AI116" s="10">
        <f>Demands!D$4*Demands!D32</f>
        <v>1.4209633550771902E-3</v>
      </c>
      <c r="AJ116" s="10">
        <f>Demands!E$4*Demands!E32</f>
        <v>0.12220284853663842</v>
      </c>
      <c r="AK116" s="10">
        <f>Demands!F$4*Demands!F32</f>
        <v>9.9467434855403328E-3</v>
      </c>
      <c r="AL116" s="10">
        <f>Demands!G$4*Demands!G32</f>
        <v>2.5577340391389428E-3</v>
      </c>
      <c r="AM116" s="10">
        <f>Demands!H$4*Demands!H32</f>
        <v>2.5577340391389428E-3</v>
      </c>
      <c r="AN116" s="10">
        <f>Demands!I$4*Demands!I32</f>
        <v>1.136770684061752E-3</v>
      </c>
      <c r="AO116" s="10">
        <f>Demands!J$4*Demands!J32</f>
        <v>7.1048167753859507E-3</v>
      </c>
      <c r="AP116" s="10">
        <f>Demands!K$4*Demands!K32</f>
        <v>1.1936092182648399E-2</v>
      </c>
      <c r="AQ116" s="10">
        <f>Demands!L$4*Demands!L32</f>
        <v>1.7051560260926285E-3</v>
      </c>
      <c r="AR116" s="10">
        <f>Demands!M$4*Demands!M32</f>
        <v>3.410312052185257E-3</v>
      </c>
      <c r="AS116" s="10">
        <f>Demands!N$4*Demands!N32</f>
        <v>3.1261193811698185E-3</v>
      </c>
      <c r="AT116" s="10">
        <f>Demands!O$4*Demands!O32</f>
        <v>3.9786973942161335E-3</v>
      </c>
      <c r="AU116" s="10">
        <f>Demands!P$4*Demands!P32</f>
        <v>3.9786973942161335E-3</v>
      </c>
      <c r="AV116" s="10">
        <f>Demands!Q$4*Demands!Q32</f>
        <v>1.9893486971080666E-2</v>
      </c>
      <c r="AW116" s="10">
        <f>Demands!R$4*Demands!R32</f>
        <v>5.1154680782778857E-3</v>
      </c>
      <c r="AX116" s="10">
        <f>Demands!S$4*Demands!S32</f>
        <v>7.6732021174168285E-3</v>
      </c>
      <c r="AY116" s="10">
        <f>Demands!T$4*Demands!T32</f>
        <v>2.8419267101543804E-3</v>
      </c>
      <c r="AZ116" s="10">
        <f>Demands!U$4*Demands!U32</f>
        <v>3.1261193811698189E-3</v>
      </c>
      <c r="BA116" s="10">
        <f>Demands!V$4*Demands!V32</f>
        <v>1.0799321498586647E-2</v>
      </c>
      <c r="BB116" s="10">
        <f>Demands!W$4*Demands!W32</f>
        <v>8.5257801304631435E-4</v>
      </c>
      <c r="BC116" s="10">
        <f>Demands!X$4*Demands!X32</f>
        <v>3.1261193811698189E-3</v>
      </c>
      <c r="BD116" s="10">
        <f>Demands!Y$4*Demands!Y32</f>
        <v>1.4209633550771904E-3</v>
      </c>
      <c r="BE116" s="10">
        <f>Demands!Z$4*Demands!Z32</f>
        <v>1.7051560260926285E-3</v>
      </c>
      <c r="BF116" s="10">
        <f>Demands!AA$4*Demands!AA32</f>
        <v>1.9893486971080667E-3</v>
      </c>
      <c r="BG116" s="10">
        <f>Demands!AB$4*Demands!AB32</f>
        <v>4.2628900652315711E-3</v>
      </c>
      <c r="BH116" s="10">
        <f>Demands!AC$4*Demands!AC32</f>
        <v>8.5257801304631413E-4</v>
      </c>
    </row>
    <row r="117" spans="1:60" s="459" customFormat="1">
      <c r="A117" s="127" t="str">
        <f t="shared" si="99"/>
        <v>T-HPT-EV_ELC00</v>
      </c>
      <c r="B117" s="491">
        <v>30</v>
      </c>
      <c r="AF117" s="451"/>
      <c r="AG117" s="716" t="s">
        <v>589</v>
      </c>
      <c r="AH117" s="10">
        <f>Demands!C$4*Demands!C33</f>
        <v>1.2044243616479546</v>
      </c>
      <c r="AI117" s="10">
        <f>Demands!D$4*Demands!D33</f>
        <v>1.3374233128834354E-2</v>
      </c>
      <c r="AJ117" s="10">
        <f>Demands!E$4*Demands!E33</f>
        <v>0.43466257668711655</v>
      </c>
      <c r="AK117" s="10">
        <f>Demands!F$4*Demands!F33</f>
        <v>5.6840490797546002E-2</v>
      </c>
      <c r="AL117" s="10">
        <f>Demands!G$4*Demands!G33</f>
        <v>3.6779141104294477E-2</v>
      </c>
      <c r="AM117" s="10">
        <f>Demands!H$4*Demands!H33</f>
        <v>1.6717791411042942E-2</v>
      </c>
      <c r="AN117" s="10">
        <f>Demands!I$4*Demands!I33</f>
        <v>1.0030674846625764E-2</v>
      </c>
      <c r="AO117" s="10">
        <f>Demands!J$4*Demands!J33</f>
        <v>2.6748466257668711E-2</v>
      </c>
      <c r="AP117" s="10">
        <f>Demands!K$4*Demands!K33</f>
        <v>3.6779141104294477E-2</v>
      </c>
      <c r="AQ117" s="10">
        <f>Demands!L$4*Demands!L33</f>
        <v>2.3404907975460125E-2</v>
      </c>
      <c r="AR117" s="10">
        <f>Demands!M$4*Demands!M33</f>
        <v>1.6717791411042945E-2</v>
      </c>
      <c r="AS117" s="10">
        <f>Demands!N$4*Demands!N33</f>
        <v>3.3435582822085884E-2</v>
      </c>
      <c r="AT117" s="10">
        <f>Demands!O$4*Demands!O33</f>
        <v>3.0092024539877298E-2</v>
      </c>
      <c r="AU117" s="10">
        <f>Demands!P$4*Demands!P33</f>
        <v>2.3404907975460125E-2</v>
      </c>
      <c r="AV117" s="10">
        <f>Demands!Q$4*Demands!Q33</f>
        <v>9.6963190184049086E-2</v>
      </c>
      <c r="AW117" s="10">
        <f>Demands!R$4*Demands!R33</f>
        <v>6.0184049079754602E-2</v>
      </c>
      <c r="AX117" s="10">
        <f>Demands!S$4*Demands!S33</f>
        <v>3.6779141104294477E-2</v>
      </c>
      <c r="AY117" s="10">
        <f>Demands!T$4*Demands!T33</f>
        <v>4.346625766871165E-2</v>
      </c>
      <c r="AZ117" s="10">
        <f>Demands!U$4*Demands!U33</f>
        <v>2.0061349693251535E-2</v>
      </c>
      <c r="BA117" s="10">
        <f>Demands!V$4*Demands!V33</f>
        <v>7.0214723926380368E-2</v>
      </c>
      <c r="BB117" s="10">
        <f>Demands!W$4*Demands!W33</f>
        <v>6.6871165644171778E-3</v>
      </c>
      <c r="BC117" s="10">
        <f>Demands!X$4*Demands!X33</f>
        <v>4.3466257668711657E-2</v>
      </c>
      <c r="BD117" s="10">
        <f>Demands!Y$4*Demands!Y33</f>
        <v>1.3374233128834356E-2</v>
      </c>
      <c r="BE117" s="10">
        <f>Demands!Z$4*Demands!Z33</f>
        <v>1.3374233128834356E-2</v>
      </c>
      <c r="BF117" s="10">
        <f>Demands!AA$4*Demands!AA33</f>
        <v>5.5902179975267112E-3</v>
      </c>
      <c r="BG117" s="10">
        <f>Demands!AB$4*Demands!AB33</f>
        <v>1.8402786197531825E-3</v>
      </c>
      <c r="BH117" s="10">
        <f>Demands!AC$4*Demands!AC33</f>
        <v>3.3435582822085884E-2</v>
      </c>
    </row>
    <row r="118" spans="1:60" s="459" customFormat="1">
      <c r="A118" s="127" t="str">
        <f t="shared" si="99"/>
        <v>T-HPT-ICE_DST00</v>
      </c>
      <c r="B118" s="491">
        <v>30</v>
      </c>
      <c r="AF118" s="451"/>
      <c r="AG118" s="716" t="s">
        <v>576</v>
      </c>
      <c r="AH118" s="10">
        <f>Demands!C$4*Demands!C34</f>
        <v>0.11204032899999999</v>
      </c>
      <c r="AI118" s="10">
        <f>Demands!D$4*Demands!D34</f>
        <v>0</v>
      </c>
      <c r="AJ118" s="10">
        <f>Demands!E$4*Demands!E34</f>
        <v>0.11204032900000001</v>
      </c>
      <c r="AK118" s="10">
        <f>Demands!F$4*Demands!F34</f>
        <v>0</v>
      </c>
      <c r="AL118" s="10">
        <f>Demands!G$4*Demands!G34</f>
        <v>0</v>
      </c>
      <c r="AM118" s="10">
        <f>Demands!H$4*Demands!H34</f>
        <v>0</v>
      </c>
      <c r="AN118" s="10">
        <f>Demands!I$4*Demands!I34</f>
        <v>0</v>
      </c>
      <c r="AO118" s="10">
        <f>Demands!J$4*Demands!J34</f>
        <v>0</v>
      </c>
      <c r="AP118" s="10">
        <f>Demands!K$4*Demands!K34</f>
        <v>0</v>
      </c>
      <c r="AQ118" s="10">
        <f>Demands!L$4*Demands!L34</f>
        <v>0</v>
      </c>
      <c r="AR118" s="10">
        <f>Demands!M$4*Demands!M34</f>
        <v>0</v>
      </c>
      <c r="AS118" s="10">
        <f>Demands!N$4*Demands!N34</f>
        <v>0</v>
      </c>
      <c r="AT118" s="10">
        <f>Demands!O$4*Demands!O34</f>
        <v>0</v>
      </c>
      <c r="AU118" s="10">
        <f>Demands!P$4*Demands!P34</f>
        <v>0</v>
      </c>
      <c r="AV118" s="10">
        <f>Demands!Q$4*Demands!Q34</f>
        <v>0</v>
      </c>
      <c r="AW118" s="10">
        <f>Demands!R$4*Demands!R34</f>
        <v>0</v>
      </c>
      <c r="AX118" s="10">
        <f>Demands!S$4*Demands!S34</f>
        <v>0</v>
      </c>
      <c r="AY118" s="10">
        <f>Demands!T$4*Demands!T34</f>
        <v>0</v>
      </c>
      <c r="AZ118" s="10">
        <f>Demands!U$4*Demands!U34</f>
        <v>0</v>
      </c>
      <c r="BA118" s="10">
        <f>Demands!V$4*Demands!V34</f>
        <v>0</v>
      </c>
      <c r="BB118" s="10">
        <f>Demands!W$4*Demands!W34</f>
        <v>0</v>
      </c>
      <c r="BC118" s="10">
        <f>Demands!X$4*Demands!X34</f>
        <v>0</v>
      </c>
      <c r="BD118" s="10">
        <f>Demands!Y$4*Demands!Y34</f>
        <v>0</v>
      </c>
      <c r="BE118" s="10">
        <f>Demands!Z$4*Demands!Z34</f>
        <v>0</v>
      </c>
      <c r="BF118" s="10">
        <f>Demands!AA$4*Demands!AA34</f>
        <v>0</v>
      </c>
      <c r="BG118" s="10">
        <f>Demands!AB$4*Demands!AB34</f>
        <v>0</v>
      </c>
      <c r="BH118" s="10">
        <f>Demands!AC$4*Demands!AC34</f>
        <v>0</v>
      </c>
    </row>
    <row r="119" spans="1:60" s="459" customFormat="1" ht="15.75">
      <c r="A119" s="455" t="str">
        <f t="shared" si="99"/>
        <v>*Goods vehicle</v>
      </c>
      <c r="B119" s="639"/>
      <c r="AF119" s="451"/>
      <c r="AG119" s="716" t="s">
        <v>367</v>
      </c>
      <c r="AH119" s="10">
        <f>Demands!C$4*Demands!C35</f>
        <v>0</v>
      </c>
      <c r="AI119" s="10">
        <f>Demands!D$4*Demands!D35</f>
        <v>0</v>
      </c>
      <c r="AJ119" s="10">
        <f>Demands!E$4*Demands!E35</f>
        <v>0</v>
      </c>
      <c r="AK119" s="10">
        <f>Demands!F$4*Demands!F35</f>
        <v>0</v>
      </c>
      <c r="AL119" s="10">
        <f>Demands!G$4*Demands!G35</f>
        <v>0</v>
      </c>
      <c r="AM119" s="10">
        <f>Demands!H$4*Demands!H35</f>
        <v>0</v>
      </c>
      <c r="AN119" s="10">
        <f>Demands!I$4*Demands!I35</f>
        <v>0</v>
      </c>
      <c r="AO119" s="10">
        <f>Demands!J$4*Demands!J35</f>
        <v>0</v>
      </c>
      <c r="AP119" s="10">
        <f>Demands!K$4*Demands!K35</f>
        <v>0</v>
      </c>
      <c r="AQ119" s="10">
        <f>Demands!L$4*Demands!L35</f>
        <v>0</v>
      </c>
      <c r="AR119" s="10">
        <f>Demands!M$4*Demands!M35</f>
        <v>0</v>
      </c>
      <c r="AS119" s="10">
        <f>Demands!N$4*Demands!N35</f>
        <v>0</v>
      </c>
      <c r="AT119" s="10">
        <f>Demands!O$4*Demands!O35</f>
        <v>0</v>
      </c>
      <c r="AU119" s="10">
        <f>Demands!P$4*Demands!P35</f>
        <v>0</v>
      </c>
      <c r="AV119" s="10">
        <f>Demands!Q$4*Demands!Q35</f>
        <v>0</v>
      </c>
      <c r="AW119" s="10">
        <f>Demands!R$4*Demands!R35</f>
        <v>0</v>
      </c>
      <c r="AX119" s="10">
        <f>Demands!S$4*Demands!S35</f>
        <v>0</v>
      </c>
      <c r="AY119" s="10">
        <f>Demands!T$4*Demands!T35</f>
        <v>0</v>
      </c>
      <c r="AZ119" s="10">
        <f>Demands!U$4*Demands!U35</f>
        <v>0</v>
      </c>
      <c r="BA119" s="10">
        <f>Demands!V$4*Demands!V35</f>
        <v>0</v>
      </c>
      <c r="BB119" s="10">
        <f>Demands!W$4*Demands!W35</f>
        <v>0</v>
      </c>
      <c r="BC119" s="10">
        <f>Demands!X$4*Demands!X35</f>
        <v>0</v>
      </c>
      <c r="BD119" s="10">
        <f>Demands!Y$4*Demands!Y35</f>
        <v>0</v>
      </c>
      <c r="BE119" s="10">
        <f>Demands!Z$4*Demands!Z35</f>
        <v>0</v>
      </c>
      <c r="BF119" s="10">
        <f>Demands!AA$4*Demands!AA35</f>
        <v>0</v>
      </c>
      <c r="BG119" s="10">
        <f>Demands!AB$4*Demands!AB35</f>
        <v>0</v>
      </c>
      <c r="BH119" s="10">
        <f>Demands!AC$4*Demands!AC35</f>
        <v>0</v>
      </c>
    </row>
    <row r="120" spans="1:60" s="459" customFormat="1">
      <c r="A120" s="127" t="str">
        <f t="shared" si="99"/>
        <v>T-LGT-ICE_GSL00</v>
      </c>
      <c r="B120" s="491">
        <v>20</v>
      </c>
      <c r="AF120" s="451"/>
      <c r="AG120" s="774" t="s">
        <v>16</v>
      </c>
      <c r="AH120" s="780">
        <f t="shared" ref="AH120:BH120" si="108">SUM(AH114:AH119)</f>
        <v>9.0579199372469734</v>
      </c>
      <c r="AI120" s="780">
        <f t="shared" si="108"/>
        <v>0.1250173903291093</v>
      </c>
      <c r="AJ120" s="780">
        <f t="shared" si="108"/>
        <v>2.2578796214259493</v>
      </c>
      <c r="AK120" s="780">
        <f t="shared" si="108"/>
        <v>0.44641260943468231</v>
      </c>
      <c r="AL120" s="780">
        <f t="shared" si="108"/>
        <v>0.21172033298934936</v>
      </c>
      <c r="AM120" s="780">
        <f t="shared" si="108"/>
        <v>0.15945777945817216</v>
      </c>
      <c r="AN120" s="780">
        <f t="shared" si="108"/>
        <v>8.2067060412220116E-2</v>
      </c>
      <c r="AO120" s="780">
        <f t="shared" si="108"/>
        <v>0.221840938880425</v>
      </c>
      <c r="AP120" s="780">
        <f t="shared" si="108"/>
        <v>0.38490438203956606</v>
      </c>
      <c r="AQ120" s="780">
        <f t="shared" si="108"/>
        <v>0.16254011832421078</v>
      </c>
      <c r="AR120" s="780">
        <f t="shared" si="108"/>
        <v>0.18377321042832961</v>
      </c>
      <c r="AS120" s="780">
        <f t="shared" si="108"/>
        <v>0.32536156106320419</v>
      </c>
      <c r="AT120" s="780">
        <f t="shared" si="108"/>
        <v>0.27626604276303141</v>
      </c>
      <c r="AU120" s="780">
        <f t="shared" si="108"/>
        <v>0.25069330465526313</v>
      </c>
      <c r="AV120" s="780">
        <f t="shared" si="108"/>
        <v>1.0134900097492325</v>
      </c>
      <c r="AW120" s="780">
        <f t="shared" si="108"/>
        <v>0.33167680292763357</v>
      </c>
      <c r="AX120" s="780">
        <f t="shared" si="108"/>
        <v>0.37382311688544145</v>
      </c>
      <c r="AY120" s="780">
        <f t="shared" si="108"/>
        <v>0.36173920782796343</v>
      </c>
      <c r="AZ120" s="780">
        <f t="shared" si="108"/>
        <v>0.22839629867832109</v>
      </c>
      <c r="BA120" s="780">
        <f t="shared" si="108"/>
        <v>0.51233224603153271</v>
      </c>
      <c r="BB120" s="780">
        <f t="shared" si="108"/>
        <v>6.6996230924596181E-2</v>
      </c>
      <c r="BC120" s="780">
        <f t="shared" si="108"/>
        <v>0.28326513066178971</v>
      </c>
      <c r="BD120" s="780">
        <f t="shared" si="108"/>
        <v>0.15248077881166913</v>
      </c>
      <c r="BE120" s="780">
        <f t="shared" si="108"/>
        <v>0.12446935910671386</v>
      </c>
      <c r="BF120" s="780">
        <f t="shared" si="108"/>
        <v>0.13527846230146151</v>
      </c>
      <c r="BG120" s="780">
        <f t="shared" si="108"/>
        <v>0.24922565747082737</v>
      </c>
      <c r="BH120" s="780">
        <f t="shared" si="108"/>
        <v>0.13681228366627909</v>
      </c>
    </row>
    <row r="121" spans="1:60" s="459" customFormat="1">
      <c r="A121" s="127" t="str">
        <f t="shared" si="99"/>
        <v>T-HGT-ICE_DST00</v>
      </c>
      <c r="B121" s="491">
        <v>20</v>
      </c>
      <c r="AF121" s="451"/>
    </row>
    <row r="122" spans="1:60" s="459" customFormat="1">
      <c r="A122" s="653" t="str">
        <f t="shared" si="99"/>
        <v>T-GTR-ICE_DST00</v>
      </c>
      <c r="B122" s="654">
        <v>30</v>
      </c>
      <c r="AF122" s="451"/>
    </row>
    <row r="123" spans="1:60" s="459" customFormat="1">
      <c r="AF123" s="451"/>
    </row>
    <row r="124" spans="1:60" s="459" customFormat="1">
      <c r="AF124" s="451"/>
    </row>
    <row r="125" spans="1:60" s="459" customFormat="1">
      <c r="AF125" s="451"/>
      <c r="AG125" s="716" t="s">
        <v>1097</v>
      </c>
      <c r="AH125" s="716"/>
      <c r="AI125" s="716"/>
      <c r="AJ125" s="716"/>
      <c r="AK125" s="716"/>
      <c r="AL125" s="716"/>
      <c r="AM125" s="716"/>
      <c r="AN125" s="716"/>
      <c r="AO125" s="716"/>
      <c r="AP125" s="716"/>
      <c r="AQ125" s="716"/>
      <c r="AR125" s="716"/>
      <c r="AS125" s="716"/>
      <c r="AT125" s="716"/>
      <c r="AU125" s="716"/>
      <c r="AV125" s="716"/>
      <c r="AW125" s="716"/>
      <c r="AX125" s="716"/>
      <c r="AY125" s="716"/>
      <c r="AZ125" s="716"/>
      <c r="BA125" s="716"/>
      <c r="BB125" s="716"/>
      <c r="BC125" s="716"/>
      <c r="BD125" s="716"/>
      <c r="BE125" s="716"/>
      <c r="BF125" s="716"/>
      <c r="BG125" s="716"/>
      <c r="BH125" s="716"/>
    </row>
    <row r="126" spans="1:60" s="459" customFormat="1">
      <c r="AF126" s="451"/>
      <c r="AG126" s="718" t="s">
        <v>360</v>
      </c>
      <c r="AH126" s="718" t="str">
        <f>AH113</f>
        <v>IE</v>
      </c>
      <c r="AI126" s="718" t="str">
        <f t="shared" ref="AI126:BH126" si="109">AI113</f>
        <v>IE-CW</v>
      </c>
      <c r="AJ126" s="718" t="str">
        <f t="shared" si="109"/>
        <v>IE-D</v>
      </c>
      <c r="AK126" s="718" t="str">
        <f t="shared" si="109"/>
        <v>IE-KE</v>
      </c>
      <c r="AL126" s="718" t="str">
        <f t="shared" si="109"/>
        <v>IE-KK</v>
      </c>
      <c r="AM126" s="718" t="str">
        <f t="shared" si="109"/>
        <v>IE-LS</v>
      </c>
      <c r="AN126" s="718" t="str">
        <f t="shared" si="109"/>
        <v>IE-LD</v>
      </c>
      <c r="AO126" s="718" t="str">
        <f t="shared" si="109"/>
        <v>IE-LH</v>
      </c>
      <c r="AP126" s="718" t="str">
        <f t="shared" si="109"/>
        <v>IE-MH</v>
      </c>
      <c r="AQ126" s="718" t="str">
        <f t="shared" si="109"/>
        <v>IE-OY</v>
      </c>
      <c r="AR126" s="718" t="str">
        <f t="shared" si="109"/>
        <v>IE-WH</v>
      </c>
      <c r="AS126" s="718" t="str">
        <f t="shared" si="109"/>
        <v>IE-WX</v>
      </c>
      <c r="AT126" s="718" t="str">
        <f t="shared" si="109"/>
        <v>IE-WW</v>
      </c>
      <c r="AU126" s="718" t="str">
        <f t="shared" si="109"/>
        <v>IE-CE</v>
      </c>
      <c r="AV126" s="718" t="str">
        <f t="shared" si="109"/>
        <v>IE-CO</v>
      </c>
      <c r="AW126" s="718" t="str">
        <f t="shared" si="109"/>
        <v>IE-KY</v>
      </c>
      <c r="AX126" s="718" t="str">
        <f t="shared" si="109"/>
        <v>IE-LK</v>
      </c>
      <c r="AY126" s="718" t="str">
        <f t="shared" si="109"/>
        <v>IE-TA</v>
      </c>
      <c r="AZ126" s="718" t="str">
        <f t="shared" si="109"/>
        <v>IE-WD</v>
      </c>
      <c r="BA126" s="718" t="str">
        <f t="shared" si="109"/>
        <v>IE-G</v>
      </c>
      <c r="BB126" s="718" t="str">
        <f t="shared" si="109"/>
        <v>IE-LM</v>
      </c>
      <c r="BC126" s="718" t="str">
        <f t="shared" si="109"/>
        <v>IE-MO</v>
      </c>
      <c r="BD126" s="718" t="str">
        <f t="shared" si="109"/>
        <v>IE-RN</v>
      </c>
      <c r="BE126" s="718" t="str">
        <f t="shared" si="109"/>
        <v>IE-SO</v>
      </c>
      <c r="BF126" s="718" t="str">
        <f t="shared" si="109"/>
        <v>IE-CN</v>
      </c>
      <c r="BG126" s="718" t="str">
        <f t="shared" si="109"/>
        <v>IE-DL</v>
      </c>
      <c r="BH126" s="718" t="str">
        <f t="shared" si="109"/>
        <v>IE-MN</v>
      </c>
    </row>
    <row r="127" spans="1:60" s="459" customFormat="1">
      <c r="AF127" s="451"/>
      <c r="AG127" s="716" t="s">
        <v>369</v>
      </c>
      <c r="AH127" s="10">
        <f>Demands!C$5*Demands!C44</f>
        <v>0.10239635036496351</v>
      </c>
      <c r="AI127" s="10">
        <f>Demands!D$5*Demands!D44</f>
        <v>9.3941605839416081E-4</v>
      </c>
      <c r="AJ127" s="10">
        <f>Demands!E$5*Demands!E44</f>
        <v>3.1940145985401465E-2</v>
      </c>
      <c r="AK127" s="10">
        <f>Demands!F$5*Demands!F44</f>
        <v>5.6364963503649649E-3</v>
      </c>
      <c r="AL127" s="10">
        <f>Demands!G$5*Demands!G44</f>
        <v>1.8788321167883216E-3</v>
      </c>
      <c r="AM127" s="10">
        <f>Demands!H$5*Demands!H44</f>
        <v>9.394160583941607E-4</v>
      </c>
      <c r="AN127" s="10">
        <f>Demands!I$5*Demands!I44</f>
        <v>9.3941605839416081E-4</v>
      </c>
      <c r="AO127" s="10">
        <f>Demands!J$5*Demands!J44</f>
        <v>1.8788321167883216E-3</v>
      </c>
      <c r="AP127" s="10">
        <f>Demands!K$5*Demands!K44</f>
        <v>4.6970802919708027E-3</v>
      </c>
      <c r="AQ127" s="10">
        <f>Demands!L$5*Demands!L44</f>
        <v>1.8788321167883216E-3</v>
      </c>
      <c r="AR127" s="10">
        <f>Demands!M$5*Demands!M44</f>
        <v>1.8788321167883216E-3</v>
      </c>
      <c r="AS127" s="10">
        <f>Demands!N$5*Demands!N44</f>
        <v>3.7576642335766428E-3</v>
      </c>
      <c r="AT127" s="10">
        <f>Demands!O$5*Demands!O44</f>
        <v>3.7576642335766432E-3</v>
      </c>
      <c r="AU127" s="10">
        <f>Demands!P$5*Demands!P44</f>
        <v>2.818248175182482E-3</v>
      </c>
      <c r="AV127" s="10">
        <f>Demands!Q$5*Demands!Q44</f>
        <v>1.409124087591241E-2</v>
      </c>
      <c r="AW127" s="10">
        <f>Demands!R$5*Demands!R44</f>
        <v>2.818248175182482E-3</v>
      </c>
      <c r="AX127" s="10">
        <f>Demands!S$5*Demands!S44</f>
        <v>3.7576642335766428E-3</v>
      </c>
      <c r="AY127" s="10">
        <f>Demands!T$5*Demands!T44</f>
        <v>3.7576642335766428E-3</v>
      </c>
      <c r="AZ127" s="10">
        <f>Demands!U$5*Demands!U44</f>
        <v>2.818248175182482E-3</v>
      </c>
      <c r="BA127" s="10">
        <f>Demands!V$5*Demands!V44</f>
        <v>3.7576642335766432E-3</v>
      </c>
      <c r="BB127" s="10">
        <f>Demands!W$5*Demands!W44</f>
        <v>9.394160583941607E-4</v>
      </c>
      <c r="BC127" s="10">
        <f>Demands!X$5*Demands!X44</f>
        <v>1.8788321167883216E-3</v>
      </c>
      <c r="BD127" s="10">
        <f>Demands!Y$5*Demands!Y44</f>
        <v>9.394160583941607E-4</v>
      </c>
      <c r="BE127" s="10">
        <f>Demands!Z$5*Demands!Z44</f>
        <v>9.394160583941607E-4</v>
      </c>
      <c r="BF127" s="10">
        <f>Demands!AA$5*Demands!AA44</f>
        <v>9.3941605839416081E-4</v>
      </c>
      <c r="BG127" s="10">
        <f>Demands!AB$5*Demands!AB44</f>
        <v>1.8788321167883216E-3</v>
      </c>
      <c r="BH127" s="10">
        <f>Demands!AC$5*Demands!AC44</f>
        <v>9.3941605839416081E-4</v>
      </c>
    </row>
    <row r="128" spans="1:60" s="459" customFormat="1">
      <c r="AF128" s="451"/>
      <c r="AG128" s="716" t="s">
        <v>368</v>
      </c>
      <c r="AH128" s="10">
        <f>Demands!C$5*Demands!C45</f>
        <v>26.086025690288881</v>
      </c>
      <c r="AI128" s="10">
        <f>Demands!D$5*Demands!D45</f>
        <v>0.38356471051401786</v>
      </c>
      <c r="AJ128" s="10">
        <f>Demands!E$5*Demands!E45</f>
        <v>5.5185463359587699</v>
      </c>
      <c r="AK128" s="10">
        <f>Demands!F$5*Demands!F45</f>
        <v>1.3196366221843341</v>
      </c>
      <c r="AL128" s="10">
        <f>Demands!G$5*Demands!G45</f>
        <v>0.59963708052002407</v>
      </c>
      <c r="AM128" s="10">
        <f>Demands!H$5*Demands!H45</f>
        <v>0.48797552018134965</v>
      </c>
      <c r="AN128" s="10">
        <f>Demands!I$5*Demands!I45</f>
        <v>0.24652552282564474</v>
      </c>
      <c r="AO128" s="10">
        <f>Demands!J$5*Demands!J45</f>
        <v>0.65401771055509283</v>
      </c>
      <c r="AP128" s="10">
        <f>Demands!K$5*Demands!K45</f>
        <v>1.1688210082204098</v>
      </c>
      <c r="AQ128" s="10">
        <f>Demands!L$5*Demands!L45</f>
        <v>0.47782446924147032</v>
      </c>
      <c r="AR128" s="10">
        <f>Demands!M$5*Demands!M45</f>
        <v>0.56918392770038551</v>
      </c>
      <c r="AS128" s="10">
        <f>Demands!N$5*Demands!N45</f>
        <v>1.0042289679809351</v>
      </c>
      <c r="AT128" s="10">
        <f>Demands!O$5*Demands!O45</f>
        <v>0.84181215294286338</v>
      </c>
      <c r="AU128" s="10">
        <f>Demands!P$5*Demands!P45</f>
        <v>0.7765553969007809</v>
      </c>
      <c r="AV128" s="10">
        <f>Demands!Q$5*Demands!Q45</f>
        <v>3.1163726385430031</v>
      </c>
      <c r="AW128" s="10">
        <f>Demands!R$5*Demands!R45</f>
        <v>0.92664593579757071</v>
      </c>
      <c r="AX128" s="10">
        <f>Demands!S$5*Demands!S45</f>
        <v>1.1456186060721139</v>
      </c>
      <c r="AY128" s="10">
        <f>Demands!T$5*Demands!T45</f>
        <v>1.0970385765741189</v>
      </c>
      <c r="AZ128" s="10">
        <f>Demands!U$5*Demands!U45</f>
        <v>0.71347386606010121</v>
      </c>
      <c r="BA128" s="10">
        <f>Demands!V$5*Demands!V45</f>
        <v>1.5009053889678956</v>
      </c>
      <c r="BB128" s="10">
        <f>Demands!W$5*Demands!W45</f>
        <v>0.20664639413326102</v>
      </c>
      <c r="BC128" s="10">
        <f>Demands!X$5*Demands!X45</f>
        <v>0.82368527626450716</v>
      </c>
      <c r="BD128" s="10">
        <f>Demands!Y$5*Demands!Y45</f>
        <v>0.47927461937573873</v>
      </c>
      <c r="BE128" s="10">
        <f>Demands!Z$5*Demands!Z45</f>
        <v>0.38066441024548087</v>
      </c>
      <c r="BF128" s="10">
        <f>Demands!AA$5*Demands!AA45</f>
        <v>0.44447101615329476</v>
      </c>
      <c r="BG128" s="10">
        <f>Demands!AB$5*Demands!AB45</f>
        <v>0.84616260334566884</v>
      </c>
      <c r="BH128" s="10">
        <f>Demands!AC$5*Demands!AC45</f>
        <v>0.35673693303005055</v>
      </c>
    </row>
    <row r="129" spans="1:60" s="459" customFormat="1">
      <c r="AF129" s="451"/>
      <c r="AG129" s="716" t="s">
        <v>365</v>
      </c>
      <c r="AH129" s="10">
        <f>Demands!C$5*Demands!C46</f>
        <v>0.68513169128401818</v>
      </c>
      <c r="AI129" s="10">
        <f>Demands!D$5*Demands!D46</f>
        <v>4.0781648290715367E-3</v>
      </c>
      <c r="AJ129" s="10">
        <f>Demands!E$5*Demands!E46</f>
        <v>0.35072217530015215</v>
      </c>
      <c r="AK129" s="10">
        <f>Demands!F$5*Demands!F46</f>
        <v>2.8547153803500747E-2</v>
      </c>
      <c r="AL129" s="10">
        <f>Demands!G$5*Demands!G46</f>
        <v>7.3406966923287627E-3</v>
      </c>
      <c r="AM129" s="10">
        <f>Demands!H$5*Demands!H46</f>
        <v>7.3406966923287627E-3</v>
      </c>
      <c r="AN129" s="10">
        <f>Demands!I$5*Demands!I46</f>
        <v>3.2625318632572291E-3</v>
      </c>
      <c r="AO129" s="10">
        <f>Demands!J$5*Demands!J46</f>
        <v>2.0390824145357683E-2</v>
      </c>
      <c r="AP129" s="10">
        <f>Demands!K$5*Demands!K46</f>
        <v>3.4256584564200894E-2</v>
      </c>
      <c r="AQ129" s="10">
        <f>Demands!L$5*Demands!L46</f>
        <v>4.8937977948858439E-3</v>
      </c>
      <c r="AR129" s="10">
        <f>Demands!M$5*Demands!M46</f>
        <v>9.7875955897716877E-3</v>
      </c>
      <c r="AS129" s="10">
        <f>Demands!N$5*Demands!N46</f>
        <v>8.9719626239573788E-3</v>
      </c>
      <c r="AT129" s="10">
        <f>Demands!O$5*Demands!O46</f>
        <v>1.1418861521400302E-2</v>
      </c>
      <c r="AU129" s="10">
        <f>Demands!P$5*Demands!P46</f>
        <v>1.14188615214003E-2</v>
      </c>
      <c r="AV129" s="10">
        <f>Demands!Q$5*Demands!Q46</f>
        <v>5.7094307607001495E-2</v>
      </c>
      <c r="AW129" s="10">
        <f>Demands!R$5*Demands!R46</f>
        <v>1.4681393384657529E-2</v>
      </c>
      <c r="AX129" s="10">
        <f>Demands!S$5*Demands!S46</f>
        <v>2.2022090076986293E-2</v>
      </c>
      <c r="AY129" s="10">
        <f>Demands!T$5*Demands!T46</f>
        <v>8.1563296581430716E-3</v>
      </c>
      <c r="AZ129" s="10">
        <f>Demands!U$5*Demands!U46</f>
        <v>8.9719626239573788E-3</v>
      </c>
      <c r="BA129" s="10">
        <f>Demands!V$5*Demands!V46</f>
        <v>3.0994052700943665E-2</v>
      </c>
      <c r="BB129" s="10">
        <f>Demands!W$5*Demands!W46</f>
        <v>2.4468988974429219E-3</v>
      </c>
      <c r="BC129" s="10">
        <f>Demands!X$5*Demands!X46</f>
        <v>8.9719626239573788E-3</v>
      </c>
      <c r="BD129" s="10">
        <f>Demands!Y$5*Demands!Y46</f>
        <v>4.0781648290715358E-3</v>
      </c>
      <c r="BE129" s="10">
        <f>Demands!Z$5*Demands!Z46</f>
        <v>4.8937977948858439E-3</v>
      </c>
      <c r="BF129" s="10">
        <f>Demands!AA$5*Demands!AA46</f>
        <v>5.709430760700151E-3</v>
      </c>
      <c r="BG129" s="10">
        <f>Demands!AB$5*Demands!AB46</f>
        <v>1.2234494487214607E-2</v>
      </c>
      <c r="BH129" s="10">
        <f>Demands!AC$5*Demands!AC46</f>
        <v>2.4468988974429215E-3</v>
      </c>
    </row>
    <row r="130" spans="1:60" s="459" customFormat="1">
      <c r="AF130" s="451"/>
      <c r="AG130" s="716" t="s">
        <v>589</v>
      </c>
      <c r="AH130" s="10">
        <f>Demands!C$5*Demands!C47</f>
        <v>4.1974189003431226</v>
      </c>
      <c r="AI130" s="10">
        <f>Demands!D$5*Demands!D47</f>
        <v>4.6609202453987732E-2</v>
      </c>
      <c r="AJ130" s="10">
        <f>Demands!E$5*Demands!E47</f>
        <v>1.5147990797546009</v>
      </c>
      <c r="AK130" s="10">
        <f>Demands!F$5*Demands!F47</f>
        <v>0.19808911042944785</v>
      </c>
      <c r="AL130" s="10">
        <f>Demands!G$5*Demands!G47</f>
        <v>0.12817530674846622</v>
      </c>
      <c r="AM130" s="10">
        <f>Demands!H$5*Demands!H47</f>
        <v>5.8261503067484656E-2</v>
      </c>
      <c r="AN130" s="10">
        <f>Demands!I$5*Demands!I47</f>
        <v>3.4956901840490794E-2</v>
      </c>
      <c r="AO130" s="10">
        <f>Demands!J$5*Demands!J47</f>
        <v>9.321840490797545E-2</v>
      </c>
      <c r="AP130" s="10">
        <f>Demands!K$5*Demands!K47</f>
        <v>0.12817530674846622</v>
      </c>
      <c r="AQ130" s="10">
        <f>Demands!L$5*Demands!L47</f>
        <v>8.1566104294478539E-2</v>
      </c>
      <c r="AR130" s="10">
        <f>Demands!M$5*Demands!M47</f>
        <v>5.8261503067484663E-2</v>
      </c>
      <c r="AS130" s="10">
        <f>Demands!N$5*Demands!N47</f>
        <v>0.1165230061349693</v>
      </c>
      <c r="AT130" s="10">
        <f>Demands!O$5*Demands!O47</f>
        <v>0.10487070552147237</v>
      </c>
      <c r="AU130" s="10">
        <f>Demands!P$5*Demands!P47</f>
        <v>8.1566104294478525E-2</v>
      </c>
      <c r="AV130" s="10">
        <f>Demands!Q$5*Demands!Q47</f>
        <v>0.33791671779141097</v>
      </c>
      <c r="AW130" s="10">
        <f>Demands!R$5*Demands!R47</f>
        <v>0.20974141104294478</v>
      </c>
      <c r="AX130" s="10">
        <f>Demands!S$5*Demands!S47</f>
        <v>0.12817530674846622</v>
      </c>
      <c r="AY130" s="10">
        <f>Demands!T$5*Demands!T47</f>
        <v>0.15147990797546013</v>
      </c>
      <c r="AZ130" s="10">
        <f>Demands!U$5*Demands!U47</f>
        <v>6.9913803680981587E-2</v>
      </c>
      <c r="BA130" s="10">
        <f>Demands!V$5*Demands!V47</f>
        <v>0.24469831288343558</v>
      </c>
      <c r="BB130" s="10">
        <f>Demands!W$5*Demands!W47</f>
        <v>2.3304601226993862E-2</v>
      </c>
      <c r="BC130" s="10">
        <f>Demands!X$5*Demands!X47</f>
        <v>0.15147990797546013</v>
      </c>
      <c r="BD130" s="10">
        <f>Demands!Y$5*Demands!Y47</f>
        <v>4.6609202453987725E-2</v>
      </c>
      <c r="BE130" s="10">
        <f>Demands!Z$5*Demands!Z47</f>
        <v>4.6609202453987725E-2</v>
      </c>
      <c r="BF130" s="10">
        <f>Demands!AA$5*Demands!AA47</f>
        <v>1.9481909721380586E-2</v>
      </c>
      <c r="BG130" s="10">
        <f>Demands!AB$5*Demands!AB47</f>
        <v>6.413370989839841E-3</v>
      </c>
      <c r="BH130" s="10">
        <f>Demands!AC$5*Demands!AC47</f>
        <v>0.1165230061349693</v>
      </c>
    </row>
    <row r="131" spans="1:60" s="459" customFormat="1">
      <c r="AG131" s="716" t="s">
        <v>576</v>
      </c>
      <c r="AH131" s="10">
        <f>Demands!C$5*Demands!C48</f>
        <v>0.20514590800000002</v>
      </c>
      <c r="AI131" s="10">
        <f>Demands!D$5*Demands!D48</f>
        <v>0</v>
      </c>
      <c r="AJ131" s="10">
        <f>Demands!E$5*Demands!E48</f>
        <v>0.20514590800000002</v>
      </c>
      <c r="AK131" s="10">
        <f>Demands!F$5*Demands!F48</f>
        <v>0</v>
      </c>
      <c r="AL131" s="10">
        <f>Demands!G$5*Demands!G48</f>
        <v>0</v>
      </c>
      <c r="AM131" s="10">
        <f>Demands!H$5*Demands!H48</f>
        <v>0</v>
      </c>
      <c r="AN131" s="10">
        <f>Demands!I$5*Demands!I48</f>
        <v>0</v>
      </c>
      <c r="AO131" s="10">
        <f>Demands!J$5*Demands!J48</f>
        <v>0</v>
      </c>
      <c r="AP131" s="10">
        <f>Demands!K$5*Demands!K48</f>
        <v>0</v>
      </c>
      <c r="AQ131" s="10">
        <f>Demands!L$5*Demands!L48</f>
        <v>0</v>
      </c>
      <c r="AR131" s="10">
        <f>Demands!M$5*Demands!M48</f>
        <v>0</v>
      </c>
      <c r="AS131" s="10">
        <f>Demands!N$5*Demands!N48</f>
        <v>0</v>
      </c>
      <c r="AT131" s="10">
        <f>Demands!O$5*Demands!O48</f>
        <v>0</v>
      </c>
      <c r="AU131" s="10">
        <f>Demands!P$5*Demands!P48</f>
        <v>0</v>
      </c>
      <c r="AV131" s="10">
        <f>Demands!Q$5*Demands!Q48</f>
        <v>0</v>
      </c>
      <c r="AW131" s="10">
        <f>Demands!R$5*Demands!R48</f>
        <v>0</v>
      </c>
      <c r="AX131" s="10">
        <f>Demands!S$5*Demands!S48</f>
        <v>0</v>
      </c>
      <c r="AY131" s="10">
        <f>Demands!T$5*Demands!T48</f>
        <v>0</v>
      </c>
      <c r="AZ131" s="10">
        <f>Demands!U$5*Demands!U48</f>
        <v>0</v>
      </c>
      <c r="BA131" s="10">
        <f>Demands!V$5*Demands!V48</f>
        <v>0</v>
      </c>
      <c r="BB131" s="10">
        <f>Demands!W$5*Demands!W48</f>
        <v>0</v>
      </c>
      <c r="BC131" s="10">
        <f>Demands!X$5*Demands!X48</f>
        <v>0</v>
      </c>
      <c r="BD131" s="10">
        <f>Demands!Y$5*Demands!Y48</f>
        <v>0</v>
      </c>
      <c r="BE131" s="10">
        <f>Demands!Z$5*Demands!Z48</f>
        <v>0</v>
      </c>
      <c r="BF131" s="10">
        <f>Demands!AA$5*Demands!AA48</f>
        <v>0</v>
      </c>
      <c r="BG131" s="10">
        <f>Demands!AB$5*Demands!AB48</f>
        <v>0</v>
      </c>
      <c r="BH131" s="10">
        <f>Demands!AC$5*Demands!AC48</f>
        <v>0</v>
      </c>
    </row>
    <row r="132" spans="1:60" s="459" customFormat="1" ht="21">
      <c r="A132" s="23" t="s">
        <v>491</v>
      </c>
      <c r="AG132" s="716" t="s">
        <v>367</v>
      </c>
      <c r="AH132" s="10">
        <f>Demands!C$5*Demands!C49</f>
        <v>0</v>
      </c>
      <c r="AI132" s="10">
        <f>Demands!D$5*Demands!D49</f>
        <v>0</v>
      </c>
      <c r="AJ132" s="10">
        <f>Demands!E$5*Demands!E49</f>
        <v>0</v>
      </c>
      <c r="AK132" s="10">
        <f>Demands!F$5*Demands!F49</f>
        <v>0</v>
      </c>
      <c r="AL132" s="10">
        <f>Demands!G$5*Demands!G49</f>
        <v>0</v>
      </c>
      <c r="AM132" s="10">
        <f>Demands!H$5*Demands!H49</f>
        <v>0</v>
      </c>
      <c r="AN132" s="10">
        <f>Demands!I$5*Demands!I49</f>
        <v>0</v>
      </c>
      <c r="AO132" s="10">
        <f>Demands!J$5*Demands!J49</f>
        <v>0</v>
      </c>
      <c r="AP132" s="10">
        <f>Demands!K$5*Demands!K49</f>
        <v>0</v>
      </c>
      <c r="AQ132" s="10">
        <f>Demands!L$5*Demands!L49</f>
        <v>0</v>
      </c>
      <c r="AR132" s="10">
        <f>Demands!M$5*Demands!M49</f>
        <v>0</v>
      </c>
      <c r="AS132" s="10">
        <f>Demands!N$5*Demands!N49</f>
        <v>0</v>
      </c>
      <c r="AT132" s="10">
        <f>Demands!O$5*Demands!O49</f>
        <v>0</v>
      </c>
      <c r="AU132" s="10">
        <f>Demands!P$5*Demands!P49</f>
        <v>0</v>
      </c>
      <c r="AV132" s="10">
        <f>Demands!Q$5*Demands!Q49</f>
        <v>0</v>
      </c>
      <c r="AW132" s="10">
        <f>Demands!R$5*Demands!R49</f>
        <v>0</v>
      </c>
      <c r="AX132" s="10">
        <f>Demands!S$5*Demands!S49</f>
        <v>0</v>
      </c>
      <c r="AY132" s="10">
        <f>Demands!T$5*Demands!T49</f>
        <v>0</v>
      </c>
      <c r="AZ132" s="10">
        <f>Demands!U$5*Demands!U49</f>
        <v>0</v>
      </c>
      <c r="BA132" s="10">
        <f>Demands!V$5*Demands!V49</f>
        <v>0</v>
      </c>
      <c r="BB132" s="10">
        <f>Demands!W$5*Demands!W49</f>
        <v>0</v>
      </c>
      <c r="BC132" s="10">
        <f>Demands!X$5*Demands!X49</f>
        <v>0</v>
      </c>
      <c r="BD132" s="10">
        <f>Demands!Y$5*Demands!Y49</f>
        <v>0</v>
      </c>
      <c r="BE132" s="10">
        <f>Demands!Z$5*Demands!Z49</f>
        <v>0</v>
      </c>
      <c r="BF132" s="10">
        <f>Demands!AA$5*Demands!AA49</f>
        <v>0</v>
      </c>
      <c r="BG132" s="10">
        <f>Demands!AB$5*Demands!AB49</f>
        <v>0</v>
      </c>
      <c r="BH132" s="10">
        <f>Demands!AC$5*Demands!AC49</f>
        <v>0</v>
      </c>
    </row>
    <row r="133" spans="1:60" s="459" customFormat="1">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G133" s="774" t="s">
        <v>16</v>
      </c>
      <c r="AH133" s="780">
        <f t="shared" ref="AH133:BH133" si="110">SUM(AH127:AH132)</f>
        <v>31.276118540280983</v>
      </c>
      <c r="AI133" s="780">
        <f t="shared" si="110"/>
        <v>0.43519149385547129</v>
      </c>
      <c r="AJ133" s="780">
        <f t="shared" si="110"/>
        <v>7.621153644998925</v>
      </c>
      <c r="AK133" s="780">
        <f t="shared" si="110"/>
        <v>1.5519093827676476</v>
      </c>
      <c r="AL133" s="780">
        <f t="shared" si="110"/>
        <v>0.73703191607760732</v>
      </c>
      <c r="AM133" s="780">
        <f t="shared" si="110"/>
        <v>0.55451713599955721</v>
      </c>
      <c r="AN133" s="780">
        <f t="shared" si="110"/>
        <v>0.28568437258778689</v>
      </c>
      <c r="AO133" s="780">
        <f t="shared" si="110"/>
        <v>0.76950577172521428</v>
      </c>
      <c r="AP133" s="780">
        <f t="shared" si="110"/>
        <v>1.3359499798250476</v>
      </c>
      <c r="AQ133" s="780">
        <f t="shared" si="110"/>
        <v>0.56616320344762305</v>
      </c>
      <c r="AR133" s="780">
        <f t="shared" si="110"/>
        <v>0.63911185847443019</v>
      </c>
      <c r="AS133" s="780">
        <f t="shared" si="110"/>
        <v>1.1334816009734383</v>
      </c>
      <c r="AT133" s="780">
        <f t="shared" si="110"/>
        <v>0.96185938421931261</v>
      </c>
      <c r="AU133" s="780">
        <f t="shared" si="110"/>
        <v>0.87235861089184219</v>
      </c>
      <c r="AV133" s="780">
        <f t="shared" si="110"/>
        <v>3.5254749048173282</v>
      </c>
      <c r="AW133" s="780">
        <f t="shared" si="110"/>
        <v>1.1538869884003555</v>
      </c>
      <c r="AX133" s="780">
        <f t="shared" si="110"/>
        <v>1.2995736671311429</v>
      </c>
      <c r="AY133" s="780">
        <f t="shared" si="110"/>
        <v>1.2604324784412986</v>
      </c>
      <c r="AZ133" s="780">
        <f t="shared" si="110"/>
        <v>0.79517788054022265</v>
      </c>
      <c r="BA133" s="780">
        <f t="shared" si="110"/>
        <v>1.7803554187858515</v>
      </c>
      <c r="BB133" s="780">
        <f t="shared" si="110"/>
        <v>0.23333731031609195</v>
      </c>
      <c r="BC133" s="780">
        <f t="shared" si="110"/>
        <v>0.98601597898071303</v>
      </c>
      <c r="BD133" s="780">
        <f t="shared" si="110"/>
        <v>0.53090140271719211</v>
      </c>
      <c r="BE133" s="780">
        <f t="shared" si="110"/>
        <v>0.43310682655274857</v>
      </c>
      <c r="BF133" s="780">
        <f t="shared" si="110"/>
        <v>0.47060177269376963</v>
      </c>
      <c r="BG133" s="780">
        <f t="shared" si="110"/>
        <v>0.86668930093951158</v>
      </c>
      <c r="BH133" s="780">
        <f t="shared" si="110"/>
        <v>0.47664625412085693</v>
      </c>
    </row>
    <row r="134" spans="1:60" s="459" customFormat="1" ht="21">
      <c r="C134" s="23" t="s">
        <v>986</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row>
    <row r="135" spans="1:60" s="459" customFormat="1">
      <c r="A135" s="427" t="s">
        <v>70</v>
      </c>
      <c r="B135" s="427" t="s">
        <v>77</v>
      </c>
      <c r="C135" s="427" t="s">
        <v>65</v>
      </c>
      <c r="D135" s="427" t="str">
        <f>Regions!C3</f>
        <v>IE</v>
      </c>
      <c r="E135" s="427" t="str">
        <f>Regions!E3</f>
        <v>IE-CW</v>
      </c>
      <c r="F135" s="427" t="str">
        <f>Regions!F3</f>
        <v>IE-D</v>
      </c>
      <c r="G135" s="427" t="str">
        <f>Regions!G3</f>
        <v>IE-KE</v>
      </c>
      <c r="H135" s="427" t="str">
        <f>Regions!H3</f>
        <v>IE-KK</v>
      </c>
      <c r="I135" s="427" t="str">
        <f>Regions!I3</f>
        <v>IE-LS</v>
      </c>
      <c r="J135" s="427" t="str">
        <f>Regions!J3</f>
        <v>IE-LD</v>
      </c>
      <c r="K135" s="427" t="str">
        <f>Regions!K3</f>
        <v>IE-LH</v>
      </c>
      <c r="L135" s="427" t="str">
        <f>Regions!L3</f>
        <v>IE-MH</v>
      </c>
      <c r="M135" s="427" t="str">
        <f>Regions!M3</f>
        <v>IE-OY</v>
      </c>
      <c r="N135" s="427" t="str">
        <f>Regions!N3</f>
        <v>IE-WH</v>
      </c>
      <c r="O135" s="427" t="str">
        <f>Regions!O3</f>
        <v>IE-WX</v>
      </c>
      <c r="P135" s="427" t="str">
        <f>Regions!P3</f>
        <v>IE-WW</v>
      </c>
      <c r="Q135" s="427" t="str">
        <f>Regions!Q3</f>
        <v>IE-CE</v>
      </c>
      <c r="R135" s="427" t="str">
        <f>Regions!R3</f>
        <v>IE-CO</v>
      </c>
      <c r="S135" s="427" t="str">
        <f>Regions!S3</f>
        <v>IE-KY</v>
      </c>
      <c r="T135" s="427" t="str">
        <f>Regions!T3</f>
        <v>IE-LK</v>
      </c>
      <c r="U135" s="427" t="str">
        <f>Regions!U3</f>
        <v>IE-TA</v>
      </c>
      <c r="V135" s="427" t="str">
        <f>Regions!V3</f>
        <v>IE-WD</v>
      </c>
      <c r="W135" s="427" t="str">
        <f>Regions!W3</f>
        <v>IE-G</v>
      </c>
      <c r="X135" s="427" t="str">
        <f>Regions!X3</f>
        <v>IE-LM</v>
      </c>
      <c r="Y135" s="427" t="str">
        <f>Regions!Y3</f>
        <v>IE-MO</v>
      </c>
      <c r="Z135" s="427" t="str">
        <f>Regions!Z3</f>
        <v>IE-RN</v>
      </c>
      <c r="AA135" s="427" t="str">
        <f>Regions!AA3</f>
        <v>IE-SO</v>
      </c>
      <c r="AB135" s="427" t="str">
        <f>Regions!AB3</f>
        <v>IE-CN</v>
      </c>
      <c r="AC135" s="427" t="str">
        <f>Regions!AC3</f>
        <v>IE-DL</v>
      </c>
      <c r="AD135" s="427" t="str">
        <f>Regions!AD3</f>
        <v>IE-MN</v>
      </c>
    </row>
    <row r="136" spans="1:60" s="459" customFormat="1">
      <c r="A136" s="471" t="str">
        <f>Commodities!K19</f>
        <v>T-CAR-PHEV_GSL00</v>
      </c>
      <c r="B136" s="471" t="str">
        <f>Commodities!B14</f>
        <v>TRAELC</v>
      </c>
      <c r="C136" s="28" t="s">
        <v>1018</v>
      </c>
      <c r="D136" s="472">
        <v>0.4</v>
      </c>
      <c r="E136" s="472">
        <v>0.4</v>
      </c>
      <c r="F136" s="472">
        <v>0.4</v>
      </c>
      <c r="G136" s="472">
        <v>0.4</v>
      </c>
      <c r="H136" s="472">
        <v>0.4</v>
      </c>
      <c r="I136" s="472">
        <v>0.4</v>
      </c>
      <c r="J136" s="472">
        <v>0.4</v>
      </c>
      <c r="K136" s="472">
        <v>0.4</v>
      </c>
      <c r="L136" s="472">
        <v>0.4</v>
      </c>
      <c r="M136" s="472">
        <v>0.4</v>
      </c>
      <c r="N136" s="472">
        <v>0.4</v>
      </c>
      <c r="O136" s="472">
        <v>0.4</v>
      </c>
      <c r="P136" s="472">
        <v>0.4</v>
      </c>
      <c r="Q136" s="472">
        <v>0.4</v>
      </c>
      <c r="R136" s="472">
        <v>0.4</v>
      </c>
      <c r="S136" s="472">
        <v>0.4</v>
      </c>
      <c r="T136" s="472">
        <v>0.4</v>
      </c>
      <c r="U136" s="472">
        <v>0.4</v>
      </c>
      <c r="V136" s="472">
        <v>0.4</v>
      </c>
      <c r="W136" s="472">
        <v>0.4</v>
      </c>
      <c r="X136" s="472">
        <v>0.4</v>
      </c>
      <c r="Y136" s="472">
        <v>0.4</v>
      </c>
      <c r="Z136" s="472">
        <v>0.4</v>
      </c>
      <c r="AA136" s="472">
        <v>0.4</v>
      </c>
      <c r="AB136" s="472">
        <v>0.4</v>
      </c>
      <c r="AC136" s="472">
        <v>0.4</v>
      </c>
      <c r="AD136" s="472">
        <v>0.4</v>
      </c>
    </row>
    <row r="137" spans="1:60" s="716" customFormat="1">
      <c r="A137" s="471"/>
      <c r="B137" s="471" t="str">
        <f>B136</f>
        <v>TRAELC</v>
      </c>
      <c r="C137" s="28" t="s">
        <v>1019</v>
      </c>
      <c r="D137" s="472">
        <v>0.3</v>
      </c>
      <c r="E137" s="472">
        <v>0.3</v>
      </c>
      <c r="F137" s="472">
        <v>0.3</v>
      </c>
      <c r="G137" s="472">
        <v>0.3</v>
      </c>
      <c r="H137" s="472">
        <v>0.3</v>
      </c>
      <c r="I137" s="472">
        <v>0.3</v>
      </c>
      <c r="J137" s="472">
        <v>0.3</v>
      </c>
      <c r="K137" s="472">
        <v>0.3</v>
      </c>
      <c r="L137" s="472">
        <v>0.3</v>
      </c>
      <c r="M137" s="472">
        <v>0.3</v>
      </c>
      <c r="N137" s="472">
        <v>0.3</v>
      </c>
      <c r="O137" s="472">
        <v>0.3</v>
      </c>
      <c r="P137" s="472">
        <v>0.3</v>
      </c>
      <c r="Q137" s="472">
        <v>0.3</v>
      </c>
      <c r="R137" s="472">
        <v>0.3</v>
      </c>
      <c r="S137" s="472">
        <v>0.3</v>
      </c>
      <c r="T137" s="472">
        <v>0.3</v>
      </c>
      <c r="U137" s="472">
        <v>0.3</v>
      </c>
      <c r="V137" s="472">
        <v>0.3</v>
      </c>
      <c r="W137" s="472">
        <v>0.3</v>
      </c>
      <c r="X137" s="472">
        <v>0.3</v>
      </c>
      <c r="Y137" s="472">
        <v>0.3</v>
      </c>
      <c r="Z137" s="472">
        <v>0.3</v>
      </c>
      <c r="AA137" s="472">
        <v>0.3</v>
      </c>
      <c r="AB137" s="472">
        <v>0.3</v>
      </c>
      <c r="AC137" s="472">
        <v>0.3</v>
      </c>
      <c r="AD137" s="472">
        <v>0.3</v>
      </c>
      <c r="AG137" s="459"/>
      <c r="AH137" s="459"/>
      <c r="AI137" s="459"/>
      <c r="AJ137" s="459"/>
      <c r="AK137" s="459"/>
      <c r="AL137" s="459"/>
      <c r="AM137" s="459"/>
      <c r="AN137" s="459"/>
      <c r="AO137" s="459"/>
      <c r="AP137" s="459"/>
      <c r="AQ137" s="459"/>
      <c r="AR137" s="459"/>
      <c r="AS137" s="459"/>
      <c r="AT137" s="459"/>
      <c r="AU137" s="459"/>
      <c r="AV137" s="459"/>
      <c r="AW137" s="459"/>
      <c r="AX137" s="459"/>
      <c r="AY137" s="459"/>
      <c r="AZ137" s="459"/>
      <c r="BA137" s="459"/>
      <c r="BB137" s="459"/>
      <c r="BC137" s="459"/>
      <c r="BD137" s="459"/>
      <c r="BE137" s="459"/>
      <c r="BF137" s="459"/>
      <c r="BG137" s="459"/>
      <c r="BH137" s="459"/>
    </row>
    <row r="138" spans="1:60" s="459" customFormat="1">
      <c r="A138" s="471" t="str">
        <f>Commodities!K20</f>
        <v>T-CAR-PHEV_DST00</v>
      </c>
      <c r="B138" s="471" t="str">
        <f>Commodities!B14</f>
        <v>TRAELC</v>
      </c>
      <c r="C138" s="28" t="s">
        <v>1018</v>
      </c>
      <c r="D138" s="472">
        <v>0.4</v>
      </c>
      <c r="E138" s="472">
        <v>0.4</v>
      </c>
      <c r="F138" s="472">
        <v>0.4</v>
      </c>
      <c r="G138" s="472">
        <v>0.4</v>
      </c>
      <c r="H138" s="472">
        <v>0.4</v>
      </c>
      <c r="I138" s="472">
        <v>0.4</v>
      </c>
      <c r="J138" s="472">
        <v>0.4</v>
      </c>
      <c r="K138" s="472">
        <v>0.4</v>
      </c>
      <c r="L138" s="472">
        <v>0.4</v>
      </c>
      <c r="M138" s="472">
        <v>0.4</v>
      </c>
      <c r="N138" s="472">
        <v>0.4</v>
      </c>
      <c r="O138" s="472">
        <v>0.4</v>
      </c>
      <c r="P138" s="472">
        <v>0.4</v>
      </c>
      <c r="Q138" s="472">
        <v>0.4</v>
      </c>
      <c r="R138" s="472">
        <v>0.4</v>
      </c>
      <c r="S138" s="472">
        <v>0.4</v>
      </c>
      <c r="T138" s="472">
        <v>0.4</v>
      </c>
      <c r="U138" s="472">
        <v>0.4</v>
      </c>
      <c r="V138" s="472">
        <v>0.4</v>
      </c>
      <c r="W138" s="472">
        <v>0.4</v>
      </c>
      <c r="X138" s="472">
        <v>0.4</v>
      </c>
      <c r="Y138" s="472">
        <v>0.4</v>
      </c>
      <c r="Z138" s="472">
        <v>0.4</v>
      </c>
      <c r="AA138" s="472">
        <v>0.4</v>
      </c>
      <c r="AB138" s="472">
        <v>0.4</v>
      </c>
      <c r="AC138" s="472">
        <v>0.4</v>
      </c>
      <c r="AD138" s="472">
        <v>0.4</v>
      </c>
      <c r="AG138" s="716" t="s">
        <v>1098</v>
      </c>
      <c r="AH138" s="716"/>
      <c r="AI138" s="716"/>
      <c r="AJ138" s="716"/>
      <c r="AK138" s="716"/>
      <c r="AL138" s="716"/>
      <c r="AM138" s="716"/>
      <c r="AN138" s="716"/>
      <c r="AO138" s="716"/>
      <c r="AP138" s="716"/>
      <c r="AQ138" s="716"/>
      <c r="AR138" s="716"/>
      <c r="AS138" s="716"/>
      <c r="AT138" s="716"/>
      <c r="AU138" s="716"/>
      <c r="AV138" s="716"/>
      <c r="AW138" s="716"/>
      <c r="AX138" s="716"/>
      <c r="AY138" s="716"/>
      <c r="AZ138" s="716"/>
      <c r="BA138" s="716"/>
      <c r="BB138" s="716"/>
      <c r="BC138" s="716"/>
      <c r="BD138" s="716"/>
      <c r="BE138" s="716"/>
      <c r="BF138" s="716"/>
      <c r="BG138" s="716"/>
      <c r="BH138" s="716"/>
    </row>
    <row r="139" spans="1:60" s="716" customFormat="1">
      <c r="A139" s="471"/>
      <c r="B139" s="471" t="str">
        <f>B138</f>
        <v>TRAELC</v>
      </c>
      <c r="C139" s="28" t="s">
        <v>1019</v>
      </c>
      <c r="D139" s="472">
        <v>0.3</v>
      </c>
      <c r="E139" s="472">
        <v>0.3</v>
      </c>
      <c r="F139" s="472">
        <v>0.3</v>
      </c>
      <c r="G139" s="472">
        <v>0.3</v>
      </c>
      <c r="H139" s="472">
        <v>0.3</v>
      </c>
      <c r="I139" s="472">
        <v>0.3</v>
      </c>
      <c r="J139" s="472">
        <v>0.3</v>
      </c>
      <c r="K139" s="472">
        <v>0.3</v>
      </c>
      <c r="L139" s="472">
        <v>0.3</v>
      </c>
      <c r="M139" s="472">
        <v>0.3</v>
      </c>
      <c r="N139" s="472">
        <v>0.3</v>
      </c>
      <c r="O139" s="472">
        <v>0.3</v>
      </c>
      <c r="P139" s="472">
        <v>0.3</v>
      </c>
      <c r="Q139" s="472">
        <v>0.3</v>
      </c>
      <c r="R139" s="472">
        <v>0.3</v>
      </c>
      <c r="S139" s="472">
        <v>0.3</v>
      </c>
      <c r="T139" s="472">
        <v>0.3</v>
      </c>
      <c r="U139" s="472">
        <v>0.3</v>
      </c>
      <c r="V139" s="472">
        <v>0.3</v>
      </c>
      <c r="W139" s="472">
        <v>0.3</v>
      </c>
      <c r="X139" s="472">
        <v>0.3</v>
      </c>
      <c r="Y139" s="472">
        <v>0.3</v>
      </c>
      <c r="Z139" s="472">
        <v>0.3</v>
      </c>
      <c r="AA139" s="472">
        <v>0.3</v>
      </c>
      <c r="AB139" s="472">
        <v>0.3</v>
      </c>
      <c r="AC139" s="472">
        <v>0.3</v>
      </c>
      <c r="AD139" s="472">
        <v>0.3</v>
      </c>
      <c r="AG139" s="718" t="s">
        <v>360</v>
      </c>
      <c r="AH139" s="718" t="str">
        <f>AH126</f>
        <v>IE</v>
      </c>
      <c r="AI139" s="718" t="str">
        <f t="shared" ref="AI139:BH139" si="111">AI126</f>
        <v>IE-CW</v>
      </c>
      <c r="AJ139" s="718" t="str">
        <f t="shared" si="111"/>
        <v>IE-D</v>
      </c>
      <c r="AK139" s="718" t="str">
        <f t="shared" si="111"/>
        <v>IE-KE</v>
      </c>
      <c r="AL139" s="718" t="str">
        <f t="shared" si="111"/>
        <v>IE-KK</v>
      </c>
      <c r="AM139" s="718" t="str">
        <f t="shared" si="111"/>
        <v>IE-LS</v>
      </c>
      <c r="AN139" s="718" t="str">
        <f t="shared" si="111"/>
        <v>IE-LD</v>
      </c>
      <c r="AO139" s="718" t="str">
        <f t="shared" si="111"/>
        <v>IE-LH</v>
      </c>
      <c r="AP139" s="718" t="str">
        <f t="shared" si="111"/>
        <v>IE-MH</v>
      </c>
      <c r="AQ139" s="718" t="str">
        <f t="shared" si="111"/>
        <v>IE-OY</v>
      </c>
      <c r="AR139" s="718" t="str">
        <f t="shared" si="111"/>
        <v>IE-WH</v>
      </c>
      <c r="AS139" s="718" t="str">
        <f t="shared" si="111"/>
        <v>IE-WX</v>
      </c>
      <c r="AT139" s="718" t="str">
        <f t="shared" si="111"/>
        <v>IE-WW</v>
      </c>
      <c r="AU139" s="718" t="str">
        <f t="shared" si="111"/>
        <v>IE-CE</v>
      </c>
      <c r="AV139" s="718" t="str">
        <f t="shared" si="111"/>
        <v>IE-CO</v>
      </c>
      <c r="AW139" s="718" t="str">
        <f t="shared" si="111"/>
        <v>IE-KY</v>
      </c>
      <c r="AX139" s="718" t="str">
        <f t="shared" si="111"/>
        <v>IE-LK</v>
      </c>
      <c r="AY139" s="718" t="str">
        <f t="shared" si="111"/>
        <v>IE-TA</v>
      </c>
      <c r="AZ139" s="718" t="str">
        <f t="shared" si="111"/>
        <v>IE-WD</v>
      </c>
      <c r="BA139" s="718" t="str">
        <f t="shared" si="111"/>
        <v>IE-G</v>
      </c>
      <c r="BB139" s="718" t="str">
        <f t="shared" si="111"/>
        <v>IE-LM</v>
      </c>
      <c r="BC139" s="718" t="str">
        <f t="shared" si="111"/>
        <v>IE-MO</v>
      </c>
      <c r="BD139" s="718" t="str">
        <f t="shared" si="111"/>
        <v>IE-RN</v>
      </c>
      <c r="BE139" s="718" t="str">
        <f t="shared" si="111"/>
        <v>IE-SO</v>
      </c>
      <c r="BF139" s="718" t="str">
        <f t="shared" si="111"/>
        <v>IE-CN</v>
      </c>
      <c r="BG139" s="718" t="str">
        <f t="shared" si="111"/>
        <v>IE-DL</v>
      </c>
      <c r="BH139" s="718" t="str">
        <f t="shared" si="111"/>
        <v>IE-MN</v>
      </c>
    </row>
    <row r="140" spans="1:60" s="459" customFormat="1">
      <c r="A140" s="471" t="str">
        <f>Commodities!K15</f>
        <v>T-CAR-ICE_DF00</v>
      </c>
      <c r="B140" s="471" t="str">
        <f>Commodities!B12</f>
        <v>TRACNG</v>
      </c>
      <c r="C140" s="28" t="s">
        <v>1018</v>
      </c>
      <c r="D140" s="472">
        <v>0.5</v>
      </c>
      <c r="E140" s="472">
        <v>0.5</v>
      </c>
      <c r="F140" s="472">
        <v>0.5</v>
      </c>
      <c r="G140" s="472">
        <v>0.5</v>
      </c>
      <c r="H140" s="472">
        <v>0.5</v>
      </c>
      <c r="I140" s="472">
        <v>0.5</v>
      </c>
      <c r="J140" s="472">
        <v>0.5</v>
      </c>
      <c r="K140" s="472">
        <v>0.5</v>
      </c>
      <c r="L140" s="472">
        <v>0.5</v>
      </c>
      <c r="M140" s="472">
        <v>0.5</v>
      </c>
      <c r="N140" s="472">
        <v>0.5</v>
      </c>
      <c r="O140" s="472">
        <v>0.5</v>
      </c>
      <c r="P140" s="472">
        <v>0.5</v>
      </c>
      <c r="Q140" s="472">
        <v>0.5</v>
      </c>
      <c r="R140" s="472">
        <v>0.5</v>
      </c>
      <c r="S140" s="472">
        <v>0.5</v>
      </c>
      <c r="T140" s="472">
        <v>0.5</v>
      </c>
      <c r="U140" s="472">
        <v>0.5</v>
      </c>
      <c r="V140" s="472">
        <v>0.5</v>
      </c>
      <c r="W140" s="472">
        <v>0.5</v>
      </c>
      <c r="X140" s="472">
        <v>0.5</v>
      </c>
      <c r="Y140" s="472">
        <v>0.5</v>
      </c>
      <c r="Z140" s="472">
        <v>0.5</v>
      </c>
      <c r="AA140" s="472">
        <v>0.5</v>
      </c>
      <c r="AB140" s="472">
        <v>0.5</v>
      </c>
      <c r="AC140" s="472">
        <v>0.5</v>
      </c>
      <c r="AD140" s="472">
        <v>0.5</v>
      </c>
      <c r="AG140" s="716" t="s">
        <v>369</v>
      </c>
      <c r="AH140" s="10">
        <f>Demands!C$6*Demands!C58</f>
        <v>0</v>
      </c>
      <c r="AI140" s="10">
        <f>Demands!D$6*Demands!D58</f>
        <v>0</v>
      </c>
      <c r="AJ140" s="10">
        <f>Demands!E$6*Demands!E58</f>
        <v>0</v>
      </c>
      <c r="AK140" s="10">
        <f>Demands!F$6*Demands!F58</f>
        <v>0</v>
      </c>
      <c r="AL140" s="10">
        <f>Demands!G$6*Demands!G58</f>
        <v>0</v>
      </c>
      <c r="AM140" s="10">
        <f>Demands!H$6*Demands!H58</f>
        <v>0</v>
      </c>
      <c r="AN140" s="10">
        <f>Demands!I$6*Demands!I58</f>
        <v>0</v>
      </c>
      <c r="AO140" s="10">
        <f>Demands!J$6*Demands!J58</f>
        <v>0</v>
      </c>
      <c r="AP140" s="10">
        <f>Demands!K$6*Demands!K58</f>
        <v>0</v>
      </c>
      <c r="AQ140" s="10">
        <f>Demands!L$6*Demands!L58</f>
        <v>0</v>
      </c>
      <c r="AR140" s="10">
        <f>Demands!M$6*Demands!M58</f>
        <v>0</v>
      </c>
      <c r="AS140" s="10">
        <f>Demands!N$6*Demands!N58</f>
        <v>0</v>
      </c>
      <c r="AT140" s="10">
        <f>Demands!O$6*Demands!O58</f>
        <v>0</v>
      </c>
      <c r="AU140" s="10">
        <f>Demands!P$6*Demands!P58</f>
        <v>0</v>
      </c>
      <c r="AV140" s="10">
        <f>Demands!Q$6*Demands!Q58</f>
        <v>0</v>
      </c>
      <c r="AW140" s="10">
        <f>Demands!R$6*Demands!R58</f>
        <v>0</v>
      </c>
      <c r="AX140" s="10">
        <f>Demands!S$6*Demands!S58</f>
        <v>0</v>
      </c>
      <c r="AY140" s="10">
        <f>Demands!T$6*Demands!T58</f>
        <v>0</v>
      </c>
      <c r="AZ140" s="10">
        <f>Demands!U$6*Demands!U58</f>
        <v>0</v>
      </c>
      <c r="BA140" s="10">
        <f>Demands!V$6*Demands!V58</f>
        <v>0</v>
      </c>
      <c r="BB140" s="10">
        <f>Demands!W$6*Demands!W58</f>
        <v>0</v>
      </c>
      <c r="BC140" s="10">
        <f>Demands!X$6*Demands!X58</f>
        <v>0</v>
      </c>
      <c r="BD140" s="10">
        <f>Demands!Y$6*Demands!Y58</f>
        <v>0</v>
      </c>
      <c r="BE140" s="10">
        <f>Demands!Z$6*Demands!Z58</f>
        <v>0</v>
      </c>
      <c r="BF140" s="10">
        <f>Demands!AA$6*Demands!AA58</f>
        <v>0</v>
      </c>
      <c r="BG140" s="10">
        <f>Demands!AB$6*Demands!AB58</f>
        <v>0</v>
      </c>
      <c r="BH140" s="10">
        <f>Demands!AC$6*Demands!AC58</f>
        <v>0</v>
      </c>
    </row>
    <row r="141" spans="1:60" s="716" customFormat="1">
      <c r="A141" s="471"/>
      <c r="B141" s="471" t="str">
        <f>B140</f>
        <v>TRACNG</v>
      </c>
      <c r="C141" s="28" t="s">
        <v>1019</v>
      </c>
      <c r="D141" s="472">
        <v>0.4</v>
      </c>
      <c r="E141" s="472">
        <v>0.4</v>
      </c>
      <c r="F141" s="472">
        <v>0.4</v>
      </c>
      <c r="G141" s="472">
        <v>0.4</v>
      </c>
      <c r="H141" s="472">
        <v>0.4</v>
      </c>
      <c r="I141" s="472">
        <v>0.4</v>
      </c>
      <c r="J141" s="472">
        <v>0.4</v>
      </c>
      <c r="K141" s="472">
        <v>0.4</v>
      </c>
      <c r="L141" s="472">
        <v>0.4</v>
      </c>
      <c r="M141" s="472">
        <v>0.4</v>
      </c>
      <c r="N141" s="472">
        <v>0.4</v>
      </c>
      <c r="O141" s="472">
        <v>0.4</v>
      </c>
      <c r="P141" s="472">
        <v>0.4</v>
      </c>
      <c r="Q141" s="472">
        <v>0.4</v>
      </c>
      <c r="R141" s="472">
        <v>0.4</v>
      </c>
      <c r="S141" s="472">
        <v>0.4</v>
      </c>
      <c r="T141" s="472">
        <v>0.4</v>
      </c>
      <c r="U141" s="472">
        <v>0.4</v>
      </c>
      <c r="V141" s="472">
        <v>0.4</v>
      </c>
      <c r="W141" s="472">
        <v>0.4</v>
      </c>
      <c r="X141" s="472">
        <v>0.4</v>
      </c>
      <c r="Y141" s="472">
        <v>0.4</v>
      </c>
      <c r="Z141" s="472">
        <v>0.4</v>
      </c>
      <c r="AA141" s="472">
        <v>0.4</v>
      </c>
      <c r="AB141" s="472">
        <v>0.4</v>
      </c>
      <c r="AC141" s="472">
        <v>0.4</v>
      </c>
      <c r="AD141" s="472">
        <v>0.4</v>
      </c>
      <c r="AG141" s="716" t="s">
        <v>368</v>
      </c>
      <c r="AH141" s="10">
        <f>Demands!C$6*Demands!C59</f>
        <v>20.10684311329279</v>
      </c>
      <c r="AI141" s="10">
        <f>Demands!D$6*Demands!D59</f>
        <v>0.29564777516001556</v>
      </c>
      <c r="AJ141" s="10">
        <f>Demands!E$6*Demands!E59</f>
        <v>4.2536393511207553</v>
      </c>
      <c r="AK141" s="10">
        <f>Demands!F$6*Demands!F59</f>
        <v>1.0171624778662165</v>
      </c>
      <c r="AL141" s="10">
        <f>Demands!G$6*Demands!G59</f>
        <v>0.4621941588985502</v>
      </c>
      <c r="AM141" s="10">
        <f>Demands!H$6*Demands!H59</f>
        <v>0.3761265646175625</v>
      </c>
      <c r="AN141" s="10">
        <f>Demands!I$6*Demands!I59</f>
        <v>0.19001936399698549</v>
      </c>
      <c r="AO141" s="10">
        <f>Demands!J$6*Demands!J59</f>
        <v>0.50411019507435562</v>
      </c>
      <c r="AP141" s="10">
        <f>Demands!K$6*Demands!K59</f>
        <v>0.90091533753864883</v>
      </c>
      <c r="AQ141" s="10">
        <f>Demands!L$6*Demands!L59</f>
        <v>0.36830223786474542</v>
      </c>
      <c r="AR141" s="10">
        <f>Demands!M$6*Demands!M59</f>
        <v>0.43872117864009896</v>
      </c>
      <c r="AS141" s="10">
        <f>Demands!N$6*Demands!N59</f>
        <v>0.77404946804654384</v>
      </c>
      <c r="AT141" s="10">
        <f>Demands!O$6*Demands!O59</f>
        <v>0.64886024000147113</v>
      </c>
      <c r="AU141" s="10">
        <f>Demands!P$6*Demands!P59</f>
        <v>0.59856099659050443</v>
      </c>
      <c r="AV141" s="10">
        <f>Demands!Q$6*Demands!Q59</f>
        <v>2.4020683131148344</v>
      </c>
      <c r="AW141" s="10">
        <f>Demands!R$6*Demands!R59</f>
        <v>0.7142492564357279</v>
      </c>
      <c r="AX141" s="10">
        <f>Demands!S$6*Demands!S59</f>
        <v>0.88303116210363863</v>
      </c>
      <c r="AY141" s="10">
        <f>Demands!T$6*Demands!T59</f>
        <v>0.84558616978658552</v>
      </c>
      <c r="AZ141" s="10">
        <f>Demands!U$6*Demands!U59</f>
        <v>0.54993839462656979</v>
      </c>
      <c r="BA141" s="10">
        <f>Demands!V$6*Demands!V59</f>
        <v>1.1568825984522353</v>
      </c>
      <c r="BB141" s="10">
        <f>Demands!W$6*Demands!W59</f>
        <v>0.15928093746806138</v>
      </c>
      <c r="BC141" s="10">
        <f>Demands!X$6*Demands!X59</f>
        <v>0.63488822794286914</v>
      </c>
      <c r="BD141" s="10">
        <f>Demands!Y$6*Demands!Y59</f>
        <v>0.3694199988294336</v>
      </c>
      <c r="BE141" s="10">
        <f>Demands!Z$6*Demands!Z59</f>
        <v>0.29341225323063946</v>
      </c>
      <c r="BF141" s="10">
        <f>Demands!AA$6*Demands!AA59</f>
        <v>0.34259373567691798</v>
      </c>
      <c r="BG141" s="10">
        <f>Demands!AB$6*Demands!AB59</f>
        <v>0.65221352289553547</v>
      </c>
      <c r="BH141" s="10">
        <f>Demands!AC$6*Demands!AC59</f>
        <v>0.27496919731328495</v>
      </c>
    </row>
    <row r="142" spans="1:60" s="459" customFormat="1">
      <c r="A142" s="103" t="str">
        <f>Commodities!K40</f>
        <v>T-OTH_CON00</v>
      </c>
      <c r="B142" s="1" t="str">
        <f>Commodities!B12</f>
        <v>TRACNG</v>
      </c>
      <c r="C142" s="28" t="s">
        <v>1019</v>
      </c>
      <c r="D142" s="762">
        <f>'EB2018'!Z55/'EB2018'!AM55</f>
        <v>4.2308762790135471E-2</v>
      </c>
      <c r="E142" s="763">
        <f>D142</f>
        <v>4.2308762790135471E-2</v>
      </c>
      <c r="F142" s="763">
        <f t="shared" ref="F142:AD142" si="112">E142</f>
        <v>4.2308762790135471E-2</v>
      </c>
      <c r="G142" s="763">
        <f t="shared" si="112"/>
        <v>4.2308762790135471E-2</v>
      </c>
      <c r="H142" s="763">
        <f t="shared" si="112"/>
        <v>4.2308762790135471E-2</v>
      </c>
      <c r="I142" s="763">
        <f t="shared" si="112"/>
        <v>4.2308762790135471E-2</v>
      </c>
      <c r="J142" s="763">
        <f t="shared" si="112"/>
        <v>4.2308762790135471E-2</v>
      </c>
      <c r="K142" s="763">
        <f t="shared" si="112"/>
        <v>4.2308762790135471E-2</v>
      </c>
      <c r="L142" s="763">
        <f t="shared" si="112"/>
        <v>4.2308762790135471E-2</v>
      </c>
      <c r="M142" s="763">
        <f t="shared" si="112"/>
        <v>4.2308762790135471E-2</v>
      </c>
      <c r="N142" s="763">
        <f t="shared" si="112"/>
        <v>4.2308762790135471E-2</v>
      </c>
      <c r="O142" s="763">
        <f t="shared" si="112"/>
        <v>4.2308762790135471E-2</v>
      </c>
      <c r="P142" s="763">
        <f t="shared" si="112"/>
        <v>4.2308762790135471E-2</v>
      </c>
      <c r="Q142" s="763">
        <f t="shared" si="112"/>
        <v>4.2308762790135471E-2</v>
      </c>
      <c r="R142" s="763">
        <f t="shared" si="112"/>
        <v>4.2308762790135471E-2</v>
      </c>
      <c r="S142" s="763">
        <f t="shared" si="112"/>
        <v>4.2308762790135471E-2</v>
      </c>
      <c r="T142" s="763">
        <f t="shared" si="112"/>
        <v>4.2308762790135471E-2</v>
      </c>
      <c r="U142" s="763">
        <f t="shared" si="112"/>
        <v>4.2308762790135471E-2</v>
      </c>
      <c r="V142" s="763">
        <f t="shared" si="112"/>
        <v>4.2308762790135471E-2</v>
      </c>
      <c r="W142" s="763">
        <f t="shared" si="112"/>
        <v>4.2308762790135471E-2</v>
      </c>
      <c r="X142" s="763">
        <f t="shared" si="112"/>
        <v>4.2308762790135471E-2</v>
      </c>
      <c r="Y142" s="763">
        <f t="shared" si="112"/>
        <v>4.2308762790135471E-2</v>
      </c>
      <c r="Z142" s="763">
        <f t="shared" si="112"/>
        <v>4.2308762790135471E-2</v>
      </c>
      <c r="AA142" s="763">
        <f t="shared" si="112"/>
        <v>4.2308762790135471E-2</v>
      </c>
      <c r="AB142" s="763">
        <f t="shared" si="112"/>
        <v>4.2308762790135471E-2</v>
      </c>
      <c r="AC142" s="763">
        <f t="shared" si="112"/>
        <v>4.2308762790135471E-2</v>
      </c>
      <c r="AD142" s="763">
        <f t="shared" si="112"/>
        <v>4.2308762790135471E-2</v>
      </c>
      <c r="AG142" s="716" t="s">
        <v>365</v>
      </c>
      <c r="AH142" s="10">
        <f>Demands!C$6*Demands!C60</f>
        <v>0.32943614424109596</v>
      </c>
      <c r="AI142" s="10">
        <f>Demands!D$6*Demands!D60</f>
        <v>1.9609294300065236E-3</v>
      </c>
      <c r="AJ142" s="10">
        <f>Demands!E$6*Demands!E60</f>
        <v>0.16863993098056101</v>
      </c>
      <c r="AK142" s="10">
        <f>Demands!F$6*Demands!F60</f>
        <v>1.3726506010045669E-2</v>
      </c>
      <c r="AL142" s="10">
        <f>Demands!G$6*Demands!G60</f>
        <v>3.529672974011743E-3</v>
      </c>
      <c r="AM142" s="10">
        <f>Demands!H$6*Demands!H60</f>
        <v>3.529672974011743E-3</v>
      </c>
      <c r="AN142" s="10">
        <f>Demands!I$6*Demands!I60</f>
        <v>1.5687435440052187E-3</v>
      </c>
      <c r="AO142" s="10">
        <f>Demands!J$6*Demands!J60</f>
        <v>9.8046471500326197E-3</v>
      </c>
      <c r="AP142" s="10">
        <f>Demands!K$6*Demands!K60</f>
        <v>1.6471807212054792E-2</v>
      </c>
      <c r="AQ142" s="10">
        <f>Demands!L$6*Demands!L60</f>
        <v>2.3531153160078278E-3</v>
      </c>
      <c r="AR142" s="10">
        <f>Demands!M$6*Demands!M60</f>
        <v>4.7062306320156564E-3</v>
      </c>
      <c r="AS142" s="10">
        <f>Demands!N$6*Demands!N60</f>
        <v>4.3140447460143522E-3</v>
      </c>
      <c r="AT142" s="10">
        <f>Demands!O$6*Demands!O60</f>
        <v>5.490602404018264E-3</v>
      </c>
      <c r="AU142" s="10">
        <f>Demands!P$6*Demands!P60</f>
        <v>5.4906024040182631E-3</v>
      </c>
      <c r="AV142" s="10">
        <f>Demands!Q$6*Demands!Q60</f>
        <v>2.7453012020091334E-2</v>
      </c>
      <c r="AW142" s="10">
        <f>Demands!R$6*Demands!R60</f>
        <v>7.0593459480234851E-3</v>
      </c>
      <c r="AX142" s="10">
        <f>Demands!S$6*Demands!S60</f>
        <v>1.0589018922035223E-2</v>
      </c>
      <c r="AY142" s="10">
        <f>Demands!T$6*Demands!T60</f>
        <v>3.921858860013048E-3</v>
      </c>
      <c r="AZ142" s="10">
        <f>Demands!U$6*Demands!U60</f>
        <v>4.3140447460143514E-3</v>
      </c>
      <c r="BA142" s="10">
        <f>Demands!V$6*Demands!V60</f>
        <v>1.4903063668049584E-2</v>
      </c>
      <c r="BB142" s="10">
        <f>Demands!W$6*Demands!W60</f>
        <v>1.1765576580039137E-3</v>
      </c>
      <c r="BC142" s="10">
        <f>Demands!X$6*Demands!X60</f>
        <v>4.3140447460143514E-3</v>
      </c>
      <c r="BD142" s="10">
        <f>Demands!Y$6*Demands!Y60</f>
        <v>1.9609294300065236E-3</v>
      </c>
      <c r="BE142" s="10">
        <f>Demands!Z$6*Demands!Z60</f>
        <v>2.3531153160078278E-3</v>
      </c>
      <c r="BF142" s="10">
        <f>Demands!AA$6*Demands!AA60</f>
        <v>2.7453012020091324E-3</v>
      </c>
      <c r="BG142" s="10">
        <f>Demands!AB$6*Demands!AB60</f>
        <v>5.8827882900195734E-3</v>
      </c>
      <c r="BH142" s="10">
        <f>Demands!AC$6*Demands!AC60</f>
        <v>1.1765576580039139E-3</v>
      </c>
    </row>
    <row r="143" spans="1:60" s="459" customFormat="1">
      <c r="A143" s="103" t="str">
        <f>Commodities!K40</f>
        <v>T-OTH_CON00</v>
      </c>
      <c r="B143" s="1" t="str">
        <f>Commodities!B19</f>
        <v>TRADSB</v>
      </c>
      <c r="C143" s="711" t="s">
        <v>1018</v>
      </c>
      <c r="D143" s="762">
        <f>('EB2018'!T55+(0.5*'EB2018'!AG55))/'EB2018'!AM55</f>
        <v>0.65951840599625633</v>
      </c>
      <c r="E143" s="763">
        <f>D143</f>
        <v>0.65951840599625633</v>
      </c>
      <c r="F143" s="763">
        <f t="shared" ref="F143:AD143" si="113">E143</f>
        <v>0.65951840599625633</v>
      </c>
      <c r="G143" s="763">
        <f t="shared" si="113"/>
        <v>0.65951840599625633</v>
      </c>
      <c r="H143" s="763">
        <f t="shared" si="113"/>
        <v>0.65951840599625633</v>
      </c>
      <c r="I143" s="763">
        <f t="shared" si="113"/>
        <v>0.65951840599625633</v>
      </c>
      <c r="J143" s="763">
        <f t="shared" si="113"/>
        <v>0.65951840599625633</v>
      </c>
      <c r="K143" s="763">
        <f t="shared" si="113"/>
        <v>0.65951840599625633</v>
      </c>
      <c r="L143" s="763">
        <f t="shared" si="113"/>
        <v>0.65951840599625633</v>
      </c>
      <c r="M143" s="763">
        <f t="shared" si="113"/>
        <v>0.65951840599625633</v>
      </c>
      <c r="N143" s="763">
        <f t="shared" si="113"/>
        <v>0.65951840599625633</v>
      </c>
      <c r="O143" s="763">
        <f t="shared" si="113"/>
        <v>0.65951840599625633</v>
      </c>
      <c r="P143" s="763">
        <f t="shared" si="113"/>
        <v>0.65951840599625633</v>
      </c>
      <c r="Q143" s="763">
        <f t="shared" si="113"/>
        <v>0.65951840599625633</v>
      </c>
      <c r="R143" s="763">
        <f t="shared" si="113"/>
        <v>0.65951840599625633</v>
      </c>
      <c r="S143" s="763">
        <f t="shared" si="113"/>
        <v>0.65951840599625633</v>
      </c>
      <c r="T143" s="763">
        <f t="shared" si="113"/>
        <v>0.65951840599625633</v>
      </c>
      <c r="U143" s="763">
        <f t="shared" si="113"/>
        <v>0.65951840599625633</v>
      </c>
      <c r="V143" s="763">
        <f t="shared" si="113"/>
        <v>0.65951840599625633</v>
      </c>
      <c r="W143" s="763">
        <f t="shared" si="113"/>
        <v>0.65951840599625633</v>
      </c>
      <c r="X143" s="763">
        <f t="shared" si="113"/>
        <v>0.65951840599625633</v>
      </c>
      <c r="Y143" s="763">
        <f t="shared" si="113"/>
        <v>0.65951840599625633</v>
      </c>
      <c r="Z143" s="763">
        <f t="shared" si="113"/>
        <v>0.65951840599625633</v>
      </c>
      <c r="AA143" s="763">
        <f t="shared" si="113"/>
        <v>0.65951840599625633</v>
      </c>
      <c r="AB143" s="763">
        <f t="shared" si="113"/>
        <v>0.65951840599625633</v>
      </c>
      <c r="AC143" s="763">
        <f t="shared" si="113"/>
        <v>0.65951840599625633</v>
      </c>
      <c r="AD143" s="763">
        <f t="shared" si="113"/>
        <v>0.65951840599625633</v>
      </c>
      <c r="AG143" s="716" t="s">
        <v>589</v>
      </c>
      <c r="AH143" s="10">
        <f>Demands!C$6*Demands!C61</f>
        <v>4.4142152854397541</v>
      </c>
      <c r="AI143" s="10">
        <f>Demands!D$6*Demands!D61</f>
        <v>4.9016564417177909E-2</v>
      </c>
      <c r="AJ143" s="10">
        <f>Demands!E$6*Demands!E61</f>
        <v>1.5930383435582822</v>
      </c>
      <c r="AK143" s="10">
        <f>Demands!F$6*Demands!F61</f>
        <v>0.20832039877300618</v>
      </c>
      <c r="AL143" s="10">
        <f>Demands!G$6*Demands!G61</f>
        <v>0.13479555214723929</v>
      </c>
      <c r="AM143" s="10">
        <f>Demands!H$6*Demands!H61</f>
        <v>6.1270705521472416E-2</v>
      </c>
      <c r="AN143" s="10">
        <f>Demands!I$6*Demands!I61</f>
        <v>3.676242331288343E-2</v>
      </c>
      <c r="AO143" s="10">
        <f>Demands!J$6*Demands!J61</f>
        <v>9.8033128834355818E-2</v>
      </c>
      <c r="AP143" s="10">
        <f>Demands!K$6*Demands!K61</f>
        <v>0.13479555214723932</v>
      </c>
      <c r="AQ143" s="10">
        <f>Demands!L$6*Demands!L61</f>
        <v>8.5778987730061332E-2</v>
      </c>
      <c r="AR143" s="10">
        <f>Demands!M$6*Demands!M61</f>
        <v>6.1270705521472409E-2</v>
      </c>
      <c r="AS143" s="10">
        <f>Demands!N$6*Demands!N61</f>
        <v>0.12254141104294482</v>
      </c>
      <c r="AT143" s="10">
        <f>Demands!O$6*Demands!O61</f>
        <v>0.11028726993865035</v>
      </c>
      <c r="AU143" s="10">
        <f>Demands!P$6*Demands!P61</f>
        <v>8.5778987730061346E-2</v>
      </c>
      <c r="AV143" s="10">
        <f>Demands!Q$6*Demands!Q61</f>
        <v>0.35537009202454001</v>
      </c>
      <c r="AW143" s="10">
        <f>Demands!R$6*Demands!R61</f>
        <v>0.22057453987730066</v>
      </c>
      <c r="AX143" s="10">
        <f>Demands!S$6*Demands!S61</f>
        <v>0.13479555214723932</v>
      </c>
      <c r="AY143" s="10">
        <f>Demands!T$6*Demands!T61</f>
        <v>0.15930383435582821</v>
      </c>
      <c r="AZ143" s="10">
        <f>Demands!U$6*Demands!U61</f>
        <v>7.3524846625766874E-2</v>
      </c>
      <c r="BA143" s="10">
        <f>Demands!V$6*Demands!V61</f>
        <v>0.25733696319018406</v>
      </c>
      <c r="BB143" s="10">
        <f>Demands!W$6*Demands!W61</f>
        <v>2.4508282208588954E-2</v>
      </c>
      <c r="BC143" s="10">
        <f>Demands!X$6*Demands!X61</f>
        <v>0.15930383435582823</v>
      </c>
      <c r="BD143" s="10">
        <f>Demands!Y$6*Demands!Y61</f>
        <v>4.9016564417177909E-2</v>
      </c>
      <c r="BE143" s="10">
        <f>Demands!Z$6*Demands!Z61</f>
        <v>4.9016564417177909E-2</v>
      </c>
      <c r="BF143" s="10">
        <f>Demands!AA$6*Demands!AA61</f>
        <v>2.0488148960935398E-2</v>
      </c>
      <c r="BG143" s="10">
        <f>Demands!AB$6*Demands!AB61</f>
        <v>6.7446211413954163E-3</v>
      </c>
      <c r="BH143" s="10">
        <f>Demands!AC$6*Demands!AC61</f>
        <v>0.12254141104294482</v>
      </c>
    </row>
    <row r="144" spans="1:60" s="459" customFormat="1">
      <c r="A144" s="765" t="str">
        <f>Commodities!K40</f>
        <v>T-OTH_CON00</v>
      </c>
      <c r="B144" s="458" t="str">
        <f>Commodities!B18</f>
        <v>TRAGSE</v>
      </c>
      <c r="C144" s="129" t="s">
        <v>1019</v>
      </c>
      <c r="D144" s="801">
        <f>1-D143-D142</f>
        <v>0.29817283121360821</v>
      </c>
      <c r="E144" s="801">
        <f t="shared" ref="E144:AD144" si="114">1-E143-E142</f>
        <v>0.29817283121360821</v>
      </c>
      <c r="F144" s="801">
        <f t="shared" si="114"/>
        <v>0.29817283121360821</v>
      </c>
      <c r="G144" s="801">
        <f t="shared" si="114"/>
        <v>0.29817283121360821</v>
      </c>
      <c r="H144" s="801">
        <f t="shared" si="114"/>
        <v>0.29817283121360821</v>
      </c>
      <c r="I144" s="801">
        <f t="shared" si="114"/>
        <v>0.29817283121360821</v>
      </c>
      <c r="J144" s="801">
        <f t="shared" si="114"/>
        <v>0.29817283121360821</v>
      </c>
      <c r="K144" s="801">
        <f t="shared" si="114"/>
        <v>0.29817283121360821</v>
      </c>
      <c r="L144" s="801">
        <f t="shared" si="114"/>
        <v>0.29817283121360821</v>
      </c>
      <c r="M144" s="801">
        <f t="shared" si="114"/>
        <v>0.29817283121360821</v>
      </c>
      <c r="N144" s="801">
        <f t="shared" si="114"/>
        <v>0.29817283121360821</v>
      </c>
      <c r="O144" s="801">
        <f t="shared" si="114"/>
        <v>0.29817283121360821</v>
      </c>
      <c r="P144" s="801">
        <f t="shared" si="114"/>
        <v>0.29817283121360821</v>
      </c>
      <c r="Q144" s="801">
        <f t="shared" si="114"/>
        <v>0.29817283121360821</v>
      </c>
      <c r="R144" s="801">
        <f t="shared" si="114"/>
        <v>0.29817283121360821</v>
      </c>
      <c r="S144" s="801">
        <f t="shared" si="114"/>
        <v>0.29817283121360821</v>
      </c>
      <c r="T144" s="801">
        <f t="shared" si="114"/>
        <v>0.29817283121360821</v>
      </c>
      <c r="U144" s="801">
        <f t="shared" si="114"/>
        <v>0.29817283121360821</v>
      </c>
      <c r="V144" s="801">
        <f t="shared" si="114"/>
        <v>0.29817283121360821</v>
      </c>
      <c r="W144" s="801">
        <f t="shared" si="114"/>
        <v>0.29817283121360821</v>
      </c>
      <c r="X144" s="801">
        <f t="shared" si="114"/>
        <v>0.29817283121360821</v>
      </c>
      <c r="Y144" s="801">
        <f t="shared" si="114"/>
        <v>0.29817283121360821</v>
      </c>
      <c r="Z144" s="801">
        <f t="shared" si="114"/>
        <v>0.29817283121360821</v>
      </c>
      <c r="AA144" s="801">
        <f t="shared" si="114"/>
        <v>0.29817283121360821</v>
      </c>
      <c r="AB144" s="801">
        <f t="shared" si="114"/>
        <v>0.29817283121360821</v>
      </c>
      <c r="AC144" s="801">
        <f t="shared" si="114"/>
        <v>0.29817283121360821</v>
      </c>
      <c r="AD144" s="801">
        <f t="shared" si="114"/>
        <v>0.29817283121360821</v>
      </c>
      <c r="AE144" s="763"/>
      <c r="AG144" s="716" t="s">
        <v>576</v>
      </c>
      <c r="AH144" s="10">
        <f>Demands!C$6*Demands!C62</f>
        <v>0</v>
      </c>
      <c r="AI144" s="10">
        <f>Demands!D$6*Demands!D62</f>
        <v>0</v>
      </c>
      <c r="AJ144" s="10">
        <f>Demands!E$6*Demands!E62</f>
        <v>0</v>
      </c>
      <c r="AK144" s="10">
        <f>Demands!F$6*Demands!F62</f>
        <v>0</v>
      </c>
      <c r="AL144" s="10">
        <f>Demands!G$6*Demands!G62</f>
        <v>0</v>
      </c>
      <c r="AM144" s="10">
        <f>Demands!H$6*Demands!H62</f>
        <v>0</v>
      </c>
      <c r="AN144" s="10">
        <f>Demands!I$6*Demands!I62</f>
        <v>0</v>
      </c>
      <c r="AO144" s="10">
        <f>Demands!J$6*Demands!J62</f>
        <v>0</v>
      </c>
      <c r="AP144" s="10">
        <f>Demands!K$6*Demands!K62</f>
        <v>0</v>
      </c>
      <c r="AQ144" s="10">
        <f>Demands!L$6*Demands!L62</f>
        <v>0</v>
      </c>
      <c r="AR144" s="10">
        <f>Demands!M$6*Demands!M62</f>
        <v>0</v>
      </c>
      <c r="AS144" s="10">
        <f>Demands!N$6*Demands!N62</f>
        <v>0</v>
      </c>
      <c r="AT144" s="10">
        <f>Demands!O$6*Demands!O62</f>
        <v>0</v>
      </c>
      <c r="AU144" s="10">
        <f>Demands!P$6*Demands!P62</f>
        <v>0</v>
      </c>
      <c r="AV144" s="10">
        <f>Demands!Q$6*Demands!Q62</f>
        <v>0</v>
      </c>
      <c r="AW144" s="10">
        <f>Demands!R$6*Demands!R62</f>
        <v>0</v>
      </c>
      <c r="AX144" s="10">
        <f>Demands!S$6*Demands!S62</f>
        <v>0</v>
      </c>
      <c r="AY144" s="10">
        <f>Demands!T$6*Demands!T62</f>
        <v>0</v>
      </c>
      <c r="AZ144" s="10">
        <f>Demands!U$6*Demands!U62</f>
        <v>0</v>
      </c>
      <c r="BA144" s="10">
        <f>Demands!V$6*Demands!V62</f>
        <v>0</v>
      </c>
      <c r="BB144" s="10">
        <f>Demands!W$6*Demands!W62</f>
        <v>0</v>
      </c>
      <c r="BC144" s="10">
        <f>Demands!X$6*Demands!X62</f>
        <v>0</v>
      </c>
      <c r="BD144" s="10">
        <f>Demands!Y$6*Demands!Y62</f>
        <v>0</v>
      </c>
      <c r="BE144" s="10">
        <f>Demands!Z$6*Demands!Z62</f>
        <v>0</v>
      </c>
      <c r="BF144" s="10">
        <f>Demands!AA$6*Demands!AA62</f>
        <v>0</v>
      </c>
      <c r="BG144" s="10">
        <f>Demands!AB$6*Demands!AB62</f>
        <v>0</v>
      </c>
      <c r="BH144" s="10">
        <f>Demands!AC$6*Demands!AC62</f>
        <v>0</v>
      </c>
    </row>
    <row r="145" spans="1:60" s="459" customFormat="1">
      <c r="A145" s="103"/>
      <c r="B145" s="1"/>
      <c r="C145" s="711"/>
      <c r="D145" s="762"/>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c r="AA145" s="763"/>
      <c r="AB145" s="763"/>
      <c r="AC145" s="763"/>
      <c r="AD145" s="763"/>
      <c r="AF145" s="451"/>
      <c r="AG145" s="716" t="s">
        <v>367</v>
      </c>
      <c r="AH145" s="10">
        <f>Demands!C$6*Demands!C63</f>
        <v>2.2810830000000002</v>
      </c>
      <c r="AI145" s="10">
        <f>Demands!D$6*Demands!D63</f>
        <v>2.7272217367774999E-2</v>
      </c>
      <c r="AJ145" s="10">
        <f>Demands!E$6*Demands!E63</f>
        <v>0.64542730837539553</v>
      </c>
      <c r="AK145" s="10">
        <f>Demands!F$6*Demands!F63</f>
        <v>0.10658640928123742</v>
      </c>
      <c r="AL145" s="10">
        <f>Demands!G$6*Demands!G63</f>
        <v>4.75352468530712E-2</v>
      </c>
      <c r="AM145" s="10">
        <f>Demands!H$6*Demands!H63</f>
        <v>4.0572525019293884E-2</v>
      </c>
      <c r="AN145" s="10">
        <f>Demands!I$6*Demands!I63</f>
        <v>1.9579451634811139E-2</v>
      </c>
      <c r="AO145" s="10">
        <f>Demands!J$6*Demands!J63</f>
        <v>6.1739486812834851E-2</v>
      </c>
      <c r="AP145" s="10">
        <f>Demands!K$6*Demands!K63</f>
        <v>9.3432206215841834E-2</v>
      </c>
      <c r="AQ145" s="10">
        <f>Demands!L$6*Demands!L63</f>
        <v>3.7345769307403694E-2</v>
      </c>
      <c r="AR145" s="10">
        <f>Demands!M$6*Demands!M63</f>
        <v>4.2523620033327249E-2</v>
      </c>
      <c r="AS145" s="10">
        <f>Demands!N$6*Demands!N63</f>
        <v>7.1721543749350261E-2</v>
      </c>
      <c r="AT145" s="10">
        <f>Demands!O$6*Demands!O63</f>
        <v>6.8226051405279181E-2</v>
      </c>
      <c r="AU145" s="10">
        <f>Demands!P$6*Demands!P63</f>
        <v>5.6917077407906316E-2</v>
      </c>
      <c r="AV145" s="10">
        <f>Demands!Q$6*Demands!Q63</f>
        <v>0.26005083429370618</v>
      </c>
      <c r="AW145" s="10">
        <f>Demands!R$6*Demands!R63</f>
        <v>7.0756295418076709E-2</v>
      </c>
      <c r="AX145" s="10">
        <f>Demands!S$6*Demands!S63</f>
        <v>9.3362746658504539E-2</v>
      </c>
      <c r="AY145" s="10">
        <f>Demands!T$6*Demands!T63</f>
        <v>7.6430901736819462E-2</v>
      </c>
      <c r="AZ145" s="10">
        <f>Demands!U$6*Demands!U63</f>
        <v>5.5651955401507566E-2</v>
      </c>
      <c r="BA145" s="10">
        <f>Demands!V$6*Demands!V63</f>
        <v>0.12361789274034431</v>
      </c>
      <c r="BB145" s="10">
        <f>Demands!W$6*Demands!W63</f>
        <v>1.5350083140114207E-2</v>
      </c>
      <c r="BC145" s="10">
        <f>Demands!X$6*Demands!X63</f>
        <v>6.2516954823582729E-2</v>
      </c>
      <c r="BD145" s="10">
        <f>Demands!Y$6*Demands!Y63</f>
        <v>3.0918604612268488E-2</v>
      </c>
      <c r="BE145" s="10">
        <f>Demands!Z$6*Demands!Z63</f>
        <v>3.1393324759311718E-2</v>
      </c>
      <c r="BF145" s="10">
        <f>Demands!AA$6*Demands!AA63</f>
        <v>3.6490698205009976E-2</v>
      </c>
      <c r="BG145" s="10">
        <f>Demands!AB$6*Demands!AB63</f>
        <v>7.6257971390621043E-2</v>
      </c>
      <c r="BH145" s="10">
        <f>Demands!AC$6*Demands!AC63</f>
        <v>2.940582335660501E-2</v>
      </c>
    </row>
    <row r="146" spans="1:60" s="459" customFormat="1" ht="21">
      <c r="B146" s="716"/>
      <c r="C146" s="23" t="s">
        <v>76</v>
      </c>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c r="AA146" s="763"/>
      <c r="AB146" s="763"/>
      <c r="AC146" s="763"/>
      <c r="AD146" s="763"/>
      <c r="AF146" s="451"/>
      <c r="AG146" s="774" t="s">
        <v>16</v>
      </c>
      <c r="AH146" s="780">
        <f t="shared" ref="AH146:BH146" si="115">SUM(AH140:AH145)</f>
        <v>27.131577542973641</v>
      </c>
      <c r="AI146" s="780">
        <f t="shared" si="115"/>
        <v>0.373897486374975</v>
      </c>
      <c r="AJ146" s="780">
        <f t="shared" si="115"/>
        <v>6.6607449340349936</v>
      </c>
      <c r="AK146" s="780">
        <f t="shared" si="115"/>
        <v>1.3457957919305059</v>
      </c>
      <c r="AL146" s="780">
        <f t="shared" si="115"/>
        <v>0.64805463087287241</v>
      </c>
      <c r="AM146" s="780">
        <f t="shared" si="115"/>
        <v>0.48149946813234051</v>
      </c>
      <c r="AN146" s="780">
        <f t="shared" si="115"/>
        <v>0.24792998248868528</v>
      </c>
      <c r="AO146" s="780">
        <f t="shared" si="115"/>
        <v>0.6736874578715788</v>
      </c>
      <c r="AP146" s="780">
        <f t="shared" si="115"/>
        <v>1.1456149031137848</v>
      </c>
      <c r="AQ146" s="780">
        <f t="shared" si="115"/>
        <v>0.49378011021821827</v>
      </c>
      <c r="AR146" s="780">
        <f t="shared" si="115"/>
        <v>0.54722173482691427</v>
      </c>
      <c r="AS146" s="780">
        <f t="shared" si="115"/>
        <v>0.97262646758485327</v>
      </c>
      <c r="AT146" s="780">
        <f t="shared" si="115"/>
        <v>0.83286416374941885</v>
      </c>
      <c r="AU146" s="780">
        <f t="shared" si="115"/>
        <v>0.74674766413249027</v>
      </c>
      <c r="AV146" s="780">
        <f t="shared" si="115"/>
        <v>3.0449422514531723</v>
      </c>
      <c r="AW146" s="780">
        <f t="shared" si="115"/>
        <v>1.0126394376791288</v>
      </c>
      <c r="AX146" s="780">
        <f t="shared" si="115"/>
        <v>1.1217784798314177</v>
      </c>
      <c r="AY146" s="780">
        <f t="shared" si="115"/>
        <v>1.0852427647392462</v>
      </c>
      <c r="AZ146" s="780">
        <f t="shared" si="115"/>
        <v>0.68342924139985861</v>
      </c>
      <c r="BA146" s="780">
        <f t="shared" si="115"/>
        <v>1.5527405180508134</v>
      </c>
      <c r="BB146" s="780">
        <f t="shared" si="115"/>
        <v>0.20031586047476846</v>
      </c>
      <c r="BC146" s="780">
        <f t="shared" si="115"/>
        <v>0.86102306186829447</v>
      </c>
      <c r="BD146" s="780">
        <f t="shared" si="115"/>
        <v>0.4513160972888865</v>
      </c>
      <c r="BE146" s="780">
        <f t="shared" si="115"/>
        <v>0.37617525772313692</v>
      </c>
      <c r="BF146" s="780">
        <f t="shared" si="115"/>
        <v>0.40231788404487251</v>
      </c>
      <c r="BG146" s="780">
        <f t="shared" si="115"/>
        <v>0.74109890371757148</v>
      </c>
      <c r="BH146" s="780">
        <f t="shared" si="115"/>
        <v>0.42809298937083867</v>
      </c>
    </row>
    <row r="147" spans="1:60" s="459" customFormat="1">
      <c r="A147" s="427" t="s">
        <v>70</v>
      </c>
      <c r="B147" s="427" t="s">
        <v>77</v>
      </c>
      <c r="C147" s="427" t="s">
        <v>65</v>
      </c>
      <c r="D147" s="427" t="s">
        <v>990</v>
      </c>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c r="AA147" s="763"/>
      <c r="AB147" s="763"/>
      <c r="AC147" s="763"/>
      <c r="AD147" s="763"/>
      <c r="AF147" s="451"/>
    </row>
    <row r="148" spans="1:60" s="459" customFormat="1">
      <c r="A148" s="459" t="str">
        <f>A136</f>
        <v>T-CAR-PHEV_GSL00</v>
      </c>
      <c r="B148" s="716" t="str">
        <f>B136</f>
        <v>TRAELC</v>
      </c>
      <c r="C148" s="459" t="s">
        <v>1018</v>
      </c>
      <c r="D148" s="716">
        <v>5</v>
      </c>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c r="AA148" s="763"/>
      <c r="AB148" s="763"/>
      <c r="AC148" s="763"/>
      <c r="AD148" s="763"/>
      <c r="AF148" s="451"/>
    </row>
    <row r="149" spans="1:60" s="716" customFormat="1">
      <c r="B149" s="716" t="str">
        <f>B148</f>
        <v>TRAELC</v>
      </c>
      <c r="C149" s="716" t="s">
        <v>1019</v>
      </c>
      <c r="D149" s="716">
        <v>5</v>
      </c>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c r="AA149" s="763"/>
      <c r="AB149" s="763"/>
      <c r="AC149" s="763"/>
      <c r="AD149" s="763"/>
      <c r="AF149" s="451"/>
      <c r="AG149" s="459"/>
      <c r="AH149" s="459"/>
      <c r="AI149" s="459"/>
      <c r="AJ149" s="459"/>
      <c r="AK149" s="459"/>
      <c r="AL149" s="459"/>
      <c r="AM149" s="459"/>
      <c r="AN149" s="459"/>
      <c r="AO149" s="459"/>
      <c r="AP149" s="459"/>
      <c r="AQ149" s="459"/>
      <c r="AR149" s="459"/>
      <c r="AS149" s="459"/>
      <c r="AT149" s="459"/>
      <c r="AU149" s="459"/>
      <c r="AV149" s="459"/>
      <c r="AW149" s="459"/>
      <c r="AX149" s="459"/>
      <c r="AY149" s="459"/>
      <c r="AZ149" s="459"/>
      <c r="BA149" s="459"/>
      <c r="BB149" s="459"/>
      <c r="BC149" s="459"/>
      <c r="BD149" s="459"/>
      <c r="BE149" s="459"/>
      <c r="BF149" s="459"/>
      <c r="BG149" s="459"/>
      <c r="BH149" s="459"/>
    </row>
    <row r="150" spans="1:60" s="459" customFormat="1">
      <c r="A150" s="716" t="str">
        <f>A138</f>
        <v>T-CAR-PHEV_DST00</v>
      </c>
      <c r="B150" s="716" t="str">
        <f>B138</f>
        <v>TRAELC</v>
      </c>
      <c r="C150" s="716" t="s">
        <v>1018</v>
      </c>
      <c r="D150" s="716">
        <v>5</v>
      </c>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c r="AA150" s="763"/>
      <c r="AB150" s="763"/>
      <c r="AC150" s="763"/>
      <c r="AD150" s="763"/>
      <c r="AF150" s="451"/>
      <c r="AG150" s="716" t="s">
        <v>1100</v>
      </c>
      <c r="AH150" s="716"/>
      <c r="AI150" s="716"/>
      <c r="AJ150" s="716"/>
      <c r="AK150" s="716"/>
      <c r="AL150" s="716"/>
      <c r="AM150" s="716"/>
      <c r="AN150" s="716"/>
      <c r="AO150" s="716"/>
      <c r="AP150" s="716"/>
      <c r="AQ150" s="716"/>
      <c r="AR150" s="716"/>
      <c r="AS150" s="716"/>
      <c r="AT150" s="716"/>
      <c r="AU150" s="716"/>
      <c r="AV150" s="716"/>
      <c r="AW150" s="716"/>
      <c r="AX150" s="716"/>
      <c r="AY150" s="716"/>
      <c r="AZ150" s="716"/>
      <c r="BA150" s="716"/>
      <c r="BB150" s="716"/>
      <c r="BC150" s="716"/>
      <c r="BD150" s="716"/>
      <c r="BE150" s="716"/>
      <c r="BF150" s="716"/>
      <c r="BG150" s="716"/>
      <c r="BH150" s="716"/>
    </row>
    <row r="151" spans="1:60" s="716" customFormat="1">
      <c r="B151" s="716" t="str">
        <f>B150</f>
        <v>TRAELC</v>
      </c>
      <c r="C151" s="716" t="s">
        <v>1019</v>
      </c>
      <c r="D151" s="716">
        <v>5</v>
      </c>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c r="AA151" s="763"/>
      <c r="AB151" s="763"/>
      <c r="AC151" s="763"/>
      <c r="AD151" s="763"/>
      <c r="AF151" s="451"/>
      <c r="AG151" s="718" t="s">
        <v>360</v>
      </c>
      <c r="AH151" s="718" t="str">
        <f>AH139</f>
        <v>IE</v>
      </c>
      <c r="AI151" s="718" t="str">
        <f t="shared" ref="AI151:BH151" si="116">AI139</f>
        <v>IE-CW</v>
      </c>
      <c r="AJ151" s="718" t="str">
        <f t="shared" si="116"/>
        <v>IE-D</v>
      </c>
      <c r="AK151" s="718" t="str">
        <f t="shared" si="116"/>
        <v>IE-KE</v>
      </c>
      <c r="AL151" s="718" t="str">
        <f t="shared" si="116"/>
        <v>IE-KK</v>
      </c>
      <c r="AM151" s="718" t="str">
        <f t="shared" si="116"/>
        <v>IE-LS</v>
      </c>
      <c r="AN151" s="718" t="str">
        <f t="shared" si="116"/>
        <v>IE-LD</v>
      </c>
      <c r="AO151" s="718" t="str">
        <f t="shared" si="116"/>
        <v>IE-LH</v>
      </c>
      <c r="AP151" s="718" t="str">
        <f t="shared" si="116"/>
        <v>IE-MH</v>
      </c>
      <c r="AQ151" s="718" t="str">
        <f t="shared" si="116"/>
        <v>IE-OY</v>
      </c>
      <c r="AR151" s="718" t="str">
        <f t="shared" si="116"/>
        <v>IE-WH</v>
      </c>
      <c r="AS151" s="718" t="str">
        <f t="shared" si="116"/>
        <v>IE-WX</v>
      </c>
      <c r="AT151" s="718" t="str">
        <f t="shared" si="116"/>
        <v>IE-WW</v>
      </c>
      <c r="AU151" s="718" t="str">
        <f t="shared" si="116"/>
        <v>IE-CE</v>
      </c>
      <c r="AV151" s="718" t="str">
        <f t="shared" si="116"/>
        <v>IE-CO</v>
      </c>
      <c r="AW151" s="718" t="str">
        <f t="shared" si="116"/>
        <v>IE-KY</v>
      </c>
      <c r="AX151" s="718" t="str">
        <f t="shared" si="116"/>
        <v>IE-LK</v>
      </c>
      <c r="AY151" s="718" t="str">
        <f t="shared" si="116"/>
        <v>IE-TA</v>
      </c>
      <c r="AZ151" s="718" t="str">
        <f t="shared" si="116"/>
        <v>IE-WD</v>
      </c>
      <c r="BA151" s="718" t="str">
        <f t="shared" si="116"/>
        <v>IE-G</v>
      </c>
      <c r="BB151" s="718" t="str">
        <f t="shared" si="116"/>
        <v>IE-LM</v>
      </c>
      <c r="BC151" s="718" t="str">
        <f t="shared" si="116"/>
        <v>IE-MO</v>
      </c>
      <c r="BD151" s="718" t="str">
        <f t="shared" si="116"/>
        <v>IE-RN</v>
      </c>
      <c r="BE151" s="718" t="str">
        <f t="shared" si="116"/>
        <v>IE-SO</v>
      </c>
      <c r="BF151" s="718" t="str">
        <f t="shared" si="116"/>
        <v>IE-CN</v>
      </c>
      <c r="BG151" s="718" t="str">
        <f t="shared" si="116"/>
        <v>IE-DL</v>
      </c>
      <c r="BH151" s="718" t="str">
        <f t="shared" si="116"/>
        <v>IE-MN</v>
      </c>
    </row>
    <row r="152" spans="1:60" s="459" customFormat="1">
      <c r="A152" s="716" t="str">
        <f>A140</f>
        <v>T-CAR-ICE_DF00</v>
      </c>
      <c r="B152" s="716" t="str">
        <f>B140</f>
        <v>TRACNG</v>
      </c>
      <c r="C152" s="716" t="s">
        <v>1018</v>
      </c>
      <c r="D152" s="716">
        <v>5</v>
      </c>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c r="AA152" s="763"/>
      <c r="AB152" s="763"/>
      <c r="AC152" s="763"/>
      <c r="AD152" s="763"/>
      <c r="AF152" s="451"/>
      <c r="AG152" s="716" t="s">
        <v>369</v>
      </c>
      <c r="AH152" s="10">
        <f>SUM(AI152:BH152)</f>
        <v>-2.1006370000001035E-4</v>
      </c>
      <c r="AI152" s="10">
        <f t="shared" ref="AI152:BH152" si="117">AI78-AI114-AI127-AI140</f>
        <v>5.3309409999999962E-4</v>
      </c>
      <c r="AJ152" s="10">
        <f t="shared" si="117"/>
        <v>1.4295247999999913E-3</v>
      </c>
      <c r="AK152" s="10">
        <f t="shared" si="117"/>
        <v>-9.4265600000000699E-5</v>
      </c>
      <c r="AL152" s="10">
        <f t="shared" si="117"/>
        <v>3.4379839999999946E-4</v>
      </c>
      <c r="AM152" s="10">
        <f t="shared" si="117"/>
        <v>4.2925299999999999E-4</v>
      </c>
      <c r="AN152" s="782">
        <f t="shared" si="117"/>
        <v>-4.7465330000000022E-4</v>
      </c>
      <c r="AO152" s="10">
        <f t="shared" si="117"/>
        <v>3.938989999999992E-4</v>
      </c>
      <c r="AP152" s="10">
        <f t="shared" si="117"/>
        <v>-4.5776719999999962E-4</v>
      </c>
      <c r="AQ152" s="10">
        <f t="shared" si="117"/>
        <v>-2.4544960000000022E-4</v>
      </c>
      <c r="AR152" s="10">
        <f t="shared" si="117"/>
        <v>-4.0213360000000069E-4</v>
      </c>
      <c r="AS152" s="10">
        <f t="shared" si="117"/>
        <v>1.5862000000001035E-6</v>
      </c>
      <c r="AT152" s="10">
        <f t="shared" si="117"/>
        <v>2.4956800000000036E-4</v>
      </c>
      <c r="AU152" s="10">
        <f t="shared" si="117"/>
        <v>-5.292935999999999E-4</v>
      </c>
      <c r="AV152" s="10">
        <f t="shared" si="117"/>
        <v>-3.7952639999999649E-4</v>
      </c>
      <c r="AW152" s="10">
        <f t="shared" si="117"/>
        <v>-1.6922399999999994E-4</v>
      </c>
      <c r="AX152" s="10">
        <f t="shared" si="117"/>
        <v>2.2330000000000527E-5</v>
      </c>
      <c r="AY152" s="10">
        <f t="shared" si="117"/>
        <v>-2.1567920000000037E-4</v>
      </c>
      <c r="AZ152" s="10">
        <f t="shared" si="117"/>
        <v>4.6625039999999979E-4</v>
      </c>
      <c r="BA152" s="10">
        <f t="shared" si="117"/>
        <v>-6.8136200000001694E-5</v>
      </c>
      <c r="BB152" s="10">
        <f t="shared" si="117"/>
        <v>-6.2040000000000012E-4</v>
      </c>
      <c r="BC152" s="10">
        <f t="shared" si="117"/>
        <v>-3.9117100000000027E-4</v>
      </c>
      <c r="BD152" s="10">
        <f t="shared" si="117"/>
        <v>-2.1443950000000014E-4</v>
      </c>
      <c r="BE152" s="10">
        <f t="shared" si="117"/>
        <v>6.512E-5</v>
      </c>
      <c r="BF152" s="10">
        <f t="shared" si="117"/>
        <v>2.3598079999999984E-4</v>
      </c>
      <c r="BG152" s="10">
        <f t="shared" si="117"/>
        <v>6.1212799999999998E-5</v>
      </c>
      <c r="BH152" s="10">
        <f t="shared" si="117"/>
        <v>-1.795420000000002E-4</v>
      </c>
    </row>
    <row r="153" spans="1:60" s="716" customFormat="1">
      <c r="B153" s="716" t="str">
        <f>B152</f>
        <v>TRACNG</v>
      </c>
      <c r="C153" s="716" t="s">
        <v>1019</v>
      </c>
      <c r="D153" s="716">
        <v>5</v>
      </c>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c r="AA153" s="763"/>
      <c r="AB153" s="763"/>
      <c r="AC153" s="763"/>
      <c r="AD153" s="763"/>
      <c r="AF153" s="451"/>
      <c r="AG153" s="716" t="s">
        <v>368</v>
      </c>
      <c r="AH153" s="10">
        <f t="shared" ref="AH153:AH157" si="118">SUM(AI153:BH153)</f>
        <v>0.12345540428824375</v>
      </c>
      <c r="AI153" s="10">
        <f t="shared" ref="AI153:BH153" si="119">AI79-AI115-AI128-AI141</f>
        <v>3.8998346384927496E-4</v>
      </c>
      <c r="AJ153" s="10">
        <f t="shared" si="119"/>
        <v>-0.27613494420699514</v>
      </c>
      <c r="AK153" s="10">
        <f t="shared" si="119"/>
        <v>-1.8982995394005719E-2</v>
      </c>
      <c r="AL153" s="10">
        <f t="shared" si="119"/>
        <v>3.5205306947200032E-2</v>
      </c>
      <c r="AM153" s="10">
        <f t="shared" si="119"/>
        <v>2.7368653688593092E-3</v>
      </c>
      <c r="AN153" s="10">
        <f t="shared" si="119"/>
        <v>2.2192535981343048E-2</v>
      </c>
      <c r="AO153" s="10">
        <f t="shared" si="119"/>
        <v>-1.0564990289604781E-2</v>
      </c>
      <c r="AP153" s="10">
        <f t="shared" si="119"/>
        <v>-1.8210606392831008E-2</v>
      </c>
      <c r="AQ153" s="10">
        <f t="shared" si="119"/>
        <v>-2.2999805227897907E-3</v>
      </c>
      <c r="AR153" s="10">
        <f t="shared" si="119"/>
        <v>3.993358396776836E-3</v>
      </c>
      <c r="AS153" s="10">
        <f t="shared" si="119"/>
        <v>-3.8043652971792019E-3</v>
      </c>
      <c r="AT153" s="10">
        <f t="shared" si="119"/>
        <v>-8.4899782482507069E-3</v>
      </c>
      <c r="AU153" s="10">
        <f t="shared" si="119"/>
        <v>4.7212466622714722E-4</v>
      </c>
      <c r="AV153" s="10">
        <f t="shared" si="119"/>
        <v>1.0604361489668701E-2</v>
      </c>
      <c r="AW153" s="10">
        <f t="shared" si="119"/>
        <v>2.7686395446515411E-2</v>
      </c>
      <c r="AX153" s="10">
        <f t="shared" si="119"/>
        <v>-1.9529207384409997E-2</v>
      </c>
      <c r="AY153" s="10">
        <f t="shared" si="119"/>
        <v>-6.7388834005140952E-3</v>
      </c>
      <c r="AZ153" s="10">
        <f t="shared" si="119"/>
        <v>3.0465651846757202E-3</v>
      </c>
      <c r="BA153" s="10">
        <f t="shared" si="119"/>
        <v>0.32724868525931194</v>
      </c>
      <c r="BB153" s="10">
        <f t="shared" si="119"/>
        <v>7.1862541035659921E-3</v>
      </c>
      <c r="BC153" s="10">
        <f t="shared" si="119"/>
        <v>8.3174957481649825E-3</v>
      </c>
      <c r="BD153" s="10">
        <f t="shared" si="119"/>
        <v>4.0246787026639863E-3</v>
      </c>
      <c r="BE153" s="10">
        <f t="shared" si="119"/>
        <v>8.8197873953682615E-4</v>
      </c>
      <c r="BF153" s="10">
        <f t="shared" si="119"/>
        <v>8.6282727963016281E-4</v>
      </c>
      <c r="BG153" s="10">
        <f t="shared" si="119"/>
        <v>1.5998362115630105E-3</v>
      </c>
      <c r="BH153" s="10">
        <f t="shared" si="119"/>
        <v>3.1762102435271833E-2</v>
      </c>
    </row>
    <row r="154" spans="1:60" s="459" customFormat="1">
      <c r="A154" s="1" t="str">
        <f>A142</f>
        <v>T-OTH_CON00</v>
      </c>
      <c r="B154" s="1" t="str">
        <f>B142</f>
        <v>TRACNG</v>
      </c>
      <c r="C154" s="1" t="s">
        <v>1019</v>
      </c>
      <c r="D154" s="1">
        <v>5</v>
      </c>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c r="AA154" s="763"/>
      <c r="AB154" s="763"/>
      <c r="AC154" s="763"/>
      <c r="AD154" s="763"/>
      <c r="AF154" s="451"/>
      <c r="AG154" s="716" t="s">
        <v>365</v>
      </c>
      <c r="AH154" s="10">
        <f t="shared" si="118"/>
        <v>2.7904121704018336E-3</v>
      </c>
      <c r="AI154" s="10">
        <f t="shared" ref="AI154:BH154" si="120">AI80-AI116-AI129-AI142</f>
        <v>1.1918590887485597E-3</v>
      </c>
      <c r="AJ154" s="10">
        <f t="shared" si="120"/>
        <v>-7.8285844604120136E-6</v>
      </c>
      <c r="AK154" s="10">
        <f t="shared" si="120"/>
        <v>-1.5969446932317943E-4</v>
      </c>
      <c r="AL154" s="10">
        <f t="shared" si="120"/>
        <v>-5.1810100130308782E-5</v>
      </c>
      <c r="AM154" s="10">
        <f t="shared" si="120"/>
        <v>5.7187608060896202E-4</v>
      </c>
      <c r="AN154" s="10">
        <f t="shared" si="120"/>
        <v>-8.1217647245308095E-5</v>
      </c>
      <c r="AO154" s="10">
        <f t="shared" si="120"/>
        <v>-7.558963058003753E-4</v>
      </c>
      <c r="AP154" s="10">
        <f t="shared" si="120"/>
        <v>6.6850769889666498E-4</v>
      </c>
      <c r="AQ154" s="10">
        <f t="shared" si="120"/>
        <v>4.5266286792323539E-4</v>
      </c>
      <c r="AR154" s="10">
        <f t="shared" si="120"/>
        <v>-3.3710209944540128E-4</v>
      </c>
      <c r="AS154" s="10">
        <f t="shared" si="120"/>
        <v>-9.0229247642055477E-4</v>
      </c>
      <c r="AT154" s="10">
        <f t="shared" si="120"/>
        <v>-3.4298659289144599E-4</v>
      </c>
      <c r="AU154" s="10">
        <f t="shared" si="120"/>
        <v>-5.9711793155221675E-5</v>
      </c>
      <c r="AV154" s="10">
        <f t="shared" si="120"/>
        <v>-1.4366429752186646E-4</v>
      </c>
      <c r="AW154" s="10">
        <f t="shared" si="120"/>
        <v>1.6534471696013752E-4</v>
      </c>
      <c r="AX154" s="10">
        <f t="shared" si="120"/>
        <v>-1.2589876711837696E-3</v>
      </c>
      <c r="AY154" s="10">
        <f t="shared" si="120"/>
        <v>3.478699466056721E-4</v>
      </c>
      <c r="AZ154" s="10">
        <f t="shared" si="120"/>
        <v>1.163479537572793E-3</v>
      </c>
      <c r="BA154" s="10">
        <f t="shared" si="120"/>
        <v>9.4865971851556229E-4</v>
      </c>
      <c r="BB154" s="10">
        <f t="shared" si="120"/>
        <v>-3.0857782315191792E-4</v>
      </c>
      <c r="BC154" s="10">
        <f t="shared" si="120"/>
        <v>1.7778212501445758E-4</v>
      </c>
      <c r="BD154" s="10">
        <f t="shared" si="120"/>
        <v>1.885589242438656E-4</v>
      </c>
      <c r="BE154" s="10">
        <f t="shared" si="120"/>
        <v>9.4877460340283062E-4</v>
      </c>
      <c r="BF154" s="10">
        <f t="shared" si="120"/>
        <v>3.0956105874546018E-4</v>
      </c>
      <c r="BG154" s="10">
        <f t="shared" si="120"/>
        <v>-2.9761153845911641E-4</v>
      </c>
      <c r="BH154" s="10">
        <f t="shared" si="120"/>
        <v>3.6285720235251047E-4</v>
      </c>
    </row>
    <row r="155" spans="1:60" s="459" customFormat="1">
      <c r="A155" s="1" t="str">
        <f>A143</f>
        <v>T-OTH_CON00</v>
      </c>
      <c r="B155" s="1" t="str">
        <f>B143</f>
        <v>TRADSB</v>
      </c>
      <c r="C155" s="1" t="s">
        <v>1018</v>
      </c>
      <c r="D155" s="1">
        <v>5</v>
      </c>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c r="AA155" s="763"/>
      <c r="AB155" s="763"/>
      <c r="AC155" s="763"/>
      <c r="AD155" s="763"/>
      <c r="AF155" s="451"/>
      <c r="AG155" s="716" t="s">
        <v>589</v>
      </c>
      <c r="AH155" s="10">
        <f>SUM(AI155:BH155)</f>
        <v>0.70332718656916882</v>
      </c>
      <c r="AI155" s="10">
        <f t="shared" ref="AI155:BH155" si="121">AI81-AI117-AI130-AI143</f>
        <v>9.0883109999999878E-3</v>
      </c>
      <c r="AJ155" s="10">
        <f t="shared" si="121"/>
        <v>-6.6439314999999777E-3</v>
      </c>
      <c r="AK155" s="10">
        <f t="shared" si="121"/>
        <v>-1.0555042250000007E-2</v>
      </c>
      <c r="AL155" s="10">
        <f t="shared" si="121"/>
        <v>-7.3324300000000286E-3</v>
      </c>
      <c r="AM155" s="10">
        <f t="shared" si="121"/>
        <v>1.3124417499999999E-2</v>
      </c>
      <c r="AN155" s="10">
        <f t="shared" si="121"/>
        <v>2.6711812500000084E-3</v>
      </c>
      <c r="AO155" s="10">
        <f t="shared" si="121"/>
        <v>1.092670500000005E-2</v>
      </c>
      <c r="AP155" s="10">
        <f t="shared" si="121"/>
        <v>1.3492019999999938E-3</v>
      </c>
      <c r="AQ155" s="10">
        <f t="shared" si="121"/>
        <v>-7.8562022499999995E-3</v>
      </c>
      <c r="AR155" s="10">
        <f t="shared" si="121"/>
        <v>4.7654800000000094E-3</v>
      </c>
      <c r="AS155" s="10">
        <f t="shared" si="121"/>
        <v>-5.3872705000000271E-3</v>
      </c>
      <c r="AT155" s="10">
        <f t="shared" si="121"/>
        <v>-4.100934250000049E-3</v>
      </c>
      <c r="AU155" s="10">
        <f t="shared" si="121"/>
        <v>9.7362614999999819E-3</v>
      </c>
      <c r="AV155" s="10">
        <f t="shared" si="121"/>
        <v>1.3690945000000565E-3</v>
      </c>
      <c r="AW155" s="10">
        <f t="shared" si="121"/>
        <v>9.3792320000000151E-3</v>
      </c>
      <c r="AX155" s="10">
        <f t="shared" si="121"/>
        <v>-2.9164584999999965E-3</v>
      </c>
      <c r="AY155" s="10">
        <f t="shared" si="121"/>
        <v>-8.6951479999999581E-3</v>
      </c>
      <c r="AZ155" s="10">
        <f t="shared" si="121"/>
        <v>-1.2026351500000004E-2</v>
      </c>
      <c r="BA155" s="10">
        <f t="shared" si="121"/>
        <v>-2.2233820000000515E-3</v>
      </c>
      <c r="BB155" s="10">
        <f t="shared" si="121"/>
        <v>5.3360950000000025E-3</v>
      </c>
      <c r="BC155" s="10">
        <f t="shared" si="121"/>
        <v>-5.8649630000000008E-3</v>
      </c>
      <c r="BD155" s="10">
        <f t="shared" si="121"/>
        <v>-3.2972500000000987E-4</v>
      </c>
      <c r="BE155" s="10">
        <f t="shared" si="121"/>
        <v>4.1979170000000163E-3</v>
      </c>
      <c r="BF155" s="10">
        <f t="shared" si="121"/>
        <v>0.16102028382015729</v>
      </c>
      <c r="BG155" s="10">
        <f t="shared" si="121"/>
        <v>0.54423985424901145</v>
      </c>
      <c r="BH155" s="10">
        <f t="shared" si="121"/>
        <v>5.499050000003225E-5</v>
      </c>
    </row>
    <row r="156" spans="1:60" s="459" customFormat="1">
      <c r="A156" s="765" t="str">
        <f>A155</f>
        <v>T-OTH_CON00</v>
      </c>
      <c r="B156" s="458" t="str">
        <f>B144</f>
        <v>TRAGSE</v>
      </c>
      <c r="C156" s="129" t="s">
        <v>1019</v>
      </c>
      <c r="D156" s="800">
        <v>5</v>
      </c>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c r="AA156" s="763"/>
      <c r="AB156" s="763"/>
      <c r="AC156" s="763"/>
      <c r="AD156" s="763"/>
      <c r="AF156" s="451"/>
      <c r="AG156" s="716" t="s">
        <v>576</v>
      </c>
      <c r="AH156" s="782">
        <f t="shared" si="118"/>
        <v>-2.8086984416308969E-6</v>
      </c>
      <c r="AI156" s="781">
        <f t="shared" ref="AI156:BH156" si="122">AI82-AI118-AI131-AI144</f>
        <v>0</v>
      </c>
      <c r="AJ156" s="781">
        <f t="shared" si="122"/>
        <v>-2.8086984416308969E-6</v>
      </c>
      <c r="AK156" s="781">
        <f t="shared" si="122"/>
        <v>0</v>
      </c>
      <c r="AL156" s="781">
        <f t="shared" si="122"/>
        <v>0</v>
      </c>
      <c r="AM156" s="781">
        <f t="shared" si="122"/>
        <v>0</v>
      </c>
      <c r="AN156" s="781">
        <f t="shared" si="122"/>
        <v>0</v>
      </c>
      <c r="AO156" s="781">
        <f t="shared" si="122"/>
        <v>0</v>
      </c>
      <c r="AP156" s="781">
        <f t="shared" si="122"/>
        <v>0</v>
      </c>
      <c r="AQ156" s="781">
        <f t="shared" si="122"/>
        <v>0</v>
      </c>
      <c r="AR156" s="781">
        <f t="shared" si="122"/>
        <v>0</v>
      </c>
      <c r="AS156" s="781">
        <f t="shared" si="122"/>
        <v>0</v>
      </c>
      <c r="AT156" s="781">
        <f t="shared" si="122"/>
        <v>0</v>
      </c>
      <c r="AU156" s="781">
        <f t="shared" si="122"/>
        <v>0</v>
      </c>
      <c r="AV156" s="781">
        <f t="shared" si="122"/>
        <v>0</v>
      </c>
      <c r="AW156" s="781">
        <f t="shared" si="122"/>
        <v>0</v>
      </c>
      <c r="AX156" s="781">
        <f t="shared" si="122"/>
        <v>0</v>
      </c>
      <c r="AY156" s="781">
        <f t="shared" si="122"/>
        <v>0</v>
      </c>
      <c r="AZ156" s="781">
        <f t="shared" si="122"/>
        <v>0</v>
      </c>
      <c r="BA156" s="781">
        <f t="shared" si="122"/>
        <v>0</v>
      </c>
      <c r="BB156" s="781">
        <f t="shared" si="122"/>
        <v>0</v>
      </c>
      <c r="BC156" s="781">
        <f t="shared" si="122"/>
        <v>0</v>
      </c>
      <c r="BD156" s="781">
        <f t="shared" si="122"/>
        <v>0</v>
      </c>
      <c r="BE156" s="781">
        <f t="shared" si="122"/>
        <v>0</v>
      </c>
      <c r="BF156" s="781">
        <f t="shared" si="122"/>
        <v>0</v>
      </c>
      <c r="BG156" s="781">
        <f t="shared" si="122"/>
        <v>0</v>
      </c>
      <c r="BH156" s="781">
        <f t="shared" si="122"/>
        <v>0</v>
      </c>
    </row>
    <row r="157" spans="1:60" s="459" customFormat="1">
      <c r="A157" s="103"/>
      <c r="B157" s="1"/>
      <c r="C157" s="711"/>
      <c r="D157" s="762"/>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c r="AA157" s="763"/>
      <c r="AB157" s="763"/>
      <c r="AC157" s="763"/>
      <c r="AD157" s="763"/>
      <c r="AF157" s="451"/>
      <c r="AG157" s="716" t="s">
        <v>367</v>
      </c>
      <c r="AH157" s="10">
        <f t="shared" si="118"/>
        <v>-0.36142894386926988</v>
      </c>
      <c r="AI157" s="10">
        <f t="shared" ref="AI157:BH157" si="123">AI83-AI119-AI132-AI145</f>
        <v>-1.2008036635091493E-2</v>
      </c>
      <c r="AJ157" s="10">
        <f t="shared" si="123"/>
        <v>0.35875501486640993</v>
      </c>
      <c r="AK157" s="10">
        <f t="shared" si="123"/>
        <v>-4.6930306039738599E-2</v>
      </c>
      <c r="AL157" s="10">
        <f t="shared" si="123"/>
        <v>-2.0929907457552865E-2</v>
      </c>
      <c r="AM157" s="10">
        <f t="shared" si="123"/>
        <v>-1.7864200781324117E-2</v>
      </c>
      <c r="AN157" s="10">
        <f t="shared" si="123"/>
        <v>-8.6208895065357748E-3</v>
      </c>
      <c r="AO157" s="10">
        <f t="shared" si="123"/>
        <v>-2.7184075628418687E-2</v>
      </c>
      <c r="AP157" s="10">
        <f t="shared" si="123"/>
        <v>-4.1138472167757775E-2</v>
      </c>
      <c r="AQ157" s="10">
        <f t="shared" si="123"/>
        <v>-1.6443450855553439E-2</v>
      </c>
      <c r="AR157" s="10">
        <f t="shared" si="123"/>
        <v>-1.8723273591250478E-2</v>
      </c>
      <c r="AS157" s="10">
        <f t="shared" si="123"/>
        <v>-3.1579204332873756E-2</v>
      </c>
      <c r="AT157" s="10">
        <f t="shared" si="123"/>
        <v>-3.0040128886266178E-2</v>
      </c>
      <c r="AU157" s="10">
        <f t="shared" si="123"/>
        <v>-2.5060754740245661E-2</v>
      </c>
      <c r="AV157" s="10">
        <f t="shared" si="123"/>
        <v>-0.11450113876236298</v>
      </c>
      <c r="AW157" s="10">
        <f t="shared" si="123"/>
        <v>-3.1154202684948007E-2</v>
      </c>
      <c r="AX157" s="10">
        <f t="shared" si="123"/>
        <v>-4.110788892262169E-2</v>
      </c>
      <c r="AY157" s="10">
        <f t="shared" si="123"/>
        <v>-3.3652748353101128E-2</v>
      </c>
      <c r="AZ157" s="10">
        <f t="shared" si="123"/>
        <v>-2.4503717840904757E-2</v>
      </c>
      <c r="BA157" s="10">
        <f t="shared" si="123"/>
        <v>-5.442931774710956E-2</v>
      </c>
      <c r="BB157" s="10">
        <f t="shared" si="123"/>
        <v>-6.7586862561454311E-3</v>
      </c>
      <c r="BC157" s="10">
        <f t="shared" si="123"/>
        <v>-2.7526397055010983E-2</v>
      </c>
      <c r="BD157" s="10">
        <f t="shared" si="123"/>
        <v>-1.3613551545270587E-2</v>
      </c>
      <c r="BE157" s="10">
        <f t="shared" si="123"/>
        <v>-1.3822572206855916E-2</v>
      </c>
      <c r="BF157" s="10">
        <f t="shared" si="123"/>
        <v>-1.606696056198147E-2</v>
      </c>
      <c r="BG157" s="10">
        <f t="shared" si="123"/>
        <v>-3.3576606618658834E-2</v>
      </c>
      <c r="BH157" s="10">
        <f t="shared" si="123"/>
        <v>-1.2947469558099604E-2</v>
      </c>
    </row>
    <row r="158" spans="1:60" s="459" customFormat="1">
      <c r="A158" s="103"/>
      <c r="B158" s="1"/>
      <c r="C158" s="711"/>
      <c r="D158" s="762"/>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c r="AA158" s="763"/>
      <c r="AB158" s="763"/>
      <c r="AC158" s="763"/>
      <c r="AD158" s="763"/>
      <c r="AF158" s="451"/>
      <c r="AG158" s="774" t="s">
        <v>16</v>
      </c>
      <c r="AH158" s="783">
        <f t="shared" ref="AH158:BH158" si="124">SUM(AH152:AH157)</f>
        <v>0.46793118676010287</v>
      </c>
      <c r="AI158" s="783">
        <f t="shared" si="124"/>
        <v>-8.0478898249367048E-4</v>
      </c>
      <c r="AJ158" s="783">
        <f t="shared" si="124"/>
        <v>7.7395026676512768E-2</v>
      </c>
      <c r="AK158" s="783">
        <f t="shared" si="124"/>
        <v>-7.6722303753067503E-2</v>
      </c>
      <c r="AL158" s="783">
        <f t="shared" si="124"/>
        <v>7.2349577895168306E-3</v>
      </c>
      <c r="AM158" s="783">
        <f t="shared" si="124"/>
        <v>-1.0017888318558481E-3</v>
      </c>
      <c r="AN158" s="783">
        <f t="shared" si="124"/>
        <v>1.5686956777561975E-2</v>
      </c>
      <c r="AO158" s="783">
        <f t="shared" si="124"/>
        <v>-2.7184358223823792E-2</v>
      </c>
      <c r="AP158" s="783">
        <f t="shared" si="124"/>
        <v>-5.7789136061692128E-2</v>
      </c>
      <c r="AQ158" s="783">
        <f t="shared" si="124"/>
        <v>-2.6392420360419992E-2</v>
      </c>
      <c r="AR158" s="783">
        <f t="shared" si="124"/>
        <v>-1.0703670893919034E-2</v>
      </c>
      <c r="AS158" s="783">
        <f t="shared" si="124"/>
        <v>-4.1671546406473539E-2</v>
      </c>
      <c r="AT158" s="783">
        <f t="shared" si="124"/>
        <v>-4.2724459977408383E-2</v>
      </c>
      <c r="AU158" s="783">
        <f t="shared" si="124"/>
        <v>-1.5441373967173754E-2</v>
      </c>
      <c r="AV158" s="783">
        <f t="shared" si="124"/>
        <v>-0.10305087347021609</v>
      </c>
      <c r="AW158" s="783">
        <f t="shared" si="124"/>
        <v>5.907545478527558E-3</v>
      </c>
      <c r="AX158" s="783">
        <f t="shared" si="124"/>
        <v>-6.4790212478215453E-2</v>
      </c>
      <c r="AY158" s="783">
        <f t="shared" si="124"/>
        <v>-4.8954589007009511E-2</v>
      </c>
      <c r="AZ158" s="783">
        <f t="shared" si="124"/>
        <v>-3.1853774218656247E-2</v>
      </c>
      <c r="BA158" s="783">
        <f t="shared" si="124"/>
        <v>0.27147650903071785</v>
      </c>
      <c r="BB158" s="783">
        <f t="shared" si="124"/>
        <v>4.8346850242686444E-3</v>
      </c>
      <c r="BC158" s="783">
        <f t="shared" si="124"/>
        <v>-2.5287253181831545E-2</v>
      </c>
      <c r="BD158" s="783">
        <f t="shared" si="124"/>
        <v>-9.9444784183627451E-3</v>
      </c>
      <c r="BE158" s="783">
        <f t="shared" si="124"/>
        <v>-7.7287818639162429E-3</v>
      </c>
      <c r="BF158" s="783">
        <f t="shared" si="124"/>
        <v>0.14636169239655142</v>
      </c>
      <c r="BG158" s="783">
        <f t="shared" si="124"/>
        <v>0.5120266851034565</v>
      </c>
      <c r="BH158" s="783">
        <f t="shared" si="124"/>
        <v>1.9052938579524774E-2</v>
      </c>
    </row>
    <row r="159" spans="1:60" s="459" customFormat="1">
      <c r="A159" s="103"/>
      <c r="B159" s="1"/>
      <c r="C159" s="711"/>
      <c r="D159" s="762"/>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c r="AA159" s="763"/>
      <c r="AB159" s="763"/>
      <c r="AC159" s="763"/>
      <c r="AD159" s="763"/>
      <c r="AF159" s="451"/>
      <c r="AG159" s="451"/>
    </row>
    <row r="160" spans="1:60" s="459" customFormat="1">
      <c r="A160" s="1"/>
      <c r="B160" s="1"/>
      <c r="C160" s="711"/>
      <c r="D160" s="762"/>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c r="AA160" s="764"/>
      <c r="AB160" s="764"/>
      <c r="AC160" s="764"/>
      <c r="AD160" s="764"/>
      <c r="AF160" s="451"/>
      <c r="AG160" s="451"/>
      <c r="AH160" s="716"/>
      <c r="AI160" s="716"/>
      <c r="AJ160" s="716"/>
      <c r="AK160" s="716"/>
      <c r="AL160" s="716"/>
      <c r="AM160" s="716"/>
      <c r="AN160" s="716"/>
      <c r="AO160" s="716"/>
      <c r="AP160" s="716"/>
      <c r="AQ160" s="716"/>
      <c r="AR160" s="716"/>
      <c r="AS160" s="716"/>
      <c r="AT160" s="716"/>
      <c r="AU160" s="716"/>
      <c r="AV160" s="716"/>
      <c r="AW160" s="716"/>
      <c r="AX160" s="716"/>
      <c r="AY160" s="716"/>
      <c r="AZ160" s="716"/>
      <c r="BA160" s="716"/>
      <c r="BB160" s="716"/>
      <c r="BC160" s="716"/>
      <c r="BD160" s="716"/>
      <c r="BE160" s="716"/>
      <c r="BF160" s="716"/>
      <c r="BG160" s="716"/>
      <c r="BH160" s="716"/>
    </row>
    <row r="161" spans="1:60" s="459" customFormat="1">
      <c r="A161" s="712"/>
      <c r="B161" s="1"/>
      <c r="C161" s="1"/>
      <c r="D161" s="40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c r="AA161" s="402"/>
      <c r="AB161" s="402"/>
      <c r="AC161" s="402"/>
      <c r="AD161" s="402"/>
      <c r="AF161" s="451"/>
      <c r="AG161" s="716" t="s">
        <v>1101</v>
      </c>
      <c r="AH161" s="716"/>
      <c r="AI161" s="716"/>
      <c r="AJ161" s="716"/>
      <c r="AK161" s="716"/>
      <c r="AL161" s="716"/>
      <c r="AM161" s="716"/>
      <c r="AN161" s="716"/>
      <c r="AO161" s="716"/>
      <c r="AP161" s="716"/>
      <c r="AQ161" s="716"/>
      <c r="AR161" s="716"/>
      <c r="AS161" s="716"/>
      <c r="AT161" s="716"/>
      <c r="AU161" s="716"/>
      <c r="AV161" s="716"/>
      <c r="AW161" s="716"/>
      <c r="AX161" s="716"/>
      <c r="AY161" s="716"/>
      <c r="AZ161" s="716"/>
      <c r="BA161" s="716"/>
      <c r="BB161" s="716"/>
      <c r="BC161" s="716"/>
      <c r="BD161" s="716"/>
      <c r="BE161" s="716"/>
      <c r="BF161" s="716"/>
      <c r="BG161" s="716"/>
      <c r="BH161" s="716"/>
    </row>
    <row r="162" spans="1:60" s="459" customFormat="1">
      <c r="A162" s="461"/>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F162" s="451"/>
      <c r="AG162" s="718" t="s">
        <v>360</v>
      </c>
      <c r="AH162" s="718" t="str">
        <f>AH151</f>
        <v>IE</v>
      </c>
      <c r="AI162" s="718" t="str">
        <f t="shared" ref="AI162:BH162" si="125">AI151</f>
        <v>IE-CW</v>
      </c>
      <c r="AJ162" s="718" t="str">
        <f t="shared" si="125"/>
        <v>IE-D</v>
      </c>
      <c r="AK162" s="718" t="str">
        <f t="shared" si="125"/>
        <v>IE-KE</v>
      </c>
      <c r="AL162" s="718" t="str">
        <f t="shared" si="125"/>
        <v>IE-KK</v>
      </c>
      <c r="AM162" s="718" t="str">
        <f t="shared" si="125"/>
        <v>IE-LS</v>
      </c>
      <c r="AN162" s="718" t="str">
        <f t="shared" si="125"/>
        <v>IE-LD</v>
      </c>
      <c r="AO162" s="718" t="str">
        <f t="shared" si="125"/>
        <v>IE-LH</v>
      </c>
      <c r="AP162" s="718" t="str">
        <f t="shared" si="125"/>
        <v>IE-MH</v>
      </c>
      <c r="AQ162" s="718" t="str">
        <f t="shared" si="125"/>
        <v>IE-OY</v>
      </c>
      <c r="AR162" s="718" t="str">
        <f t="shared" si="125"/>
        <v>IE-WH</v>
      </c>
      <c r="AS162" s="718" t="str">
        <f t="shared" si="125"/>
        <v>IE-WX</v>
      </c>
      <c r="AT162" s="718" t="str">
        <f t="shared" si="125"/>
        <v>IE-WW</v>
      </c>
      <c r="AU162" s="718" t="str">
        <f t="shared" si="125"/>
        <v>IE-CE</v>
      </c>
      <c r="AV162" s="718" t="str">
        <f t="shared" si="125"/>
        <v>IE-CO</v>
      </c>
      <c r="AW162" s="718" t="str">
        <f t="shared" si="125"/>
        <v>IE-KY</v>
      </c>
      <c r="AX162" s="718" t="str">
        <f t="shared" si="125"/>
        <v>IE-LK</v>
      </c>
      <c r="AY162" s="718" t="str">
        <f t="shared" si="125"/>
        <v>IE-TA</v>
      </c>
      <c r="AZ162" s="718" t="str">
        <f t="shared" si="125"/>
        <v>IE-WD</v>
      </c>
      <c r="BA162" s="718" t="str">
        <f t="shared" si="125"/>
        <v>IE-G</v>
      </c>
      <c r="BB162" s="718" t="str">
        <f t="shared" si="125"/>
        <v>IE-LM</v>
      </c>
      <c r="BC162" s="718" t="str">
        <f t="shared" si="125"/>
        <v>IE-MO</v>
      </c>
      <c r="BD162" s="718" t="str">
        <f t="shared" si="125"/>
        <v>IE-RN</v>
      </c>
      <c r="BE162" s="718" t="str">
        <f t="shared" si="125"/>
        <v>IE-SO</v>
      </c>
      <c r="BF162" s="718" t="str">
        <f t="shared" si="125"/>
        <v>IE-CN</v>
      </c>
      <c r="BG162" s="718" t="str">
        <f t="shared" si="125"/>
        <v>IE-DL</v>
      </c>
      <c r="BH162" s="718" t="str">
        <f t="shared" si="125"/>
        <v>IE-MN</v>
      </c>
    </row>
    <row r="163" spans="1:60" s="459" customFormat="1" ht="15.75">
      <c r="A163" s="401" t="s">
        <v>537</v>
      </c>
      <c r="B163"/>
      <c r="C163" s="398"/>
      <c r="D163" s="398"/>
      <c r="E163" s="398"/>
      <c r="F163" s="398"/>
      <c r="G163" s="398"/>
      <c r="H163" s="398"/>
      <c r="I163" s="398"/>
      <c r="J163" s="398"/>
      <c r="K163" s="398"/>
      <c r="L163" s="9"/>
      <c r="M163" s="9"/>
      <c r="N163" s="9"/>
      <c r="O163" s="9"/>
      <c r="P163" s="9"/>
      <c r="Q163" s="9"/>
      <c r="R163" s="9"/>
      <c r="S163" s="9"/>
      <c r="T163" s="9"/>
      <c r="U163" s="9"/>
      <c r="V163" s="9"/>
      <c r="W163" s="9"/>
      <c r="X163" s="9"/>
      <c r="Y163" s="9"/>
      <c r="Z163" s="9"/>
      <c r="AA163" s="9"/>
      <c r="AB163" s="9"/>
      <c r="AC163" s="9"/>
      <c r="AD163" s="9"/>
      <c r="AE163"/>
      <c r="AF163" s="451"/>
      <c r="AG163" s="716" t="s">
        <v>369</v>
      </c>
      <c r="AH163" s="5">
        <f>1000*(AH114+AH127+AH140)/(E50*AF!D6)</f>
        <v>1.1016594427576836</v>
      </c>
      <c r="AI163" s="10">
        <f>1000*(AI114+AI127+AI140)/(F50*AF!E6)</f>
        <v>0.74092484933966785</v>
      </c>
      <c r="AJ163" s="10">
        <f>1000*(AJ114+AJ127+AJ140)/(G50*AF!F6)</f>
        <v>1.0595030511421559</v>
      </c>
      <c r="AK163" s="10">
        <f>1.1*1000*(AK114+AK127+AK140)/(H50*AF!G6)</f>
        <v>1.2275324366146889</v>
      </c>
      <c r="AL163" s="10">
        <f>1000*(AL114+AL127+AL140)/(I50*AF!H6)</f>
        <v>0.95133325030788629</v>
      </c>
      <c r="AM163" s="10">
        <f>1000*(AM114+AM127+AM140)/(J50*AF!I6)</f>
        <v>0.79123598253526395</v>
      </c>
      <c r="AN163" s="10">
        <f>1000*(AN114+AN127+AN140)/(K50*AF!J6)</f>
        <v>1.9349266574845607</v>
      </c>
      <c r="AO163" s="10">
        <f>1000*(AO114+AO127+AO140)/(L50*AF!K6)</f>
        <v>0.93295845366377061</v>
      </c>
      <c r="AP163" s="10">
        <f>1000*(AP114+AP127+AP140)/(M50*AF!L6)</f>
        <v>1.1998652660384901</v>
      </c>
      <c r="AQ163" s="10">
        <f>1000*(AQ114+AQ127+AQ140)/(N50*AF!M6)</f>
        <v>1.2381364021106851</v>
      </c>
      <c r="AR163" s="10">
        <f>1000*(AR114+AR127+AR140)/(O50*AF!N6)</f>
        <v>1.3460399504657303</v>
      </c>
      <c r="AS163" s="10">
        <f>1000*(AS114+AS127+AS140)/(P50*AF!O6)</f>
        <v>1.0996035929047578</v>
      </c>
      <c r="AT163" s="10">
        <f>1000*(AT114+AT127+AT140)/(Q50*AF!P6)</f>
        <v>1.0409569233098648</v>
      </c>
      <c r="AU163" s="10">
        <f>1000*(AU114+AU127+AU140)/(R50*AF!Q6)</f>
        <v>1.3101352059532545</v>
      </c>
      <c r="AV163" s="10">
        <f>1000*(AV114+AV127+AV140)/(S50*AF!R6)</f>
        <v>1.1258974426160779</v>
      </c>
      <c r="AW163" s="10">
        <f>1000*(AW114+AW127+AW140)/(T50*AF!S6)</f>
        <v>1.1594569525255081</v>
      </c>
      <c r="AX163" s="10">
        <f>1000*(AX114+AX127+AX140)/(U50*AF!T6)</f>
        <v>1.0944456881327265</v>
      </c>
      <c r="AY163" s="10">
        <f>1000*(AY114+AY127+AY140)/(V50*AF!U6)</f>
        <v>1.156699075271667</v>
      </c>
      <c r="AZ163" s="10">
        <f>1000*(AZ114+AZ127+AZ140)/(W50*AF!V6)</f>
        <v>0.96382332943130922</v>
      </c>
      <c r="BA163" s="10">
        <f>1000*(BA114+BA127+BA140)/(X50*AF!W6)</f>
        <v>1.1173019798083221</v>
      </c>
      <c r="BB163" s="10">
        <f>1000*(BB114+BB127+BB140)/(Y50*AF!X6)</f>
        <v>2.5229357798165144</v>
      </c>
      <c r="BC163" s="10">
        <f>1000*(BC114+BC127+BC140)/(Z50*AF!Y6)</f>
        <v>1.3378821325841197</v>
      </c>
      <c r="BD163" s="10">
        <f>1000*(BD114+BD127+BD140)/(AA50*AF!Z6)</f>
        <v>1.3663662731117754</v>
      </c>
      <c r="BE163" s="10">
        <f>1000*(BE114+BE127+BE140)/(AB50*AF!AA6)</f>
        <v>1.0385196374622359</v>
      </c>
      <c r="BF163" s="10">
        <f>1000*(BF114+BF127+BF140)/(AC50*AF!AB6)</f>
        <v>0.90570163882594745</v>
      </c>
      <c r="BG163" s="10">
        <f>1000*(BG114+BG127+BG140)/(AD50*AF!AC6)</f>
        <v>1.0702221391989293</v>
      </c>
      <c r="BH163" s="10">
        <f>1000*(BH114+BH127+BH140)/(AE50*AF!AD6)</f>
        <v>1.3145629675661468</v>
      </c>
    </row>
    <row r="164" spans="1:60" s="459" customFormat="1">
      <c r="A164" s="132" t="s">
        <v>497</v>
      </c>
      <c r="B164" s="132" t="s">
        <v>536</v>
      </c>
      <c r="C164" s="132" t="str">
        <f>Regions!C3</f>
        <v>IE</v>
      </c>
      <c r="D164" s="132" t="str">
        <f>Regions!E3</f>
        <v>IE-CW</v>
      </c>
      <c r="E164" s="132" t="str">
        <f>Regions!F3</f>
        <v>IE-D</v>
      </c>
      <c r="F164" s="132" t="str">
        <f>Regions!G3</f>
        <v>IE-KE</v>
      </c>
      <c r="G164" s="132" t="str">
        <f>Regions!H3</f>
        <v>IE-KK</v>
      </c>
      <c r="H164" s="132" t="str">
        <f>Regions!I3</f>
        <v>IE-LS</v>
      </c>
      <c r="I164" s="132" t="str">
        <f>Regions!J3</f>
        <v>IE-LD</v>
      </c>
      <c r="J164" s="132" t="str">
        <f>Regions!K3</f>
        <v>IE-LH</v>
      </c>
      <c r="K164" s="132" t="str">
        <f>Regions!L3</f>
        <v>IE-MH</v>
      </c>
      <c r="L164" s="132" t="str">
        <f>Regions!M3</f>
        <v>IE-OY</v>
      </c>
      <c r="M164" s="132" t="str">
        <f>Regions!N3</f>
        <v>IE-WH</v>
      </c>
      <c r="N164" s="132" t="str">
        <f>Regions!O3</f>
        <v>IE-WX</v>
      </c>
      <c r="O164" s="132" t="str">
        <f>Regions!P3</f>
        <v>IE-WW</v>
      </c>
      <c r="P164" s="132" t="str">
        <f>Regions!Q3</f>
        <v>IE-CE</v>
      </c>
      <c r="Q164" s="132" t="str">
        <f>Regions!R3</f>
        <v>IE-CO</v>
      </c>
      <c r="R164" s="132" t="str">
        <f>Regions!S3</f>
        <v>IE-KY</v>
      </c>
      <c r="S164" s="132" t="str">
        <f>Regions!T3</f>
        <v>IE-LK</v>
      </c>
      <c r="T164" s="132" t="str">
        <f>Regions!U3</f>
        <v>IE-TA</v>
      </c>
      <c r="U164" s="132" t="str">
        <f>Regions!V3</f>
        <v>IE-WD</v>
      </c>
      <c r="V164" s="132" t="str">
        <f>Regions!W3</f>
        <v>IE-G</v>
      </c>
      <c r="W164" s="132" t="str">
        <f>Regions!X3</f>
        <v>IE-LM</v>
      </c>
      <c r="X164" s="132" t="str">
        <f>Regions!Y3</f>
        <v>IE-MO</v>
      </c>
      <c r="Y164" s="132" t="str">
        <f>Regions!Z3</f>
        <v>IE-RN</v>
      </c>
      <c r="Z164" s="132" t="str">
        <f>Regions!AA3</f>
        <v>IE-SO</v>
      </c>
      <c r="AA164" s="132" t="str">
        <f>Regions!AB3</f>
        <v>IE-CN</v>
      </c>
      <c r="AB164" s="132" t="str">
        <f>Regions!AC3</f>
        <v>IE-DL</v>
      </c>
      <c r="AC164" s="132" t="str">
        <f>Regions!AD3</f>
        <v>IE-MN</v>
      </c>
      <c r="AD164" s="470" t="s">
        <v>493</v>
      </c>
      <c r="AE164"/>
      <c r="AF164" s="451"/>
      <c r="AG164" s="716" t="s">
        <v>368</v>
      </c>
      <c r="AH164" s="10">
        <f>1000*(AH115+AH128+AH141)/(SUMPRODUCT(E52:E60,AF!D7:D15))</f>
        <v>1.489773202426447</v>
      </c>
      <c r="AI164" s="10">
        <f>1000*(AI115+AI128+AI141)/(SUMPRODUCT(F52:F60,AF!E7:E15))</f>
        <v>1.4912746780926103</v>
      </c>
      <c r="AJ164" s="10">
        <f>1000*(AJ115+AJ128+AJ141)/(SUMPRODUCT(G52:G60,AF!F7:F15))</f>
        <v>1.5291967848593075</v>
      </c>
      <c r="AK164" s="10">
        <f>1000*(AK115+AK128+AK141)/(SUMPRODUCT(H52:H60,AF!G7:G15))</f>
        <v>1.5025151679993503</v>
      </c>
      <c r="AL164" s="10">
        <f>1000*(AL115+AL128+AL141)/(SUMPRODUCT(I52:I60,AF!H7:H15))</f>
        <v>1.4506225292188679</v>
      </c>
      <c r="AM164" s="10">
        <f>1000*(AM115+AM128+AM141)/(SUMPRODUCT(J52:J60,AF!I7:I15))</f>
        <v>1.4879559121688459</v>
      </c>
      <c r="AN164" s="10">
        <f>1000*(AN115+AN128+AN141)/(SUMPRODUCT(K52:K60,AF!J7:J15))</f>
        <v>1.4294751830733958</v>
      </c>
      <c r="AO164" s="10">
        <f>1000*(AO115+AO128+AO141)/(SUMPRODUCT(L52:L60,AF!K7:K15))</f>
        <v>1.5038170501896317</v>
      </c>
      <c r="AP164" s="10">
        <f>1000*(AP115+AP128+AP141)/(SUMPRODUCT(M52:M60,AF!L7:L15))</f>
        <v>1.503394613173479</v>
      </c>
      <c r="AQ164" s="10">
        <f>1000*(AQ115+AQ128+AQ141)/(SUMPRODUCT(N52:N60,AF!M7:M15))</f>
        <v>1.4955098130314788</v>
      </c>
      <c r="AR164" s="10">
        <f>1000*(AR115+AR128+AR141)/(SUMPRODUCT(O52:O60,AF!N7:N15))</f>
        <v>1.486941727766369</v>
      </c>
      <c r="AS164" s="10">
        <f>1000*(AS115+AS128+AS141)/(SUMPRODUCT(P52:P60,AF!O7:O15))</f>
        <v>1.4947634233049139</v>
      </c>
      <c r="AT164" s="10">
        <f>1000*(AT115+AT128+AT141)/(SUMPRODUCT(Q52:Q60,AF!P7:P15))</f>
        <v>1.499360182826516</v>
      </c>
      <c r="AU164" s="10">
        <f>1000*(AU115+AU128+AU141)/(SUMPRODUCT(R52:R60,AF!Q7:Q15))</f>
        <v>1.4915708270190542</v>
      </c>
      <c r="AV164" s="10">
        <f>1000*(AV115+AV128+AV141)/(SUMPRODUCT(S52:S60,AF!R7:R15))</f>
        <v>1.4895483179814737</v>
      </c>
      <c r="AW164" s="10">
        <f>1000*(AW115+AW128+AW141)/(SUMPRODUCT(T52:T60,AF!S7:S15))</f>
        <v>1.4706577313749039</v>
      </c>
      <c r="AX164" s="10">
        <f>1000*(AX115+AX128+AX141)/(SUMPRODUCT(U52:U60,AF!T7:T15))</f>
        <v>1.5044750320079219</v>
      </c>
      <c r="AY164" s="10">
        <f>1000*(AY115+AY128+AY141)/(SUMPRODUCT(V52:V60,AF!U7:U15))</f>
        <v>1.4964788464970638</v>
      </c>
      <c r="AZ164" s="10">
        <f>1000*(AZ115+AZ128+AZ141)/(SUMPRODUCT(W52:W60,AF!V7:V15))</f>
        <v>1.4889218314811574</v>
      </c>
      <c r="BA164" s="10">
        <f>1000*(BA115+BA128+BA141)/(SUMPRODUCT(X52:X60,AF!W7:W15))</f>
        <v>1.3490665870746095</v>
      </c>
      <c r="BB164" s="10">
        <f>1000*(BB115+BB128+BB141)/(SUMPRODUCT(Y52:Y60,AF!X7:X15))</f>
        <v>1.4672156453502565</v>
      </c>
      <c r="BC164" s="10">
        <f>1000*(BC115+BC128+BC141)/(SUMPRODUCT(Z52:Z60,AF!Y7:Y15))</f>
        <v>1.4847255380854452</v>
      </c>
      <c r="BD164" s="10">
        <f>1000*(BD115+BD128+BD141)/(SUMPRODUCT(AA52:AA60,AF!Z7:Z15))</f>
        <v>1.4859474969855042</v>
      </c>
      <c r="BE164" s="10">
        <f>1000*(BE115+BE128+BE141)/(SUMPRODUCT(AB52:AB60,AF!AA7:AA15))</f>
        <v>1.4903334527829029</v>
      </c>
      <c r="BF164" s="10">
        <f>1000*(BF115+BF128+BF141)/(SUMPRODUCT(AC52:AC60,AF!AB7:AB15))</f>
        <v>1.4906053008664815</v>
      </c>
      <c r="BG164" s="10">
        <f>1000*(BG115+BG128+BG141)/(SUMPRODUCT(AD52:AD60,AF!AC7:AC15))</f>
        <v>1.490641884791186</v>
      </c>
      <c r="BH164" s="10">
        <f>1000*(BH115+BH128+BH141)/(SUMPRODUCT(AE52:AE60,AF!AD7:AD15))</f>
        <v>1.4301318456278682</v>
      </c>
    </row>
    <row r="165" spans="1:60" s="459" customFormat="1">
      <c r="A165" s="398" t="s">
        <v>369</v>
      </c>
      <c r="B165" s="443" t="s">
        <v>20</v>
      </c>
      <c r="C165" s="36">
        <f>SUM(D165:AC165)</f>
        <v>39852</v>
      </c>
      <c r="D165" s="36">
        <v>563</v>
      </c>
      <c r="E165" s="36">
        <v>12616</v>
      </c>
      <c r="F165" s="36">
        <v>2168</v>
      </c>
      <c r="G165" s="36">
        <v>872</v>
      </c>
      <c r="H165" s="36">
        <v>513</v>
      </c>
      <c r="I165" s="36">
        <v>213</v>
      </c>
      <c r="J165" s="36">
        <v>855</v>
      </c>
      <c r="K165" s="36">
        <v>1684</v>
      </c>
      <c r="L165" s="36">
        <v>669</v>
      </c>
      <c r="M165" s="36">
        <v>604</v>
      </c>
      <c r="N165" s="36">
        <v>1506</v>
      </c>
      <c r="O165" s="36">
        <v>1554</v>
      </c>
      <c r="P165" s="36">
        <v>924</v>
      </c>
      <c r="Q165" s="36">
        <v>5452</v>
      </c>
      <c r="R165" s="36">
        <v>1062</v>
      </c>
      <c r="S165" s="36">
        <v>1489</v>
      </c>
      <c r="T165" s="36">
        <v>1412</v>
      </c>
      <c r="U165" s="36">
        <v>1293</v>
      </c>
      <c r="V165" s="36">
        <v>1458</v>
      </c>
      <c r="W165" s="36">
        <v>160</v>
      </c>
      <c r="X165" s="36">
        <v>605</v>
      </c>
      <c r="Y165" s="36">
        <v>295</v>
      </c>
      <c r="Z165" s="36">
        <v>400</v>
      </c>
      <c r="AA165" s="36">
        <v>448</v>
      </c>
      <c r="AB165" s="36">
        <v>736</v>
      </c>
      <c r="AC165" s="36">
        <v>301</v>
      </c>
      <c r="AD165" s="443" t="s">
        <v>542</v>
      </c>
      <c r="AE165"/>
      <c r="AF165" s="451"/>
      <c r="AG165" s="716" t="s">
        <v>365</v>
      </c>
      <c r="AH165" s="10">
        <f>1000*(AH116+AH129+AH142)/(SUMPRODUCT(E62:E64,AF!D16:D18))</f>
        <v>1.4887104403501485</v>
      </c>
      <c r="AI165" s="10">
        <f>1000*(AI116+AI129+AI142)/(SUMPRODUCT(F62:F64,AF!E16:E18))</f>
        <v>1.2864770089115007</v>
      </c>
      <c r="AJ165" s="10">
        <f>1000*(AJ116+AJ129+AJ142)/(SUMPRODUCT(G62:G64,AF!F16:F18))</f>
        <v>1.4920297290635816</v>
      </c>
      <c r="AK165" s="10">
        <f>1000*(AK116+AK129+AK142)/(SUMPRODUCT(H62:H64,AF!G16:G18))</f>
        <v>1.4965882178803183</v>
      </c>
      <c r="AL165" s="10">
        <f>1000*(AL116+AL129+AL142)/(SUMPRODUCT(I62:I64,AF!H16:H18))</f>
        <v>1.4977904978351977</v>
      </c>
      <c r="AM165" s="10">
        <f>1000*(AM116+AM129+AM142)/(SUMPRODUCT(J62:J64,AF!I16:I18))</f>
        <v>1.4310653132695272</v>
      </c>
      <c r="AN165" s="10">
        <f>1000*(AN116+AN129+AN142)/(SUMPRODUCT(K62:K64,AF!J16:J18))</f>
        <v>1.5125960645241427</v>
      </c>
      <c r="AO165" s="10">
        <f>1000*(AO116+AO129+AO142)/(SUMPRODUCT(L62:L64,AF!K16:K18))</f>
        <v>1.5228727834472542</v>
      </c>
      <c r="AP165" s="10">
        <f>1000*(AP116+AP129+AP142)/(SUMPRODUCT(M62:M64,AF!L16:L18))</f>
        <v>1.4762626822387042</v>
      </c>
      <c r="AQ165" s="10">
        <f>1000*(AQ116+AQ129+AQ142)/(SUMPRODUCT(N62:N64,AF!M16:M18))</f>
        <v>1.4201989273688242</v>
      </c>
      <c r="AR165" s="10">
        <f>1000*(AR116+AR129+AR142)/(SUMPRODUCT(O62:O64,AF!N16:N18))</f>
        <v>1.5206424319807899</v>
      </c>
      <c r="AS165" s="10">
        <f>1000*(AS116+AS129+AS142)/(SUMPRODUCT(P62:P64,AF!O16:O18))</f>
        <v>1.5788100500066378</v>
      </c>
      <c r="AT165" s="10">
        <f>1000*(AT116+AT129+AT142)/(SUMPRODUCT(Q62:Q64,AF!P16:P18))</f>
        <v>1.5169195586874926</v>
      </c>
      <c r="AU165" s="10">
        <f>1000*(AU116+AU129+AU142)/(SUMPRODUCT(R62:R64,AF!Q16:Q18))</f>
        <v>1.4962888783453543</v>
      </c>
      <c r="AV165" s="10">
        <f>1000*(AV116+AV129+AV142)/(SUMPRODUCT(S62:S64,AF!R16:R18))</f>
        <v>1.4940666969479417</v>
      </c>
      <c r="AW165" s="10">
        <f>1000*(AW116+AW129+AW142)/(SUMPRODUCT(T62:T64,AF!S16:S18))</f>
        <v>1.4828819131855375</v>
      </c>
      <c r="AX165" s="10">
        <f>1000*(AX116+AX129+AX142)/(SUMPRODUCT(U62:U64,AF!T16:T18))</f>
        <v>1.5401449896847841</v>
      </c>
      <c r="AY165" s="10">
        <f>1000*(AY116+AY129+AY142)/(SUMPRODUCT(V62:V64,AF!U16:U18))</f>
        <v>1.4580171245632942</v>
      </c>
      <c r="AZ165" s="10">
        <f>1000*(AZ116+AZ129+AZ142)/(SUMPRODUCT(W62:W64,AF!V16:V18))</f>
        <v>1.3932425331233422</v>
      </c>
      <c r="BA165" s="10">
        <f>1000*(BA116+BA129+BA142)/(SUMPRODUCT(X62:X64,AF!W16:W18))</f>
        <v>1.4674576355007889</v>
      </c>
      <c r="BB165" s="10">
        <f>1000*(BB116+BB129+BB142)/(SUMPRODUCT(Y62:Y64,AF!X16:X18))</f>
        <v>1.6024869748792236</v>
      </c>
      <c r="BC165" s="10">
        <f>1000*(BC116+BC129+BC142)/(SUMPRODUCT(Z62:Z64,AF!Y16:Y18))</f>
        <v>1.476022708121151</v>
      </c>
      <c r="BD165" s="10">
        <f>1000*(BD116+BD129+BD142)/(SUMPRODUCT(AA62:AA64,AF!Z16:Z18))</f>
        <v>1.4552294346858181</v>
      </c>
      <c r="BE165" s="10">
        <f>1000*(BE116+BE129+BE142)/(SUMPRODUCT(AB62:AB64,AF!AA16:AA18))</f>
        <v>1.3490355626033566</v>
      </c>
      <c r="BF165" s="10">
        <f>1000*(BF116+BF129+BF142)/(SUMPRODUCT(AC62:AC64,AF!AB16:AB18))</f>
        <v>1.4490615456274449</v>
      </c>
      <c r="BG165" s="10">
        <f>1000*(BG116+BG129+BG142)/(SUMPRODUCT(AD62:AD64,AF!AC16:AC18))</f>
        <v>1.5121196904749867</v>
      </c>
      <c r="BH165" s="10">
        <f>1000*(BH116+BH129+BH142)/(SUMPRODUCT(AE62:AE64,AF!AD16:AD18))</f>
        <v>1.3801290603395258</v>
      </c>
    </row>
    <row r="166" spans="1:60">
      <c r="A166" s="398" t="s">
        <v>368</v>
      </c>
      <c r="B166" s="443" t="s">
        <v>495</v>
      </c>
      <c r="C166" s="36">
        <f>Efficiency!C99</f>
        <v>946860</v>
      </c>
      <c r="D166" s="36">
        <f>Efficiency!D99</f>
        <v>10796</v>
      </c>
      <c r="E166" s="36">
        <f>Efficiency!E99</f>
        <v>299408</v>
      </c>
      <c r="F166" s="36">
        <f>Efficiency!F99</f>
        <v>44521</v>
      </c>
      <c r="G166" s="36">
        <f>Efficiency!G99</f>
        <v>17346</v>
      </c>
      <c r="H166" s="36">
        <f>Efficiency!H99</f>
        <v>12391</v>
      </c>
      <c r="I166" s="36">
        <f>Efficiency!I99</f>
        <v>5804</v>
      </c>
      <c r="J166" s="36">
        <f>Efficiency!J99</f>
        <v>20722</v>
      </c>
      <c r="K166" s="36">
        <f>Efficiency!K99</f>
        <v>34216</v>
      </c>
      <c r="L166" s="36">
        <f>Efficiency!L99</f>
        <v>12252</v>
      </c>
      <c r="M166" s="36">
        <f>Efficiency!M99</f>
        <v>14417</v>
      </c>
      <c r="N166" s="36">
        <f>Efficiency!N99</f>
        <v>29236</v>
      </c>
      <c r="O166" s="36">
        <f>Efficiency!O99</f>
        <v>32847</v>
      </c>
      <c r="P166" s="36">
        <f>Efficiency!P99</f>
        <v>24057</v>
      </c>
      <c r="Q166" s="36">
        <f>Efficiency!Q99</f>
        <v>121228</v>
      </c>
      <c r="R166" s="36">
        <f>Efficiency!R99</f>
        <v>31727</v>
      </c>
      <c r="S166" s="36">
        <f>Efficiency!S99</f>
        <v>40146</v>
      </c>
      <c r="T166" s="36">
        <f>Efficiency!T99</f>
        <v>30854</v>
      </c>
      <c r="U166" s="36">
        <f>Efficiency!U99</f>
        <v>27159</v>
      </c>
      <c r="V166" s="36">
        <f>Efficiency!V99</f>
        <v>45820</v>
      </c>
      <c r="W166" s="36">
        <f>Efficiency!W99</f>
        <v>4961</v>
      </c>
      <c r="X166" s="36">
        <f>Efficiency!X99</f>
        <v>22404</v>
      </c>
      <c r="Y166" s="36">
        <f>Efficiency!Y99</f>
        <v>11971</v>
      </c>
      <c r="Z166" s="36">
        <f>Efficiency!Z99</f>
        <v>11761</v>
      </c>
      <c r="AA166" s="36">
        <f>Efficiency!AA99</f>
        <v>10568</v>
      </c>
      <c r="AB166" s="36">
        <f>Efficiency!AB99</f>
        <v>22398</v>
      </c>
      <c r="AC166" s="36">
        <f>Efficiency!AC99</f>
        <v>7850</v>
      </c>
      <c r="AD166" s="443" t="s">
        <v>494</v>
      </c>
      <c r="AE166" s="398"/>
      <c r="AG166" s="716" t="s">
        <v>589</v>
      </c>
      <c r="AH166" s="38">
        <f>1000*(AH117+AH130+AH143)/(E66*AF!D19)</f>
        <v>25.427830336380726</v>
      </c>
      <c r="AI166" s="38">
        <f>1000*(AI117+AI130+AI143)/(F66*AF!E19)</f>
        <v>25.152785867180366</v>
      </c>
      <c r="AJ166" s="38">
        <f>1000*(AJ117+AJ130+AJ143)/(G66*AF!F19)</f>
        <v>27.301203196585941</v>
      </c>
      <c r="AK166" s="38">
        <f>1000*(AK117+AK130+AK143)/(H66*AF!G19)</f>
        <v>27.885361398196402</v>
      </c>
      <c r="AL166" s="38">
        <f>1000*(AL117+AL130+AL143)/(I66*AF!H19)</f>
        <v>27.93329928841143</v>
      </c>
      <c r="AM166" s="38">
        <f>1000*(AM117+AM130+AM143)/(J66*AF!I19)</f>
        <v>24.855745462572266</v>
      </c>
      <c r="AN166" s="38">
        <f>1000*(AN117+AN130+AN143)/(K66*AF!J19)</f>
        <v>26.387779311012658</v>
      </c>
      <c r="AO166" s="38">
        <f>1000*(AO117+AO130+AO143)/(L66*AF!K19)</f>
        <v>25.949353527802703</v>
      </c>
      <c r="AP166" s="38">
        <f>1000*(AP117+AP130+AP143)/(M66*AF!L19)</f>
        <v>27.127894878977461</v>
      </c>
      <c r="AQ166" s="38">
        <f>1000*(AQ117+AQ130+AQ143)/(N66*AF!M19)</f>
        <v>28.420523625985009</v>
      </c>
      <c r="AR166" s="38">
        <f>1000*(AR117+AR130+AR143)/(O66*AF!N19)</f>
        <v>26.329112945614195</v>
      </c>
      <c r="AS166" s="38">
        <f>1000*(AS117+AS130+AS143)/(P66*AF!O19)</f>
        <v>27.79959238146305</v>
      </c>
      <c r="AT166" s="38">
        <f>1000*(AT117+AT130+AT143)/(Q66*AF!P19)</f>
        <v>27.713408215847512</v>
      </c>
      <c r="AU166" s="38">
        <f>1000*(AU117+AU130+AU143)/(R66*AF!Q19)</f>
        <v>25.926651836938962</v>
      </c>
      <c r="AV166" s="38">
        <f>1000*(AV117+AV130+AV143)/(S66*AF!R19)</f>
        <v>27.20287149415141</v>
      </c>
      <c r="AW166" s="38">
        <f>1000*(AW117+AW130+AW143)/(T66*AF!S19)</f>
        <v>26.738708360662599</v>
      </c>
      <c r="AX166" s="38">
        <f>1000*(AX117+AX130+AX143)/(U66*AF!T19)</f>
        <v>27.517737580205367</v>
      </c>
      <c r="AY166" s="38">
        <f>1000*(AY117+AY130+AY143)/(V66*AF!U19)</f>
        <v>27.93568790635878</v>
      </c>
      <c r="AZ166" s="38">
        <f>1000*(AZ117+AZ130+AZ143)/(W66*AF!V19)</f>
        <v>29.41353195173086</v>
      </c>
      <c r="BA166" s="38">
        <f>1000*(BA117+BA130+BA143)/(X66*AF!W19)</f>
        <v>27.356288298803619</v>
      </c>
      <c r="BB166" s="38">
        <f>1000*(BB117+BB130+BB143)/(Y66*AF!X19)</f>
        <v>24.819885054330499</v>
      </c>
      <c r="BC166" s="38">
        <f>1000*(BC117+BC130+BC143)/(Z66*AF!Y19)</f>
        <v>27.708745998755393</v>
      </c>
      <c r="BD166" s="38">
        <f>1000*(BD117+BD130+BD143)/(AA66*AF!Z19)</f>
        <v>27.332681361117377</v>
      </c>
      <c r="BE166" s="38">
        <f>1000*(BE117+BE130+BE143)/(AB66*AF!AA19)</f>
        <v>26.239440430692728</v>
      </c>
      <c r="BF166" s="38">
        <f>1000*(BF117+BF130+BF143)/(AC66*AF!AB19)</f>
        <v>6.0098468922767463</v>
      </c>
      <c r="BG166" s="38">
        <f>1000*(BG117+BG130+BG143)/(AD66*AF!AC19)</f>
        <v>0.73082084302538375</v>
      </c>
      <c r="BH166" s="38">
        <f>1000*(BH117+BH130+BH143)/(AE66*AF!AD19)</f>
        <v>27.244502059484393</v>
      </c>
    </row>
    <row r="167" spans="1:60">
      <c r="A167" s="398"/>
      <c r="B167" s="443" t="s">
        <v>496</v>
      </c>
      <c r="C167" s="36">
        <f>Efficiency!C146</f>
        <v>1129404</v>
      </c>
      <c r="D167" s="36">
        <f>Efficiency!D146</f>
        <v>17385</v>
      </c>
      <c r="E167" s="36">
        <f>Efficiency!E146</f>
        <v>225706</v>
      </c>
      <c r="F167" s="36">
        <f>Efficiency!F146</f>
        <v>56834</v>
      </c>
      <c r="G167" s="36">
        <f>Efficiency!G146</f>
        <v>26674</v>
      </c>
      <c r="H167" s="36">
        <f>Efficiency!H146</f>
        <v>22058</v>
      </c>
      <c r="I167" s="36">
        <f>Efficiency!I146</f>
        <v>11270</v>
      </c>
      <c r="J167" s="36">
        <f>Efficiency!J146</f>
        <v>29947</v>
      </c>
      <c r="K167" s="36">
        <f>Efficiency!K146</f>
        <v>52424</v>
      </c>
      <c r="L167" s="36">
        <f>Efficiency!L146</f>
        <v>21785</v>
      </c>
      <c r="M167" s="36">
        <f>Efficiency!M146</f>
        <v>26113</v>
      </c>
      <c r="N167" s="36">
        <f>Efficiency!N146</f>
        <v>44971</v>
      </c>
      <c r="O167" s="36">
        <f>Efficiency!O146</f>
        <v>34195</v>
      </c>
      <c r="P167" s="36">
        <f>Efficiency!P146</f>
        <v>32584</v>
      </c>
      <c r="Q167" s="36">
        <f>Efficiency!Q146</f>
        <v>132295</v>
      </c>
      <c r="R167" s="36">
        <f>Efficiency!R146</f>
        <v>39247</v>
      </c>
      <c r="S167" s="36">
        <f>Efficiency!S146</f>
        <v>47853</v>
      </c>
      <c r="T167" s="36">
        <f>Efficiency!T146</f>
        <v>47714</v>
      </c>
      <c r="U167" s="36">
        <f>Efficiency!U146</f>
        <v>29674</v>
      </c>
      <c r="V167" s="36">
        <f>Efficiency!V146</f>
        <v>66337</v>
      </c>
      <c r="W167" s="36">
        <f>Efficiency!W146</f>
        <v>9454</v>
      </c>
      <c r="X167" s="36">
        <f>Efficiency!X146</f>
        <v>37994</v>
      </c>
      <c r="Y167" s="36">
        <f>Efficiency!Y146</f>
        <v>20248</v>
      </c>
      <c r="Z167" s="36">
        <f>Efficiency!Z146</f>
        <v>16993</v>
      </c>
      <c r="AA167" s="36">
        <f>Efficiency!AA146</f>
        <v>20890</v>
      </c>
      <c r="AB167" s="36">
        <f>Efficiency!AB146</f>
        <v>41125</v>
      </c>
      <c r="AC167" s="36">
        <f>Efficiency!AC146</f>
        <v>17634</v>
      </c>
      <c r="AD167" s="443" t="s">
        <v>494</v>
      </c>
      <c r="AE167" s="398"/>
      <c r="AG167" s="716" t="s">
        <v>576</v>
      </c>
      <c r="AH167" s="38">
        <f>(1000*(AH118+AH131+AH144)/(E68*AF!D20))</f>
        <v>78.020092029331138</v>
      </c>
      <c r="AI167" s="38">
        <f>AH167</f>
        <v>78.020092029331138</v>
      </c>
      <c r="AJ167" s="38">
        <f>1000*(AJ118+AJ131+AJ144)/(G68*AF!F20)</f>
        <v>78.020092029331138</v>
      </c>
      <c r="AK167" s="38">
        <f>AJ167</f>
        <v>78.020092029331138</v>
      </c>
      <c r="AL167" s="38">
        <f t="shared" ref="AL167:BH167" si="126">AK167</f>
        <v>78.020092029331138</v>
      </c>
      <c r="AM167" s="38">
        <f t="shared" si="126"/>
        <v>78.020092029331138</v>
      </c>
      <c r="AN167" s="38">
        <f t="shared" si="126"/>
        <v>78.020092029331138</v>
      </c>
      <c r="AO167" s="38">
        <f t="shared" si="126"/>
        <v>78.020092029331138</v>
      </c>
      <c r="AP167" s="38">
        <f t="shared" si="126"/>
        <v>78.020092029331138</v>
      </c>
      <c r="AQ167" s="38">
        <f t="shared" si="126"/>
        <v>78.020092029331138</v>
      </c>
      <c r="AR167" s="38">
        <f t="shared" si="126"/>
        <v>78.020092029331138</v>
      </c>
      <c r="AS167" s="38">
        <f t="shared" si="126"/>
        <v>78.020092029331138</v>
      </c>
      <c r="AT167" s="38">
        <f t="shared" si="126"/>
        <v>78.020092029331138</v>
      </c>
      <c r="AU167" s="38">
        <f t="shared" si="126"/>
        <v>78.020092029331138</v>
      </c>
      <c r="AV167" s="38">
        <f t="shared" si="126"/>
        <v>78.020092029331138</v>
      </c>
      <c r="AW167" s="38">
        <f t="shared" si="126"/>
        <v>78.020092029331138</v>
      </c>
      <c r="AX167" s="38">
        <f t="shared" si="126"/>
        <v>78.020092029331138</v>
      </c>
      <c r="AY167" s="38">
        <f t="shared" si="126"/>
        <v>78.020092029331138</v>
      </c>
      <c r="AZ167" s="38">
        <f t="shared" si="126"/>
        <v>78.020092029331138</v>
      </c>
      <c r="BA167" s="38">
        <f t="shared" si="126"/>
        <v>78.020092029331138</v>
      </c>
      <c r="BB167" s="38">
        <f t="shared" si="126"/>
        <v>78.020092029331138</v>
      </c>
      <c r="BC167" s="38">
        <f t="shared" si="126"/>
        <v>78.020092029331138</v>
      </c>
      <c r="BD167" s="38">
        <f t="shared" si="126"/>
        <v>78.020092029331138</v>
      </c>
      <c r="BE167" s="38">
        <f t="shared" si="126"/>
        <v>78.020092029331138</v>
      </c>
      <c r="BF167" s="38">
        <f t="shared" si="126"/>
        <v>78.020092029331138</v>
      </c>
      <c r="BG167" s="38">
        <f t="shared" si="126"/>
        <v>78.020092029331138</v>
      </c>
      <c r="BH167" s="38">
        <f t="shared" si="126"/>
        <v>78.020092029331138</v>
      </c>
    </row>
    <row r="168" spans="1:60">
      <c r="A168" s="398"/>
      <c r="B168" s="443" t="s">
        <v>498</v>
      </c>
      <c r="C168" s="36">
        <f>Efficiency!C193</f>
        <v>67</v>
      </c>
      <c r="D168" s="36">
        <f>Efficiency!D193</f>
        <v>0</v>
      </c>
      <c r="E168" s="36">
        <f>Efficiency!E193</f>
        <v>28</v>
      </c>
      <c r="F168" s="36">
        <f>Efficiency!F193</f>
        <v>1</v>
      </c>
      <c r="G168" s="36">
        <f>Efficiency!G193</f>
        <v>1</v>
      </c>
      <c r="H168" s="36">
        <f>Efficiency!H193</f>
        <v>0</v>
      </c>
      <c r="I168" s="36">
        <f>Efficiency!I193</f>
        <v>2</v>
      </c>
      <c r="J168" s="36">
        <f>Efficiency!J193</f>
        <v>1</v>
      </c>
      <c r="K168" s="36">
        <f>Efficiency!K193</f>
        <v>2</v>
      </c>
      <c r="L168" s="36">
        <f>Efficiency!L193</f>
        <v>3</v>
      </c>
      <c r="M168" s="36">
        <f>Efficiency!M193</f>
        <v>1</v>
      </c>
      <c r="N168" s="36">
        <f>Efficiency!N193</f>
        <v>3</v>
      </c>
      <c r="O168" s="36">
        <f>Efficiency!O193</f>
        <v>5</v>
      </c>
      <c r="P168" s="36">
        <f>Efficiency!P193</f>
        <v>1</v>
      </c>
      <c r="Q168" s="36">
        <f>Efficiency!Q193</f>
        <v>5</v>
      </c>
      <c r="R168" s="36">
        <f>Efficiency!R193</f>
        <v>3</v>
      </c>
      <c r="S168" s="36">
        <f>Efficiency!S193</f>
        <v>2</v>
      </c>
      <c r="T168" s="36">
        <f>Efficiency!T193</f>
        <v>0</v>
      </c>
      <c r="U168" s="36">
        <f>Efficiency!U193</f>
        <v>0</v>
      </c>
      <c r="V168" s="36">
        <f>Efficiency!V193</f>
        <v>7</v>
      </c>
      <c r="W168" s="36">
        <f>Efficiency!W193</f>
        <v>0</v>
      </c>
      <c r="X168" s="36">
        <f>Efficiency!X193</f>
        <v>0</v>
      </c>
      <c r="Y168" s="36">
        <f>Efficiency!Y193</f>
        <v>0</v>
      </c>
      <c r="Z168" s="36">
        <f>Efficiency!Z193</f>
        <v>0</v>
      </c>
      <c r="AA168" s="36">
        <f>Efficiency!AA193</f>
        <v>0</v>
      </c>
      <c r="AB168" s="36">
        <f>Efficiency!AB193</f>
        <v>2</v>
      </c>
      <c r="AC168" s="36">
        <f>Efficiency!AC193</f>
        <v>0</v>
      </c>
      <c r="AD168" s="459" t="s">
        <v>494</v>
      </c>
      <c r="AE168" s="398"/>
      <c r="AG168" s="458" t="s">
        <v>367</v>
      </c>
      <c r="AH168" s="660">
        <f>1000*(AH119+AH132+AH145)/(SUMPRODUCT(E69:E70,AF!D21:D22))</f>
        <v>120.81976698364331</v>
      </c>
      <c r="AI168" s="660">
        <f>1000*(AI119+AI132+AI145)/(SUMPRODUCT(F69:F70,AF!E21:E22))</f>
        <v>214.40168597621496</v>
      </c>
      <c r="AJ168" s="660">
        <f>1000*(AJ119+AJ132+AJ145)/(SUMPRODUCT(G69:G70,AF!F21:F22))</f>
        <v>57.365621078947562</v>
      </c>
      <c r="AK168" s="660">
        <f>1000*(AK119+AK132+AK145)/(SUMPRODUCT(H69:H70,AF!G21:G22))</f>
        <v>214.40168597621496</v>
      </c>
      <c r="AL168" s="660">
        <f>1000*(AL119+AL132+AL145)/(SUMPRODUCT(I69:I70,AF!H21:H22))</f>
        <v>214.40168597621502</v>
      </c>
      <c r="AM168" s="660">
        <f>1000*(AM119+AM132+AM145)/(SUMPRODUCT(J69:J70,AF!I21:I22))</f>
        <v>214.40168597621502</v>
      </c>
      <c r="AN168" s="660">
        <f>1000*(AN119+AN132+AN145)/(SUMPRODUCT(K69:K70,AF!J21:J22))</f>
        <v>214.40168597621496</v>
      </c>
      <c r="AO168" s="660">
        <f>1000*(AO119+AO132+AO145)/(SUMPRODUCT(L69:L70,AF!K21:K22))</f>
        <v>214.40168597621496</v>
      </c>
      <c r="AP168" s="660">
        <f>1000*(AP119+AP132+AP145)/(SUMPRODUCT(M69:M70,AF!L21:L22))</f>
        <v>214.40168597621496</v>
      </c>
      <c r="AQ168" s="660">
        <f>1000*(AQ119+AQ132+AQ145)/(SUMPRODUCT(N69:N70,AF!M21:M22))</f>
        <v>214.40168597621499</v>
      </c>
      <c r="AR168" s="660">
        <f>1000*(AR119+AR132+AR145)/(SUMPRODUCT(O69:O70,AF!N21:N22))</f>
        <v>214.40168597621499</v>
      </c>
      <c r="AS168" s="660">
        <f>1000*(AS119+AS132+AS145)/(SUMPRODUCT(P69:P70,AF!O21:O22))</f>
        <v>214.40168597621496</v>
      </c>
      <c r="AT168" s="660">
        <f>1000*(AT119+AT132+AT145)/(SUMPRODUCT(Q69:Q70,AF!P21:P22))</f>
        <v>214.40168597621496</v>
      </c>
      <c r="AU168" s="660">
        <f>1000*(AU119+AU132+AU145)/(SUMPRODUCT(R69:R70,AF!Q21:Q22))</f>
        <v>214.40168597621499</v>
      </c>
      <c r="AV168" s="660">
        <f>1000*(AV119+AV132+AV145)/(SUMPRODUCT(S69:S70,AF!R21:R22))</f>
        <v>214.40168597621499</v>
      </c>
      <c r="AW168" s="660">
        <f>1000*(AW119+AW132+AW145)/(SUMPRODUCT(T69:T70,AF!S21:S22))</f>
        <v>214.40168597621499</v>
      </c>
      <c r="AX168" s="660">
        <f>1000*(AX119+AX132+AX145)/(SUMPRODUCT(U69:U70,AF!T21:T22))</f>
        <v>214.40168597621499</v>
      </c>
      <c r="AY168" s="660">
        <f>1000*(AY119+AY132+AY145)/(SUMPRODUCT(V69:V70,AF!U21:U22))</f>
        <v>214.40168597621496</v>
      </c>
      <c r="AZ168" s="660">
        <f>1000*(AZ119+AZ132+AZ145)/(SUMPRODUCT(W69:W70,AF!V21:V22))</f>
        <v>214.40168597621496</v>
      </c>
      <c r="BA168" s="660">
        <f>1000*(BA119+BA132+BA145)/(SUMPRODUCT(X69:X70,AF!W21:W22))</f>
        <v>214.40168597621496</v>
      </c>
      <c r="BB168" s="660">
        <f>1000*(BB119+BB132+BB145)/(SUMPRODUCT(Y69:Y70,AF!X21:X22))</f>
        <v>214.40168597621494</v>
      </c>
      <c r="BC168" s="660">
        <f>1000*(BC119+BC132+BC145)/(SUMPRODUCT(Z69:Z70,AF!Y21:Y22))</f>
        <v>214.40168597621494</v>
      </c>
      <c r="BD168" s="660">
        <f>1000*(BD119+BD132+BD145)/(SUMPRODUCT(AA69:AA70,AF!Z21:Z22))</f>
        <v>214.40168597621494</v>
      </c>
      <c r="BE168" s="660">
        <f>1000*(BE119+BE132+BE145)/(SUMPRODUCT(AB69:AB70,AF!AA21:AA22))</f>
        <v>214.40168597621494</v>
      </c>
      <c r="BF168" s="660">
        <f>1000*(BF119+BF132+BF145)/(SUMPRODUCT(AC69:AC70,AF!AB21:AB22))</f>
        <v>214.40168597621491</v>
      </c>
      <c r="BG168" s="660">
        <f>1000*(BG119+BG132+BG145)/(SUMPRODUCT(AD69:AD70,AF!AC21:AC22))</f>
        <v>214.40168597621494</v>
      </c>
      <c r="BH168" s="660">
        <f>1000*(BH119+BH132+BH145)/(SUMPRODUCT(AE69:AE70,AF!AD21:AD22))</f>
        <v>214.40168597621502</v>
      </c>
    </row>
    <row r="169" spans="1:60">
      <c r="A169" s="398"/>
      <c r="B169" s="443" t="s">
        <v>499</v>
      </c>
      <c r="C169" s="36">
        <f>Efficiency!C242</f>
        <v>8529</v>
      </c>
      <c r="D169" s="36">
        <f>Efficiency!D242</f>
        <v>98</v>
      </c>
      <c r="E169" s="36">
        <f>Efficiency!E242</f>
        <v>265</v>
      </c>
      <c r="F169" s="36">
        <f>Efficiency!F242</f>
        <v>281</v>
      </c>
      <c r="G169" s="36">
        <f>Efficiency!G242</f>
        <v>574</v>
      </c>
      <c r="H169" s="36">
        <f>Efficiency!H242</f>
        <v>124</v>
      </c>
      <c r="I169" s="36">
        <f>Efficiency!I242</f>
        <v>316</v>
      </c>
      <c r="J169" s="36">
        <f>Efficiency!J242</f>
        <v>41</v>
      </c>
      <c r="K169" s="36">
        <f>Efficiency!K242</f>
        <v>83</v>
      </c>
      <c r="L169" s="36">
        <f>Efficiency!L242</f>
        <v>53</v>
      </c>
      <c r="M169" s="36">
        <f>Efficiency!M242</f>
        <v>260</v>
      </c>
      <c r="N169" s="36">
        <f>Efficiency!N242</f>
        <v>177</v>
      </c>
      <c r="O169" s="36">
        <f>Efficiency!O242</f>
        <v>315</v>
      </c>
      <c r="P169" s="36">
        <f>Efficiency!P242</f>
        <v>205</v>
      </c>
      <c r="Q169" s="36">
        <f>Efficiency!Q242</f>
        <v>1162</v>
      </c>
      <c r="R169" s="36">
        <f>Efficiency!R242</f>
        <v>350</v>
      </c>
      <c r="S169" s="36">
        <f>Efficiency!S242</f>
        <v>33</v>
      </c>
      <c r="T169" s="36">
        <f>Efficiency!T242</f>
        <v>75</v>
      </c>
      <c r="U169" s="36">
        <f>Efficiency!U242</f>
        <v>229</v>
      </c>
      <c r="V169" s="36">
        <f>Efficiency!V242</f>
        <v>2626</v>
      </c>
      <c r="W169" s="36">
        <f>Efficiency!W242</f>
        <v>107</v>
      </c>
      <c r="X169" s="36">
        <f>Efficiency!X242</f>
        <v>247</v>
      </c>
      <c r="Y169" s="36">
        <f>Efficiency!Y242</f>
        <v>85</v>
      </c>
      <c r="Z169" s="36">
        <f>Efficiency!Z242</f>
        <v>75</v>
      </c>
      <c r="AA169" s="36">
        <f>Efficiency!AA242</f>
        <v>91</v>
      </c>
      <c r="AB169" s="36">
        <f>Efficiency!AB242</f>
        <v>185</v>
      </c>
      <c r="AC169" s="36">
        <f>Efficiency!AC242</f>
        <v>472</v>
      </c>
      <c r="AD169" s="459" t="s">
        <v>494</v>
      </c>
      <c r="AE169" s="398"/>
      <c r="AG169" s="459"/>
      <c r="AH169" s="459"/>
      <c r="AI169" s="459"/>
      <c r="AJ169" s="459"/>
      <c r="AK169" s="459"/>
      <c r="AL169" s="459"/>
      <c r="AM169" s="459"/>
      <c r="AN169" s="459"/>
      <c r="AO169" s="459"/>
      <c r="AP169" s="459"/>
      <c r="AQ169" s="459"/>
      <c r="AR169" s="459"/>
      <c r="AS169" s="459"/>
      <c r="AT169" s="459"/>
      <c r="AU169" s="459"/>
      <c r="AV169" s="459"/>
      <c r="AW169" s="459"/>
      <c r="AX169" s="459"/>
      <c r="AY169" s="459"/>
      <c r="AZ169" s="459"/>
      <c r="BA169" s="459"/>
      <c r="BB169" s="459"/>
      <c r="BC169" s="459"/>
      <c r="BD169" s="459"/>
      <c r="BE169" s="459"/>
      <c r="BF169" s="459"/>
      <c r="BG169" s="459"/>
      <c r="BH169" s="459"/>
    </row>
    <row r="170" spans="1:60">
      <c r="A170" s="398"/>
      <c r="B170" s="443" t="s">
        <v>500</v>
      </c>
      <c r="C170" s="36">
        <f>Efficiency!C290</f>
        <v>29800</v>
      </c>
      <c r="D170" s="36">
        <f>Efficiency!D290</f>
        <v>205</v>
      </c>
      <c r="E170" s="36">
        <f>Efficiency!E290</f>
        <v>1109</v>
      </c>
      <c r="F170" s="36">
        <f>Efficiency!F290</f>
        <v>572</v>
      </c>
      <c r="G170" s="36">
        <f>Efficiency!G290</f>
        <v>1428</v>
      </c>
      <c r="H170" s="36">
        <f>Efficiency!H290</f>
        <v>365</v>
      </c>
      <c r="I170" s="36">
        <f>Efficiency!I290</f>
        <v>805</v>
      </c>
      <c r="J170" s="36">
        <f>Efficiency!J290</f>
        <v>159</v>
      </c>
      <c r="K170" s="36">
        <f>Efficiency!K290</f>
        <v>457</v>
      </c>
      <c r="L170" s="36">
        <f>Efficiency!L290</f>
        <v>161</v>
      </c>
      <c r="M170" s="36">
        <f>Efficiency!M290</f>
        <v>418</v>
      </c>
      <c r="N170" s="36">
        <f>Efficiency!N290</f>
        <v>488</v>
      </c>
      <c r="O170" s="36">
        <f>Efficiency!O290</f>
        <v>616</v>
      </c>
      <c r="P170" s="36">
        <f>Efficiency!P290</f>
        <v>492</v>
      </c>
      <c r="Q170" s="36">
        <f>Efficiency!Q290</f>
        <v>2929</v>
      </c>
      <c r="R170" s="36">
        <f>Efficiency!R290</f>
        <v>1663</v>
      </c>
      <c r="S170" s="36">
        <f>Efficiency!S290</f>
        <v>90</v>
      </c>
      <c r="T170" s="36">
        <f>Efficiency!T290</f>
        <v>273</v>
      </c>
      <c r="U170" s="36">
        <f>Efficiency!U290</f>
        <v>565</v>
      </c>
      <c r="V170" s="36">
        <f>Efficiency!V290</f>
        <v>13569</v>
      </c>
      <c r="W170" s="36">
        <f>Efficiency!W290</f>
        <v>307</v>
      </c>
      <c r="X170" s="36">
        <f>Efficiency!X290</f>
        <v>583</v>
      </c>
      <c r="Y170" s="36">
        <f>Efficiency!Y290</f>
        <v>347</v>
      </c>
      <c r="Z170" s="36">
        <f>Efficiency!Z290</f>
        <v>265</v>
      </c>
      <c r="AA170" s="36">
        <f>Efficiency!AA290</f>
        <v>256</v>
      </c>
      <c r="AB170" s="36">
        <f>Efficiency!AB290</f>
        <v>573</v>
      </c>
      <c r="AC170" s="36">
        <f>Efficiency!AC290</f>
        <v>1105</v>
      </c>
      <c r="AD170" s="459" t="s">
        <v>494</v>
      </c>
      <c r="AE170" s="398"/>
      <c r="AK170" s="133"/>
    </row>
    <row r="171" spans="1:60">
      <c r="A171" s="398"/>
      <c r="B171" s="459" t="s">
        <v>632</v>
      </c>
      <c r="C171" s="36">
        <f>Efficiency!C338</f>
        <v>773</v>
      </c>
      <c r="D171" s="36">
        <f>Efficiency!D338</f>
        <v>14</v>
      </c>
      <c r="E171" s="36">
        <f>Efficiency!E338</f>
        <v>33</v>
      </c>
      <c r="F171" s="36">
        <f>Efficiency!F338</f>
        <v>19</v>
      </c>
      <c r="G171" s="36">
        <f>Efficiency!G338</f>
        <v>43</v>
      </c>
      <c r="H171" s="36">
        <f>Efficiency!H338</f>
        <v>16</v>
      </c>
      <c r="I171" s="36">
        <f>Efficiency!I338</f>
        <v>24</v>
      </c>
      <c r="J171" s="36">
        <f>Efficiency!J338</f>
        <v>8</v>
      </c>
      <c r="K171" s="36">
        <f>Efficiency!K338</f>
        <v>13</v>
      </c>
      <c r="L171" s="36">
        <f>Efficiency!L338</f>
        <v>10</v>
      </c>
      <c r="M171" s="36">
        <f>Efficiency!M338</f>
        <v>23</v>
      </c>
      <c r="N171" s="36">
        <f>Efficiency!N338</f>
        <v>16</v>
      </c>
      <c r="O171" s="36">
        <f>Efficiency!O338</f>
        <v>17</v>
      </c>
      <c r="P171" s="36">
        <f>Efficiency!P338</f>
        <v>13</v>
      </c>
      <c r="Q171" s="36">
        <f>Efficiency!Q338</f>
        <v>71</v>
      </c>
      <c r="R171" s="36">
        <f>Efficiency!R338</f>
        <v>32</v>
      </c>
      <c r="S171" s="36">
        <f>Efficiency!S338</f>
        <v>2</v>
      </c>
      <c r="T171" s="36">
        <f>Efficiency!T338</f>
        <v>4</v>
      </c>
      <c r="U171" s="36">
        <f>Efficiency!U338</f>
        <v>13</v>
      </c>
      <c r="V171" s="36">
        <f>Efficiency!V338</f>
        <v>287</v>
      </c>
      <c r="W171" s="36">
        <f>Efficiency!W338</f>
        <v>16</v>
      </c>
      <c r="X171" s="36">
        <f>Efficiency!X338</f>
        <v>17</v>
      </c>
      <c r="Y171" s="36">
        <f>Efficiency!Y338</f>
        <v>11</v>
      </c>
      <c r="Z171" s="36">
        <f>Efficiency!Z338</f>
        <v>5</v>
      </c>
      <c r="AA171" s="36">
        <f>Efficiency!AA338</f>
        <v>16</v>
      </c>
      <c r="AB171" s="36">
        <f>Efficiency!AB338</f>
        <v>12</v>
      </c>
      <c r="AC171" s="36">
        <f>Efficiency!AC338</f>
        <v>38</v>
      </c>
      <c r="AD171" s="459" t="s">
        <v>494</v>
      </c>
      <c r="AE171" s="398"/>
    </row>
    <row r="172" spans="1:60">
      <c r="A172" s="398"/>
      <c r="B172" s="443" t="s">
        <v>501</v>
      </c>
      <c r="C172" s="36">
        <f>Efficiency!C386</f>
        <v>2759</v>
      </c>
      <c r="D172" s="36">
        <f>Efficiency!D386</f>
        <v>15</v>
      </c>
      <c r="E172" s="36">
        <f>Efficiency!E386</f>
        <v>109</v>
      </c>
      <c r="F172" s="36">
        <f>Efficiency!F386</f>
        <v>33</v>
      </c>
      <c r="G172" s="36">
        <f>Efficiency!G386</f>
        <v>150</v>
      </c>
      <c r="H172" s="36">
        <f>Efficiency!H386</f>
        <v>24</v>
      </c>
      <c r="I172" s="36">
        <f>Efficiency!I386</f>
        <v>54</v>
      </c>
      <c r="J172" s="36">
        <f>Efficiency!J386</f>
        <v>18</v>
      </c>
      <c r="K172" s="36">
        <f>Efficiency!K386</f>
        <v>23</v>
      </c>
      <c r="L172" s="36">
        <f>Efficiency!L386</f>
        <v>10</v>
      </c>
      <c r="M172" s="36">
        <f>Efficiency!M386</f>
        <v>32</v>
      </c>
      <c r="N172" s="36">
        <f>Efficiency!N386</f>
        <v>35</v>
      </c>
      <c r="O172" s="36">
        <f>Efficiency!O386</f>
        <v>42</v>
      </c>
      <c r="P172" s="36">
        <f>Efficiency!P386</f>
        <v>37</v>
      </c>
      <c r="Q172" s="36">
        <f>Efficiency!Q386</f>
        <v>262</v>
      </c>
      <c r="R172" s="36">
        <f>Efficiency!R386</f>
        <v>152</v>
      </c>
      <c r="S172" s="36">
        <f>Efficiency!S386</f>
        <v>3</v>
      </c>
      <c r="T172" s="36">
        <f>Efficiency!T386</f>
        <v>23</v>
      </c>
      <c r="U172" s="36">
        <f>Efficiency!U386</f>
        <v>40</v>
      </c>
      <c r="V172" s="36">
        <f>Efficiency!V386</f>
        <v>1430</v>
      </c>
      <c r="W172" s="36">
        <f>Efficiency!W386</f>
        <v>17</v>
      </c>
      <c r="X172" s="36">
        <f>Efficiency!X386</f>
        <v>47</v>
      </c>
      <c r="Y172" s="36">
        <f>Efficiency!Y386</f>
        <v>18</v>
      </c>
      <c r="Z172" s="36">
        <f>Efficiency!Z386</f>
        <v>16</v>
      </c>
      <c r="AA172" s="36">
        <f>Efficiency!AA386</f>
        <v>24</v>
      </c>
      <c r="AB172" s="36">
        <f>Efficiency!AB386</f>
        <v>37</v>
      </c>
      <c r="AC172" s="36">
        <f>Efficiency!AC386</f>
        <v>108</v>
      </c>
      <c r="AD172" s="459" t="s">
        <v>494</v>
      </c>
      <c r="AE172" s="398"/>
    </row>
    <row r="173" spans="1:60">
      <c r="A173" s="398"/>
      <c r="B173" s="443" t="s">
        <v>502</v>
      </c>
      <c r="C173" s="36">
        <f>Efficiency!C434</f>
        <v>25</v>
      </c>
      <c r="D173" s="36">
        <f>Efficiency!D434</f>
        <v>0</v>
      </c>
      <c r="E173" s="36">
        <f>Efficiency!E434</f>
        <v>11</v>
      </c>
      <c r="F173" s="36">
        <f>Efficiency!F434</f>
        <v>2</v>
      </c>
      <c r="G173" s="36">
        <f>Efficiency!G434</f>
        <v>0</v>
      </c>
      <c r="H173" s="36">
        <f>Efficiency!H434</f>
        <v>0</v>
      </c>
      <c r="I173" s="36">
        <f>Efficiency!I434</f>
        <v>1</v>
      </c>
      <c r="J173" s="36">
        <f>Efficiency!J434</f>
        <v>0</v>
      </c>
      <c r="K173" s="36">
        <f>Efficiency!K434</f>
        <v>1</v>
      </c>
      <c r="L173" s="36">
        <f>Efficiency!L434</f>
        <v>0</v>
      </c>
      <c r="M173" s="36">
        <f>Efficiency!M434</f>
        <v>0</v>
      </c>
      <c r="N173" s="36">
        <f>Efficiency!N434</f>
        <v>1</v>
      </c>
      <c r="O173" s="36">
        <f>Efficiency!O434</f>
        <v>1</v>
      </c>
      <c r="P173" s="36">
        <f>Efficiency!P434</f>
        <v>2</v>
      </c>
      <c r="Q173" s="36">
        <f>Efficiency!Q434</f>
        <v>2</v>
      </c>
      <c r="R173" s="36">
        <f>Efficiency!R434</f>
        <v>0</v>
      </c>
      <c r="S173" s="36">
        <f>Efficiency!S434</f>
        <v>0</v>
      </c>
      <c r="T173" s="36">
        <f>Efficiency!T434</f>
        <v>1</v>
      </c>
      <c r="U173" s="36">
        <f>Efficiency!U434</f>
        <v>0</v>
      </c>
      <c r="V173" s="36">
        <f>Efficiency!V434</f>
        <v>0</v>
      </c>
      <c r="W173" s="36">
        <f>Efficiency!W434</f>
        <v>0</v>
      </c>
      <c r="X173" s="36">
        <f>Efficiency!X434</f>
        <v>0</v>
      </c>
      <c r="Y173" s="36">
        <f>Efficiency!Y434</f>
        <v>0</v>
      </c>
      <c r="Z173" s="36">
        <f>Efficiency!Z434</f>
        <v>1</v>
      </c>
      <c r="AA173" s="36">
        <f>Efficiency!AA434</f>
        <v>0</v>
      </c>
      <c r="AB173" s="36">
        <f>Efficiency!AB434</f>
        <v>1</v>
      </c>
      <c r="AC173" s="36">
        <f>Efficiency!AC434</f>
        <v>1</v>
      </c>
      <c r="AD173" s="459" t="s">
        <v>494</v>
      </c>
      <c r="AE173" s="398"/>
    </row>
    <row r="174" spans="1:60" s="459" customFormat="1">
      <c r="A174" s="398"/>
      <c r="B174" s="443" t="s">
        <v>503</v>
      </c>
      <c r="C174" s="36">
        <f>Efficiency!C482</f>
        <v>4530</v>
      </c>
      <c r="D174" s="36">
        <f>Efficiency!D482</f>
        <v>46</v>
      </c>
      <c r="E174" s="36">
        <f>Efficiency!E482</f>
        <v>1676</v>
      </c>
      <c r="F174" s="36">
        <f>Efficiency!F482</f>
        <v>292</v>
      </c>
      <c r="G174" s="36">
        <f>Efficiency!G482</f>
        <v>54</v>
      </c>
      <c r="H174" s="36">
        <f>Efficiency!H482</f>
        <v>56</v>
      </c>
      <c r="I174" s="36">
        <f>Efficiency!I482</f>
        <v>24</v>
      </c>
      <c r="J174" s="36">
        <f>Efficiency!J482</f>
        <v>103</v>
      </c>
      <c r="K174" s="36">
        <f>Efficiency!K482</f>
        <v>239</v>
      </c>
      <c r="L174" s="36">
        <f>Efficiency!L482</f>
        <v>29</v>
      </c>
      <c r="M174" s="36">
        <f>Efficiency!M482</f>
        <v>98</v>
      </c>
      <c r="N174" s="36">
        <f>Efficiency!N482</f>
        <v>141</v>
      </c>
      <c r="O174" s="36">
        <f>Efficiency!O482</f>
        <v>257</v>
      </c>
      <c r="P174" s="36">
        <f>Efficiency!P482</f>
        <v>107</v>
      </c>
      <c r="Q174" s="36">
        <f>Efficiency!Q482</f>
        <v>514</v>
      </c>
      <c r="R174" s="36">
        <f>Efficiency!R482</f>
        <v>98</v>
      </c>
      <c r="S174" s="36">
        <f>Efficiency!S482</f>
        <v>123</v>
      </c>
      <c r="T174" s="36">
        <f>Efficiency!T482</f>
        <v>94</v>
      </c>
      <c r="U174" s="36">
        <f>Efficiency!U482</f>
        <v>100</v>
      </c>
      <c r="V174" s="36">
        <f>Efficiency!V482</f>
        <v>228</v>
      </c>
      <c r="W174" s="36">
        <f>Efficiency!W482</f>
        <v>17</v>
      </c>
      <c r="X174" s="36">
        <f>Efficiency!X482</f>
        <v>58</v>
      </c>
      <c r="Y174" s="36">
        <f>Efficiency!Y482</f>
        <v>30</v>
      </c>
      <c r="Z174" s="36">
        <f>Efficiency!Z482</f>
        <v>29</v>
      </c>
      <c r="AA174" s="36">
        <f>Efficiency!AA482</f>
        <v>35</v>
      </c>
      <c r="AB174" s="36">
        <f>Efficiency!AB482</f>
        <v>51</v>
      </c>
      <c r="AC174" s="36">
        <f>Efficiency!AC482</f>
        <v>31</v>
      </c>
      <c r="AD174" s="459" t="s">
        <v>494</v>
      </c>
      <c r="AE174"/>
    </row>
    <row r="175" spans="1:60">
      <c r="A175" s="443" t="s">
        <v>561</v>
      </c>
      <c r="B175" s="447" t="s">
        <v>495</v>
      </c>
      <c r="C175" s="36">
        <f>Efficiency!C530</f>
        <v>2500</v>
      </c>
      <c r="D175" s="36">
        <f>Efficiency!D530</f>
        <v>10</v>
      </c>
      <c r="E175" s="36">
        <f>Efficiency!E530</f>
        <v>1579</v>
      </c>
      <c r="F175" s="36">
        <f>Efficiency!F530</f>
        <v>71</v>
      </c>
      <c r="G175" s="36">
        <f>Efficiency!G530</f>
        <v>10</v>
      </c>
      <c r="H175" s="36">
        <f>Efficiency!H530</f>
        <v>12</v>
      </c>
      <c r="I175" s="36">
        <f>Efficiency!I530</f>
        <v>4</v>
      </c>
      <c r="J175" s="36">
        <f>Efficiency!J530</f>
        <v>48</v>
      </c>
      <c r="K175" s="36">
        <f>Efficiency!K530</f>
        <v>95</v>
      </c>
      <c r="L175" s="36">
        <f>Efficiency!L530</f>
        <v>14</v>
      </c>
      <c r="M175" s="36">
        <f>Efficiency!M530</f>
        <v>14</v>
      </c>
      <c r="N175" s="36">
        <f>Efficiency!N530</f>
        <v>17</v>
      </c>
      <c r="O175" s="36">
        <f>Efficiency!O530</f>
        <v>31</v>
      </c>
      <c r="P175" s="36">
        <f>Efficiency!P530</f>
        <v>44</v>
      </c>
      <c r="Q175" s="36">
        <f>Efficiency!Q530</f>
        <v>164</v>
      </c>
      <c r="R175" s="36">
        <f>Efficiency!R530</f>
        <v>28</v>
      </c>
      <c r="S175" s="36">
        <f>Efficiency!S530</f>
        <v>125</v>
      </c>
      <c r="T175" s="36">
        <f>Efficiency!T530</f>
        <v>12</v>
      </c>
      <c r="U175" s="36">
        <f>Efficiency!U530</f>
        <v>44</v>
      </c>
      <c r="V175" s="36">
        <f>Efficiency!V530</f>
        <v>115</v>
      </c>
      <c r="W175" s="36">
        <f>Efficiency!W530</f>
        <v>0</v>
      </c>
      <c r="X175" s="36">
        <f>Efficiency!X530</f>
        <v>20</v>
      </c>
      <c r="Y175" s="36">
        <f>Efficiency!Y530</f>
        <v>3</v>
      </c>
      <c r="Z175" s="36">
        <f>Efficiency!Z530</f>
        <v>12</v>
      </c>
      <c r="AA175" s="36">
        <f>Efficiency!AA530</f>
        <v>7</v>
      </c>
      <c r="AB175" s="36">
        <f>Efficiency!AB530</f>
        <v>17</v>
      </c>
      <c r="AC175" s="36">
        <f>Efficiency!AC530</f>
        <v>4</v>
      </c>
      <c r="AD175" s="447" t="s">
        <v>504</v>
      </c>
    </row>
    <row r="176" spans="1:60">
      <c r="A176" s="398"/>
      <c r="B176" s="447" t="s">
        <v>496</v>
      </c>
      <c r="C176" s="36">
        <f>Efficiency!C578</f>
        <v>17463</v>
      </c>
      <c r="D176" s="36">
        <f>Efficiency!D578</f>
        <v>147</v>
      </c>
      <c r="E176" s="36">
        <f>Efficiency!E578</f>
        <v>8514</v>
      </c>
      <c r="F176" s="36">
        <f>Efficiency!F578</f>
        <v>715</v>
      </c>
      <c r="G176" s="36">
        <f>Efficiency!G578</f>
        <v>204</v>
      </c>
      <c r="H176" s="36">
        <f>Efficiency!H578</f>
        <v>200</v>
      </c>
      <c r="I176" s="36">
        <f>Efficiency!I578</f>
        <v>83</v>
      </c>
      <c r="J176" s="36">
        <f>Efficiency!J578</f>
        <v>508</v>
      </c>
      <c r="K176" s="36">
        <f>Efficiency!K578</f>
        <v>832</v>
      </c>
      <c r="L176" s="36">
        <f>Efficiency!L578</f>
        <v>150</v>
      </c>
      <c r="M176" s="36">
        <f>Efficiency!M578</f>
        <v>259</v>
      </c>
      <c r="N176" s="36">
        <f>Efficiency!N578</f>
        <v>250</v>
      </c>
      <c r="O176" s="36">
        <f>Efficiency!O578</f>
        <v>315</v>
      </c>
      <c r="P176" s="36">
        <f>Efficiency!P578</f>
        <v>301</v>
      </c>
      <c r="Q176" s="36">
        <f>Efficiency!Q578</f>
        <v>1538</v>
      </c>
      <c r="R176" s="36">
        <f>Efficiency!R578</f>
        <v>436</v>
      </c>
      <c r="S176" s="36">
        <f>Efficiency!S578</f>
        <v>487</v>
      </c>
      <c r="T176" s="36">
        <f>Efficiency!T578</f>
        <v>241</v>
      </c>
      <c r="U176" s="36">
        <f>Efficiency!U578</f>
        <v>262</v>
      </c>
      <c r="V176" s="36">
        <f>Efficiency!V578</f>
        <v>822</v>
      </c>
      <c r="W176" s="36">
        <f>Efficiency!W578</f>
        <v>65</v>
      </c>
      <c r="X176" s="36">
        <f>Efficiency!X578</f>
        <v>270</v>
      </c>
      <c r="Y176" s="36">
        <f>Efficiency!Y578</f>
        <v>129</v>
      </c>
      <c r="Z176" s="36">
        <f>Efficiency!Z578</f>
        <v>155</v>
      </c>
      <c r="AA176" s="36">
        <f>Efficiency!AA578</f>
        <v>157</v>
      </c>
      <c r="AB176" s="36">
        <f>Efficiency!AB578</f>
        <v>348</v>
      </c>
      <c r="AC176" s="36">
        <f>Efficiency!AC578</f>
        <v>75</v>
      </c>
      <c r="AD176" s="447" t="s">
        <v>504</v>
      </c>
    </row>
    <row r="177" spans="1:49">
      <c r="A177" s="398"/>
      <c r="B177" s="447" t="s">
        <v>500</v>
      </c>
      <c r="C177" s="36">
        <f>Efficiency!C626</f>
        <v>1350</v>
      </c>
      <c r="D177" s="36">
        <f>Efficiency!D626</f>
        <v>4</v>
      </c>
      <c r="E177" s="36">
        <f>Efficiency!E626</f>
        <v>1055</v>
      </c>
      <c r="F177" s="36">
        <f>Efficiency!F626</f>
        <v>37</v>
      </c>
      <c r="G177" s="36">
        <f>Efficiency!G626</f>
        <v>1</v>
      </c>
      <c r="H177" s="36">
        <f>Efficiency!H626</f>
        <v>16</v>
      </c>
      <c r="I177" s="36">
        <f>Efficiency!I626</f>
        <v>0</v>
      </c>
      <c r="J177" s="36">
        <f>Efficiency!J626</f>
        <v>25</v>
      </c>
      <c r="K177" s="36">
        <f>Efficiency!K626</f>
        <v>51</v>
      </c>
      <c r="L177" s="36">
        <f>Efficiency!L626</f>
        <v>3</v>
      </c>
      <c r="M177" s="36">
        <f>Efficiency!M626</f>
        <v>6</v>
      </c>
      <c r="N177" s="36">
        <f>Efficiency!N626</f>
        <v>3</v>
      </c>
      <c r="O177" s="36">
        <f>Efficiency!O626</f>
        <v>13</v>
      </c>
      <c r="P177" s="36">
        <f>Efficiency!P626</f>
        <v>7</v>
      </c>
      <c r="Q177" s="36">
        <f>Efficiency!Q626</f>
        <v>49</v>
      </c>
      <c r="R177" s="36">
        <f>Efficiency!R626</f>
        <v>4</v>
      </c>
      <c r="S177" s="36">
        <f>Efficiency!S626</f>
        <v>42</v>
      </c>
      <c r="T177" s="36">
        <f>Efficiency!T626</f>
        <v>3</v>
      </c>
      <c r="U177" s="36">
        <f>Efficiency!U626</f>
        <v>1</v>
      </c>
      <c r="V177" s="36">
        <f>Efficiency!V626</f>
        <v>24</v>
      </c>
      <c r="W177" s="36">
        <f>Efficiency!W626</f>
        <v>0</v>
      </c>
      <c r="X177" s="36">
        <f>Efficiency!X626</f>
        <v>2</v>
      </c>
      <c r="Y177" s="36">
        <f>Efficiency!Y626</f>
        <v>0</v>
      </c>
      <c r="Z177" s="36">
        <f>Efficiency!Z626</f>
        <v>2</v>
      </c>
      <c r="AA177" s="36">
        <f>Efficiency!AA626</f>
        <v>1</v>
      </c>
      <c r="AB177" s="36">
        <f>Efficiency!AB626</f>
        <v>1</v>
      </c>
      <c r="AC177" s="36">
        <f>Efficiency!AC626</f>
        <v>0</v>
      </c>
      <c r="AD177" s="447" t="s">
        <v>504</v>
      </c>
    </row>
    <row r="178" spans="1:49">
      <c r="A178" s="459" t="s">
        <v>562</v>
      </c>
      <c r="B178" s="447" t="s">
        <v>505</v>
      </c>
      <c r="C178" s="36">
        <v>10695</v>
      </c>
      <c r="D178" s="36">
        <v>149</v>
      </c>
      <c r="E178" s="36">
        <v>3066</v>
      </c>
      <c r="F178" s="36">
        <v>501</v>
      </c>
      <c r="G178" s="36">
        <v>295</v>
      </c>
      <c r="H178" s="36">
        <v>198</v>
      </c>
      <c r="I178" s="36">
        <v>105</v>
      </c>
      <c r="J178" s="36">
        <v>230</v>
      </c>
      <c r="K178" s="36">
        <v>376</v>
      </c>
      <c r="L178" s="36">
        <v>211</v>
      </c>
      <c r="M178" s="36">
        <v>160</v>
      </c>
      <c r="N178" s="36">
        <v>289</v>
      </c>
      <c r="O178" s="36">
        <v>251</v>
      </c>
      <c r="P178" s="36">
        <v>238</v>
      </c>
      <c r="Q178" s="36">
        <v>897</v>
      </c>
      <c r="R178" s="36">
        <v>524</v>
      </c>
      <c r="S178" s="36">
        <v>314</v>
      </c>
      <c r="T178" s="36">
        <v>391</v>
      </c>
      <c r="U178" s="36">
        <v>179</v>
      </c>
      <c r="V178" s="36">
        <v>596</v>
      </c>
      <c r="W178" s="36">
        <v>99</v>
      </c>
      <c r="X178" s="36">
        <v>341</v>
      </c>
      <c r="Y178" s="36">
        <v>126</v>
      </c>
      <c r="Z178" s="36">
        <v>119</v>
      </c>
      <c r="AA178" s="36">
        <v>194</v>
      </c>
      <c r="AB178" s="36">
        <v>625</v>
      </c>
      <c r="AC178" s="36">
        <v>221</v>
      </c>
      <c r="AD178" t="s">
        <v>508</v>
      </c>
    </row>
    <row r="179" spans="1:49">
      <c r="A179" s="459" t="s">
        <v>24</v>
      </c>
      <c r="B179" s="459" t="s">
        <v>595</v>
      </c>
      <c r="C179" s="36">
        <f>SUM(D179:AC179)</f>
        <v>73</v>
      </c>
      <c r="D179" s="646">
        <v>0</v>
      </c>
      <c r="E179" s="469">
        <f>Demands!B163+Demands!C163</f>
        <v>73</v>
      </c>
      <c r="F179" s="646">
        <v>0</v>
      </c>
      <c r="G179" s="646">
        <v>0</v>
      </c>
      <c r="H179" s="646">
        <v>0</v>
      </c>
      <c r="I179" s="646">
        <v>0</v>
      </c>
      <c r="J179" s="646">
        <v>0</v>
      </c>
      <c r="K179" s="646">
        <v>0</v>
      </c>
      <c r="L179" s="646">
        <v>0</v>
      </c>
      <c r="M179" s="646">
        <v>0</v>
      </c>
      <c r="N179" s="646">
        <v>0</v>
      </c>
      <c r="O179" s="646">
        <v>0</v>
      </c>
      <c r="P179" s="646">
        <v>0</v>
      </c>
      <c r="Q179" s="646">
        <v>0</v>
      </c>
      <c r="R179" s="646">
        <v>0</v>
      </c>
      <c r="S179" s="646">
        <v>0</v>
      </c>
      <c r="T179" s="646">
        <v>0</v>
      </c>
      <c r="U179" s="646">
        <v>0</v>
      </c>
      <c r="V179" s="646">
        <v>0</v>
      </c>
      <c r="W179" s="646">
        <v>0</v>
      </c>
      <c r="X179" s="646">
        <v>0</v>
      </c>
      <c r="Y179" s="646">
        <v>0</v>
      </c>
      <c r="Z179" s="646">
        <v>0</v>
      </c>
      <c r="AA179" s="646">
        <v>0</v>
      </c>
      <c r="AB179" s="646">
        <v>0</v>
      </c>
      <c r="AC179" s="646">
        <v>0</v>
      </c>
      <c r="AD179" s="459" t="s">
        <v>598</v>
      </c>
    </row>
    <row r="180" spans="1:49">
      <c r="A180" s="36"/>
      <c r="B180" s="459" t="s">
        <v>596</v>
      </c>
      <c r="C180" s="36">
        <f>SUM(D267:D270)</f>
        <v>52</v>
      </c>
      <c r="D180" s="646">
        <v>0</v>
      </c>
      <c r="E180" s="469">
        <f>C180</f>
        <v>52</v>
      </c>
      <c r="F180" s="646">
        <v>0</v>
      </c>
      <c r="G180" s="646">
        <v>0</v>
      </c>
      <c r="H180" s="646">
        <v>0</v>
      </c>
      <c r="I180" s="646">
        <v>0</v>
      </c>
      <c r="J180" s="646">
        <v>0</v>
      </c>
      <c r="K180" s="646">
        <v>0</v>
      </c>
      <c r="L180" s="646">
        <v>0</v>
      </c>
      <c r="M180" s="646">
        <v>0</v>
      </c>
      <c r="N180" s="646">
        <v>0</v>
      </c>
      <c r="O180" s="646">
        <v>0</v>
      </c>
      <c r="P180" s="646">
        <v>0</v>
      </c>
      <c r="Q180" s="646">
        <v>0</v>
      </c>
      <c r="R180" s="646">
        <v>0</v>
      </c>
      <c r="S180" s="646">
        <v>0</v>
      </c>
      <c r="T180" s="646">
        <v>0</v>
      </c>
      <c r="U180" s="646">
        <v>0</v>
      </c>
      <c r="V180" s="646">
        <v>0</v>
      </c>
      <c r="W180" s="646">
        <v>0</v>
      </c>
      <c r="X180" s="646">
        <v>0</v>
      </c>
      <c r="Y180" s="646">
        <v>0</v>
      </c>
      <c r="Z180" s="646">
        <v>0</v>
      </c>
      <c r="AA180" s="646">
        <v>0</v>
      </c>
      <c r="AB180" s="646">
        <v>0</v>
      </c>
      <c r="AC180" s="646">
        <v>0</v>
      </c>
      <c r="AD180" s="459" t="s">
        <v>599</v>
      </c>
      <c r="AE180" s="459"/>
    </row>
    <row r="181" spans="1:49">
      <c r="A181" s="36"/>
      <c r="B181" s="459" t="s">
        <v>597</v>
      </c>
      <c r="C181" s="36">
        <f>SUM(D256:D266)</f>
        <v>144</v>
      </c>
      <c r="D181" s="36">
        <f>$C$181*Demands!C180</f>
        <v>1.7216380556777637</v>
      </c>
      <c r="E181" s="36">
        <f>$C$181*Demands!D180</f>
        <v>40.744476376377783</v>
      </c>
      <c r="F181" s="36">
        <f>$C$181*Demands!E180</f>
        <v>6.7285771436191437</v>
      </c>
      <c r="G181" s="36">
        <f>$C$181*Demands!F180</f>
        <v>3.0008007366861493</v>
      </c>
      <c r="H181" s="36">
        <f>$C$181*Demands!G180</f>
        <v>2.5612586665098633</v>
      </c>
      <c r="I181" s="36">
        <f>$C$181*Demands!H180</f>
        <v>1.2360098406821689</v>
      </c>
      <c r="J181" s="36">
        <f>$C$181*Demands!I180</f>
        <v>3.897484703997276</v>
      </c>
      <c r="K181" s="36">
        <f>$C$181*Demands!J180</f>
        <v>5.8981798098014071</v>
      </c>
      <c r="L181" s="36">
        <f>$C$181*Demands!K180</f>
        <v>2.3575603256287172</v>
      </c>
      <c r="M181" s="36">
        <f>$C$181*Demands!L180</f>
        <v>2.684427214967243</v>
      </c>
      <c r="N181" s="36">
        <f>$C$181*Demands!M180</f>
        <v>4.5276310857195625</v>
      </c>
      <c r="O181" s="36">
        <f>$C$181*Demands!N180</f>
        <v>4.3069679631824895</v>
      </c>
      <c r="P181" s="36">
        <f>$C$181*Demands!O180</f>
        <v>3.5930560820182822</v>
      </c>
      <c r="Q181" s="36">
        <f>$C$181*Demands!P180</f>
        <v>16.416465397486057</v>
      </c>
      <c r="R181" s="36">
        <f>$C$181*Demands!Q180</f>
        <v>4.4666969769197546</v>
      </c>
      <c r="S181" s="36">
        <f>$C$181*Demands!R180</f>
        <v>5.8937949731880215</v>
      </c>
      <c r="T181" s="36">
        <f>$C$181*Demands!S180</f>
        <v>4.8249230081071151</v>
      </c>
      <c r="U181" s="36">
        <f>$C$181*Demands!T180</f>
        <v>3.5131915751496496</v>
      </c>
      <c r="V181" s="36">
        <f>$C$181*Demands!U180</f>
        <v>7.8037390812213223</v>
      </c>
      <c r="W181" s="36">
        <f>$C$181*Demands!V180</f>
        <v>0.96901865130573772</v>
      </c>
      <c r="X181" s="36">
        <f>$C$181*Demands!W180</f>
        <v>3.94656463381469</v>
      </c>
      <c r="Y181" s="36">
        <f>$C$181*Demands!X180</f>
        <v>1.9518268577542608</v>
      </c>
      <c r="Z181" s="36">
        <f>$C$181*Demands!Y180</f>
        <v>1.9817949479878143</v>
      </c>
      <c r="AA181" s="36">
        <f>$C$181*Demands!Z180</f>
        <v>2.3035814749053136</v>
      </c>
      <c r="AB181" s="36">
        <f>$C$181*Demands!AA180</f>
        <v>4.8140062769524086</v>
      </c>
      <c r="AC181" s="36">
        <f>$C$181*Demands!AB180</f>
        <v>1.8563281403399705</v>
      </c>
      <c r="AD181" s="459" t="s">
        <v>599</v>
      </c>
      <c r="AE181" s="459"/>
    </row>
    <row r="182" spans="1:49">
      <c r="A182" s="459" t="s">
        <v>671</v>
      </c>
      <c r="B182" s="459" t="s">
        <v>714</v>
      </c>
      <c r="C182" s="36">
        <f>Demands!C401+Demands!C402</f>
        <v>890</v>
      </c>
      <c r="D182" s="36">
        <f>Demands!D401+Demands!D402</f>
        <v>10</v>
      </c>
      <c r="E182" s="36">
        <f>Demands!E401+Demands!E402</f>
        <v>278</v>
      </c>
      <c r="F182" s="36">
        <f>Demands!F401+Demands!F402</f>
        <v>49</v>
      </c>
      <c r="G182" s="36">
        <f>Demands!G401+Demands!G402</f>
        <v>15</v>
      </c>
      <c r="H182" s="36">
        <f>Demands!H401+Demands!H402</f>
        <v>21</v>
      </c>
      <c r="I182" s="36">
        <f>Demands!I401+Demands!I402</f>
        <v>8</v>
      </c>
      <c r="J182" s="36">
        <f>Demands!J401+Demands!J402</f>
        <v>15</v>
      </c>
      <c r="K182" s="36">
        <f>Demands!K401+Demands!K402</f>
        <v>21</v>
      </c>
      <c r="L182" s="36">
        <f>Demands!L401+Demands!L402</f>
        <v>10</v>
      </c>
      <c r="M182" s="36">
        <f>Demands!M401+Demands!M402</f>
        <v>14</v>
      </c>
      <c r="N182" s="36">
        <f>Demands!N401+Demands!N402</f>
        <v>28</v>
      </c>
      <c r="O182" s="36">
        <f>Demands!O401+Demands!O402</f>
        <v>46</v>
      </c>
      <c r="P182" s="36">
        <f>Demands!P401+Demands!P402</f>
        <v>16</v>
      </c>
      <c r="Q182" s="36">
        <f>Demands!Q401+Demands!Q402</f>
        <v>131</v>
      </c>
      <c r="R182" s="36">
        <f>Demands!R401+Demands!R402</f>
        <v>21</v>
      </c>
      <c r="S182" s="36">
        <f>Demands!S401+Demands!S402</f>
        <v>14</v>
      </c>
      <c r="T182" s="36">
        <f>Demands!T401+Demands!T402</f>
        <v>27</v>
      </c>
      <c r="U182" s="36">
        <f>Demands!U401+Demands!U402</f>
        <v>30</v>
      </c>
      <c r="V182" s="36">
        <f>Demands!V401+Demands!V402</f>
        <v>44</v>
      </c>
      <c r="W182" s="36">
        <f>Demands!W401+Demands!W402</f>
        <v>2</v>
      </c>
      <c r="X182" s="36">
        <f>Demands!X401+Demands!X402</f>
        <v>19</v>
      </c>
      <c r="Y182" s="36">
        <f>Demands!Y401+Demands!Y402</f>
        <v>14</v>
      </c>
      <c r="Z182" s="36">
        <f>Demands!Z401+Demands!Z402</f>
        <v>9</v>
      </c>
      <c r="AA182" s="36">
        <f>Demands!AA401+Demands!AA402</f>
        <v>7</v>
      </c>
      <c r="AB182" s="36">
        <f>Demands!AB401+Demands!AB402</f>
        <v>29</v>
      </c>
      <c r="AC182" s="36">
        <f>Demands!AC401+Demands!AC402</f>
        <v>12</v>
      </c>
      <c r="AD182" s="459" t="s">
        <v>592</v>
      </c>
    </row>
    <row r="183" spans="1:49" s="459" customFormat="1">
      <c r="A183"/>
      <c r="B183" s="459" t="s">
        <v>715</v>
      </c>
      <c r="C183" s="36">
        <f>Demands!C400</f>
        <v>353571</v>
      </c>
      <c r="D183" s="36">
        <f>Demands!D400</f>
        <v>5799</v>
      </c>
      <c r="E183" s="36">
        <f>Demands!E400</f>
        <v>74245</v>
      </c>
      <c r="F183" s="36">
        <f>Demands!F400</f>
        <v>16042</v>
      </c>
      <c r="G183" s="36">
        <f>Demands!G400</f>
        <v>8206</v>
      </c>
      <c r="H183" s="36">
        <f>Demands!H400</f>
        <v>6014</v>
      </c>
      <c r="I183" s="36">
        <f>Demands!I400</f>
        <v>3931</v>
      </c>
      <c r="J183" s="36">
        <f>Demands!J400</f>
        <v>8128</v>
      </c>
      <c r="K183" s="36">
        <f>Demands!K400</f>
        <v>14762</v>
      </c>
      <c r="L183" s="36">
        <f>Demands!L400</f>
        <v>6515</v>
      </c>
      <c r="M183" s="36">
        <f>Demands!M400</f>
        <v>8096</v>
      </c>
      <c r="N183" s="36">
        <f>Demands!N400</f>
        <v>13961</v>
      </c>
      <c r="O183" s="36">
        <f>Demands!O400</f>
        <v>9390</v>
      </c>
      <c r="P183" s="36">
        <f>Demands!P400</f>
        <v>9420</v>
      </c>
      <c r="Q183" s="36">
        <f>Demands!Q400</f>
        <v>41391</v>
      </c>
      <c r="R183" s="36">
        <f>Demands!R400</f>
        <v>11899</v>
      </c>
      <c r="S183" s="36">
        <f>Demands!S400</f>
        <v>13635</v>
      </c>
      <c r="T183" s="36">
        <f>Demands!T400</f>
        <v>13935</v>
      </c>
      <c r="U183" s="36">
        <f>Demands!U400</f>
        <v>8132</v>
      </c>
      <c r="V183" s="36">
        <f>Demands!V400</f>
        <v>20314</v>
      </c>
      <c r="W183" s="36">
        <f>Demands!W400</f>
        <v>3401</v>
      </c>
      <c r="X183" s="36">
        <f>Demands!X400</f>
        <v>13343</v>
      </c>
      <c r="Y183" s="36">
        <f>Demands!Y400</f>
        <v>6369</v>
      </c>
      <c r="Z183" s="36">
        <f>Demands!Z400</f>
        <v>6037</v>
      </c>
      <c r="AA183" s="36">
        <f>Demands!AA400</f>
        <v>8043</v>
      </c>
      <c r="AB183" s="36">
        <f>Demands!AB400</f>
        <v>14606</v>
      </c>
      <c r="AC183" s="36">
        <f>Demands!AC400</f>
        <v>7957</v>
      </c>
      <c r="AD183" s="459" t="s">
        <v>592</v>
      </c>
      <c r="AE183"/>
    </row>
    <row r="184" spans="1:49" s="459" customFormat="1">
      <c r="A184" s="458"/>
      <c r="B184" s="458" t="s">
        <v>597</v>
      </c>
      <c r="C184" s="458">
        <f>SUM(E294)</f>
        <v>14</v>
      </c>
      <c r="D184" s="458">
        <v>0</v>
      </c>
      <c r="E184" s="458">
        <f>C184</f>
        <v>14</v>
      </c>
      <c r="F184" s="458">
        <v>0</v>
      </c>
      <c r="G184" s="458">
        <v>0</v>
      </c>
      <c r="H184" s="458">
        <v>0</v>
      </c>
      <c r="I184" s="458">
        <v>0</v>
      </c>
      <c r="J184" s="458">
        <v>0</v>
      </c>
      <c r="K184" s="458">
        <f>C184</f>
        <v>14</v>
      </c>
      <c r="L184" s="458">
        <v>0</v>
      </c>
      <c r="M184" s="458">
        <v>0</v>
      </c>
      <c r="N184" s="458">
        <v>0</v>
      </c>
      <c r="O184" s="458">
        <v>0</v>
      </c>
      <c r="P184" s="458">
        <v>0</v>
      </c>
      <c r="Q184" s="458">
        <v>0</v>
      </c>
      <c r="R184" s="458">
        <v>0</v>
      </c>
      <c r="S184" s="458">
        <v>0</v>
      </c>
      <c r="T184" s="458">
        <v>0</v>
      </c>
      <c r="U184" s="458">
        <f>C184</f>
        <v>14</v>
      </c>
      <c r="V184" s="458">
        <v>0</v>
      </c>
      <c r="W184" s="458">
        <v>0</v>
      </c>
      <c r="X184" s="458">
        <f>C184</f>
        <v>14</v>
      </c>
      <c r="Y184" s="458">
        <v>0</v>
      </c>
      <c r="Z184" s="458">
        <v>0</v>
      </c>
      <c r="AA184" s="458">
        <v>0</v>
      </c>
      <c r="AB184" s="458">
        <v>0</v>
      </c>
      <c r="AC184" s="458">
        <v>0</v>
      </c>
      <c r="AD184"/>
      <c r="AE184"/>
    </row>
    <row r="185" spans="1:49">
      <c r="A185" s="459"/>
      <c r="B185" s="459"/>
      <c r="C185" s="459"/>
      <c r="D185" s="459"/>
      <c r="E185" s="459"/>
      <c r="F185" s="459"/>
      <c r="G185" s="459"/>
      <c r="H185" s="459"/>
      <c r="I185" s="459"/>
      <c r="J185" s="459"/>
      <c r="K185" s="459"/>
      <c r="L185" s="459"/>
      <c r="M185" s="459"/>
      <c r="N185" s="459"/>
      <c r="O185" s="459"/>
      <c r="P185" s="459"/>
      <c r="Q185" s="459"/>
      <c r="R185" s="459"/>
      <c r="S185" s="459"/>
      <c r="T185" s="459"/>
      <c r="U185" s="459"/>
      <c r="V185" s="459"/>
      <c r="W185" s="459"/>
      <c r="X185" s="459"/>
      <c r="Y185" s="459"/>
      <c r="Z185" s="459"/>
      <c r="AA185" s="459"/>
      <c r="AB185" s="459"/>
      <c r="AC185" s="459"/>
      <c r="AD185" s="459"/>
      <c r="AE185" s="459"/>
      <c r="AF185" s="451"/>
      <c r="AG185" s="448"/>
      <c r="AH185" s="448"/>
      <c r="AI185" s="448"/>
      <c r="AJ185" s="448"/>
      <c r="AK185" s="448"/>
      <c r="AL185" s="448"/>
      <c r="AM185" s="448"/>
      <c r="AN185" s="448"/>
      <c r="AO185" s="448"/>
      <c r="AP185" s="448"/>
      <c r="AQ185" s="448"/>
      <c r="AR185" s="448"/>
      <c r="AS185" s="448"/>
      <c r="AT185" s="448"/>
      <c r="AU185" s="448"/>
      <c r="AV185" s="448"/>
      <c r="AW185" s="448"/>
    </row>
    <row r="186" spans="1:49">
      <c r="A186" s="459"/>
      <c r="B186" s="459"/>
      <c r="C186" s="459"/>
      <c r="D186" s="459"/>
      <c r="E186" s="459"/>
      <c r="F186" s="459"/>
      <c r="G186" s="459"/>
      <c r="H186" s="459"/>
      <c r="I186" s="459"/>
      <c r="J186" s="459"/>
      <c r="K186" s="459"/>
      <c r="L186" s="459"/>
      <c r="M186" s="459"/>
      <c r="N186" s="459"/>
      <c r="O186" s="459"/>
      <c r="P186" s="459"/>
      <c r="Q186" s="459"/>
      <c r="R186" s="459"/>
      <c r="S186" s="459"/>
      <c r="T186" s="459"/>
      <c r="U186" s="459"/>
      <c r="V186" s="459"/>
      <c r="W186" s="459"/>
      <c r="X186" s="459"/>
      <c r="Y186" s="459"/>
      <c r="Z186" s="459"/>
      <c r="AA186" s="459"/>
      <c r="AB186" s="459"/>
      <c r="AC186" s="459"/>
      <c r="AD186" s="459"/>
      <c r="AE186" s="459"/>
    </row>
    <row r="188" spans="1:49" s="459" customFormat="1">
      <c r="A188"/>
      <c r="B188"/>
      <c r="C188"/>
      <c r="D188"/>
      <c r="E188"/>
      <c r="F188"/>
      <c r="G188"/>
      <c r="H188"/>
      <c r="I188"/>
      <c r="J188"/>
      <c r="K188"/>
      <c r="L188"/>
      <c r="M188"/>
      <c r="N188"/>
      <c r="O188"/>
      <c r="P188"/>
      <c r="Q188"/>
      <c r="R188"/>
      <c r="S188"/>
      <c r="T188"/>
      <c r="U188"/>
      <c r="V188"/>
      <c r="W188"/>
      <c r="X188"/>
      <c r="Y188"/>
      <c r="Z188"/>
      <c r="AA188"/>
      <c r="AB188"/>
      <c r="AC188"/>
      <c r="AD188"/>
      <c r="AE188"/>
    </row>
    <row r="189" spans="1:49" s="459" customFormat="1">
      <c r="A189" s="431" t="s">
        <v>481</v>
      </c>
      <c r="B189" s="432"/>
      <c r="C189"/>
      <c r="D189"/>
      <c r="E189"/>
      <c r="F189"/>
      <c r="G189"/>
      <c r="H189"/>
      <c r="I189"/>
      <c r="J189"/>
      <c r="K189"/>
      <c r="L189"/>
      <c r="M189"/>
      <c r="N189"/>
      <c r="O189"/>
      <c r="P189"/>
      <c r="Q189"/>
      <c r="R189"/>
      <c r="S189"/>
      <c r="T189"/>
      <c r="U189"/>
      <c r="V189"/>
      <c r="W189"/>
      <c r="X189"/>
      <c r="Y189"/>
      <c r="Z189"/>
      <c r="AA189"/>
      <c r="AB189"/>
      <c r="AC189"/>
      <c r="AD189"/>
      <c r="AE189"/>
    </row>
    <row r="190" spans="1:49">
      <c r="A190" s="433" t="s">
        <v>482</v>
      </c>
      <c r="B190" s="434" t="s">
        <v>483</v>
      </c>
    </row>
    <row r="191" spans="1:49">
      <c r="A191" s="435" t="s">
        <v>20</v>
      </c>
      <c r="B191" s="436">
        <v>1041376950</v>
      </c>
    </row>
    <row r="192" spans="1:49">
      <c r="A192" s="437" t="s">
        <v>484</v>
      </c>
      <c r="B192" s="436">
        <v>53868503</v>
      </c>
    </row>
    <row r="193" spans="1:2">
      <c r="A193" s="437" t="s">
        <v>19</v>
      </c>
      <c r="B193" s="438">
        <v>3392228806</v>
      </c>
    </row>
    <row r="194" spans="1:2">
      <c r="A194" s="437" t="s">
        <v>485</v>
      </c>
      <c r="B194" s="438">
        <v>162101602</v>
      </c>
    </row>
    <row r="195" spans="1:2">
      <c r="A195" s="439" t="s">
        <v>486</v>
      </c>
      <c r="B195" s="394"/>
    </row>
    <row r="196" spans="1:2">
      <c r="A196" s="394"/>
      <c r="B196" s="394"/>
    </row>
    <row r="197" spans="1:2">
      <c r="A197" s="394"/>
      <c r="B197" s="394"/>
    </row>
    <row r="198" spans="1:2">
      <c r="A198" s="431" t="s">
        <v>487</v>
      </c>
      <c r="B198" s="432"/>
    </row>
    <row r="199" spans="1:2">
      <c r="A199" s="433" t="s">
        <v>482</v>
      </c>
      <c r="B199" s="434" t="s">
        <v>487</v>
      </c>
    </row>
    <row r="200" spans="1:2">
      <c r="A200" s="435" t="s">
        <v>20</v>
      </c>
      <c r="B200" s="436">
        <v>35</v>
      </c>
    </row>
    <row r="201" spans="1:2">
      <c r="A201" s="437" t="s">
        <v>484</v>
      </c>
      <c r="B201" s="436">
        <v>32</v>
      </c>
    </row>
    <row r="202" spans="1:2">
      <c r="A202" s="437" t="s">
        <v>19</v>
      </c>
      <c r="B202" s="438">
        <v>37</v>
      </c>
    </row>
    <row r="203" spans="1:2">
      <c r="A203" s="437" t="s">
        <v>485</v>
      </c>
      <c r="B203" s="438">
        <v>33</v>
      </c>
    </row>
    <row r="204" spans="1:2">
      <c r="A204" s="394"/>
      <c r="B204" s="394"/>
    </row>
    <row r="205" spans="1:2">
      <c r="A205" s="394"/>
      <c r="B205" s="394"/>
    </row>
    <row r="206" spans="1:2">
      <c r="A206" s="431" t="s">
        <v>488</v>
      </c>
      <c r="B206" s="432"/>
    </row>
    <row r="207" spans="1:2">
      <c r="A207" s="433" t="s">
        <v>482</v>
      </c>
      <c r="B207" s="434" t="s">
        <v>489</v>
      </c>
    </row>
    <row r="208" spans="1:2">
      <c r="A208" s="435" t="s">
        <v>20</v>
      </c>
      <c r="B208" s="440">
        <f>(B191*B200)/((B191*B200)+(B192*B201))</f>
        <v>0.9548414346182118</v>
      </c>
    </row>
    <row r="209" spans="1:7">
      <c r="A209" s="437" t="s">
        <v>484</v>
      </c>
      <c r="B209" s="440">
        <f>(B192*B201)/((B191*B200)+(B192*B201))</f>
        <v>4.5158565381788147E-2</v>
      </c>
    </row>
    <row r="210" spans="1:7">
      <c r="A210" s="437" t="s">
        <v>19</v>
      </c>
      <c r="B210" s="440">
        <f>(B193*B202)/((B193*B202)+(B194*B203))</f>
        <v>0.95912212653292017</v>
      </c>
    </row>
    <row r="211" spans="1:7">
      <c r="A211" s="437" t="s">
        <v>485</v>
      </c>
      <c r="B211" s="440">
        <f>(B194*B203)/((B193*B202)+(B194*B203))</f>
        <v>4.087787346707978E-2</v>
      </c>
    </row>
    <row r="222" spans="1:7">
      <c r="A222" s="807" t="s">
        <v>506</v>
      </c>
      <c r="B222" s="807"/>
      <c r="C222" s="807"/>
      <c r="D222" s="807"/>
      <c r="E222" s="807"/>
      <c r="F222" s="808"/>
    </row>
    <row r="223" spans="1:7">
      <c r="A223" s="450" t="s">
        <v>29</v>
      </c>
      <c r="B223" s="450">
        <v>170</v>
      </c>
      <c r="C223" s="450">
        <v>180</v>
      </c>
      <c r="D223" s="450">
        <v>148</v>
      </c>
      <c r="E223" s="450">
        <v>144</v>
      </c>
      <c r="F223" s="450">
        <v>146</v>
      </c>
      <c r="G223" s="391" t="s">
        <v>535</v>
      </c>
    </row>
    <row r="224" spans="1:7">
      <c r="A224" s="449" t="s">
        <v>28</v>
      </c>
      <c r="B224" s="449">
        <v>305</v>
      </c>
      <c r="C224" s="449">
        <v>308</v>
      </c>
      <c r="D224" s="449">
        <v>312</v>
      </c>
      <c r="E224" s="449">
        <v>325</v>
      </c>
      <c r="F224" s="449">
        <v>332</v>
      </c>
      <c r="G224" s="448" t="s">
        <v>534</v>
      </c>
    </row>
    <row r="225" spans="1:12">
      <c r="A225" s="807" t="s">
        <v>507</v>
      </c>
      <c r="B225" s="807"/>
      <c r="C225" s="807"/>
      <c r="D225" s="807"/>
      <c r="E225" s="807"/>
      <c r="F225" s="808"/>
      <c r="G225" s="448"/>
    </row>
    <row r="226" spans="1:12">
      <c r="A226" s="459"/>
      <c r="B226" s="459"/>
      <c r="C226" s="459"/>
      <c r="D226" s="459"/>
      <c r="E226" s="459"/>
      <c r="F226" s="459"/>
      <c r="G226" s="459"/>
      <c r="H226" s="459"/>
      <c r="I226" s="459"/>
      <c r="J226" s="459"/>
      <c r="K226" s="459"/>
      <c r="L226" s="459"/>
    </row>
    <row r="227" spans="1:12">
      <c r="A227" s="452" t="s">
        <v>29</v>
      </c>
      <c r="C227" t="s">
        <v>532</v>
      </c>
      <c r="D227" t="s">
        <v>533</v>
      </c>
    </row>
    <row r="228" spans="1:12">
      <c r="A228" s="451" t="s">
        <v>509</v>
      </c>
      <c r="B228" t="s">
        <v>374</v>
      </c>
      <c r="C228">
        <v>14</v>
      </c>
      <c r="D228" s="5">
        <f t="shared" ref="D228:D237" si="127">C228/$C$238</f>
        <v>0.33333333333333331</v>
      </c>
    </row>
    <row r="229" spans="1:12">
      <c r="A229" s="451" t="s">
        <v>510</v>
      </c>
      <c r="B229" t="s">
        <v>531</v>
      </c>
      <c r="C229">
        <v>1</v>
      </c>
      <c r="D229" s="5">
        <f t="shared" si="127"/>
        <v>2.3809523809523808E-2</v>
      </c>
    </row>
    <row r="230" spans="1:12">
      <c r="A230" s="451" t="s">
        <v>511</v>
      </c>
      <c r="B230" s="448" t="s">
        <v>383</v>
      </c>
      <c r="C230">
        <v>5</v>
      </c>
      <c r="D230" s="5">
        <f t="shared" si="127"/>
        <v>0.11904761904761904</v>
      </c>
    </row>
    <row r="231" spans="1:12">
      <c r="A231" s="451" t="s">
        <v>512</v>
      </c>
      <c r="B231" s="448" t="s">
        <v>386</v>
      </c>
      <c r="C231">
        <v>4</v>
      </c>
      <c r="D231" s="5">
        <f t="shared" si="127"/>
        <v>9.5238095238095233E-2</v>
      </c>
    </row>
    <row r="232" spans="1:12">
      <c r="A232" s="451" t="s">
        <v>513</v>
      </c>
      <c r="B232" s="448" t="s">
        <v>387</v>
      </c>
      <c r="C232">
        <v>2</v>
      </c>
      <c r="D232" s="5">
        <f t="shared" si="127"/>
        <v>4.7619047619047616E-2</v>
      </c>
    </row>
    <row r="233" spans="1:12">
      <c r="A233" s="451" t="s">
        <v>514</v>
      </c>
      <c r="B233" s="448" t="s">
        <v>388</v>
      </c>
      <c r="C233">
        <v>5</v>
      </c>
      <c r="D233" s="5">
        <f t="shared" si="127"/>
        <v>0.11904761904761904</v>
      </c>
    </row>
    <row r="234" spans="1:12">
      <c r="A234" s="451" t="s">
        <v>515</v>
      </c>
      <c r="B234" s="448" t="s">
        <v>390</v>
      </c>
      <c r="C234">
        <v>2</v>
      </c>
      <c r="D234" s="5">
        <f t="shared" si="127"/>
        <v>4.7619047619047616E-2</v>
      </c>
    </row>
    <row r="235" spans="1:12">
      <c r="A235" s="451" t="s">
        <v>516</v>
      </c>
      <c r="B235" s="448" t="s">
        <v>391</v>
      </c>
      <c r="C235">
        <v>6</v>
      </c>
      <c r="D235" s="5">
        <f t="shared" si="127"/>
        <v>0.14285714285714285</v>
      </c>
    </row>
    <row r="236" spans="1:12">
      <c r="A236" s="451" t="s">
        <v>517</v>
      </c>
      <c r="B236" s="448" t="s">
        <v>395</v>
      </c>
      <c r="C236">
        <v>1</v>
      </c>
      <c r="D236" s="5">
        <f t="shared" si="127"/>
        <v>2.3809523809523808E-2</v>
      </c>
    </row>
    <row r="237" spans="1:12">
      <c r="A237" s="451" t="s">
        <v>518</v>
      </c>
      <c r="B237" s="448" t="s">
        <v>397</v>
      </c>
      <c r="C237">
        <v>2</v>
      </c>
      <c r="D237" s="5">
        <f t="shared" si="127"/>
        <v>4.7619047619047616E-2</v>
      </c>
    </row>
    <row r="238" spans="1:12">
      <c r="A238" s="451" t="s">
        <v>519</v>
      </c>
      <c r="C238">
        <f>SUM(C228:C237)</f>
        <v>42</v>
      </c>
    </row>
    <row r="239" spans="1:12">
      <c r="A239" s="451" t="s">
        <v>520</v>
      </c>
    </row>
    <row r="240" spans="1:12">
      <c r="A240" s="451" t="s">
        <v>521</v>
      </c>
      <c r="B240" s="459"/>
      <c r="C240" s="459"/>
      <c r="D240" s="459"/>
      <c r="E240" s="459"/>
      <c r="F240" s="459"/>
      <c r="G240" s="459"/>
      <c r="H240" s="459"/>
      <c r="I240" s="459"/>
      <c r="J240" s="459"/>
      <c r="K240" s="459"/>
      <c r="L240" s="459"/>
    </row>
    <row r="241" spans="1:12">
      <c r="A241" s="451" t="s">
        <v>522</v>
      </c>
      <c r="B241" s="459"/>
      <c r="C241" s="459"/>
      <c r="D241" s="459"/>
      <c r="E241" s="459"/>
      <c r="F241" s="459"/>
      <c r="G241" s="459"/>
      <c r="H241" s="459"/>
      <c r="I241" s="459"/>
      <c r="J241" s="459"/>
      <c r="K241" s="459"/>
      <c r="L241" s="459"/>
    </row>
    <row r="242" spans="1:12">
      <c r="A242" s="451" t="s">
        <v>523</v>
      </c>
      <c r="B242" s="459"/>
      <c r="C242" s="459"/>
      <c r="D242" s="459"/>
      <c r="E242" s="459"/>
      <c r="F242" s="459"/>
      <c r="G242" s="459"/>
      <c r="H242" s="459"/>
      <c r="I242" s="459"/>
      <c r="J242" s="459"/>
      <c r="K242" s="459"/>
      <c r="L242" s="459"/>
    </row>
    <row r="243" spans="1:12">
      <c r="A243" s="451" t="s">
        <v>524</v>
      </c>
    </row>
    <row r="244" spans="1:12">
      <c r="A244" s="451" t="s">
        <v>525</v>
      </c>
    </row>
    <row r="245" spans="1:12">
      <c r="A245" s="451" t="s">
        <v>526</v>
      </c>
    </row>
    <row r="246" spans="1:12">
      <c r="A246" s="451" t="s">
        <v>527</v>
      </c>
    </row>
    <row r="247" spans="1:12">
      <c r="A247" s="451" t="s">
        <v>528</v>
      </c>
      <c r="B247" s="448"/>
      <c r="C247" s="448"/>
      <c r="D247" s="448"/>
      <c r="E247" s="448"/>
      <c r="F247" s="448"/>
      <c r="G247" s="448"/>
      <c r="H247" s="448"/>
      <c r="I247" s="448"/>
      <c r="J247" s="448"/>
      <c r="K247" s="448"/>
      <c r="L247" s="448"/>
    </row>
    <row r="248" spans="1:12">
      <c r="A248" s="451" t="s">
        <v>529</v>
      </c>
      <c r="B248" s="459"/>
      <c r="C248" s="459"/>
      <c r="D248" s="459"/>
      <c r="E248" s="459"/>
      <c r="F248" s="459"/>
      <c r="G248" s="459"/>
      <c r="H248" s="459"/>
      <c r="I248" s="459"/>
      <c r="J248" s="459"/>
      <c r="K248" s="459"/>
      <c r="L248" s="459"/>
    </row>
    <row r="249" spans="1:12">
      <c r="A249" s="451" t="s">
        <v>530</v>
      </c>
      <c r="B249" s="459"/>
      <c r="C249" s="459"/>
      <c r="D249" s="459"/>
      <c r="E249" s="459"/>
      <c r="F249" s="459"/>
      <c r="G249" s="459"/>
      <c r="H249" s="459"/>
      <c r="I249" s="459"/>
      <c r="J249" s="459"/>
      <c r="K249" s="459"/>
      <c r="L249" s="459"/>
    </row>
    <row r="254" spans="1:12">
      <c r="A254" t="s">
        <v>734</v>
      </c>
    </row>
    <row r="255" spans="1:12" ht="25.5">
      <c r="A255" s="813" t="s">
        <v>116</v>
      </c>
      <c r="B255" s="814" t="s">
        <v>117</v>
      </c>
      <c r="C255" s="563" t="s">
        <v>118</v>
      </c>
      <c r="D255" s="563" t="s">
        <v>119</v>
      </c>
      <c r="E255" s="563" t="s">
        <v>120</v>
      </c>
      <c r="F255" s="563" t="s">
        <v>121</v>
      </c>
    </row>
    <row r="256" spans="1:12" ht="38.25">
      <c r="A256" s="813"/>
      <c r="B256" s="814"/>
      <c r="C256" s="564" t="s">
        <v>122</v>
      </c>
      <c r="D256" s="564">
        <v>28</v>
      </c>
      <c r="E256" s="564">
        <v>190</v>
      </c>
      <c r="F256" s="564" t="s">
        <v>123</v>
      </c>
    </row>
    <row r="257" spans="1:6">
      <c r="A257" s="813"/>
      <c r="B257" s="814"/>
      <c r="C257" s="565" t="s">
        <v>124</v>
      </c>
      <c r="D257" s="565">
        <v>25</v>
      </c>
      <c r="E257" s="565">
        <v>262</v>
      </c>
      <c r="F257" s="565" t="s">
        <v>125</v>
      </c>
    </row>
    <row r="258" spans="1:6">
      <c r="A258" s="813"/>
      <c r="B258" s="814"/>
      <c r="C258" s="564" t="s">
        <v>126</v>
      </c>
      <c r="D258" s="564">
        <v>10</v>
      </c>
      <c r="E258" s="564">
        <v>304</v>
      </c>
      <c r="F258" s="564">
        <v>2008</v>
      </c>
    </row>
    <row r="259" spans="1:6">
      <c r="A259" s="813"/>
      <c r="B259" s="815" t="s">
        <v>127</v>
      </c>
      <c r="C259" s="565" t="s">
        <v>128</v>
      </c>
      <c r="D259" s="565">
        <v>5</v>
      </c>
      <c r="E259" s="565" t="s">
        <v>129</v>
      </c>
      <c r="F259" s="565" t="s">
        <v>130</v>
      </c>
    </row>
    <row r="260" spans="1:6">
      <c r="A260" s="813"/>
      <c r="B260" s="815"/>
      <c r="C260" s="564" t="s">
        <v>131</v>
      </c>
      <c r="D260" s="564">
        <v>5</v>
      </c>
      <c r="E260" s="564">
        <v>28</v>
      </c>
      <c r="F260" s="564" t="s">
        <v>130</v>
      </c>
    </row>
    <row r="261" spans="1:6">
      <c r="A261" s="813"/>
      <c r="B261" s="815"/>
      <c r="C261" s="565" t="s">
        <v>132</v>
      </c>
      <c r="D261" s="565">
        <v>5</v>
      </c>
      <c r="E261" s="565">
        <v>44</v>
      </c>
      <c r="F261" s="565" t="s">
        <v>130</v>
      </c>
    </row>
    <row r="262" spans="1:6">
      <c r="A262" s="813"/>
      <c r="B262" s="815"/>
      <c r="C262" s="564" t="s">
        <v>133</v>
      </c>
      <c r="D262" s="564">
        <v>16</v>
      </c>
      <c r="E262" s="564">
        <v>69</v>
      </c>
      <c r="F262" s="564" t="s">
        <v>130</v>
      </c>
    </row>
    <row r="263" spans="1:6">
      <c r="A263" s="813"/>
      <c r="B263" s="815"/>
      <c r="C263" s="565" t="s">
        <v>134</v>
      </c>
      <c r="D263" s="565">
        <v>5</v>
      </c>
      <c r="E263" s="565">
        <v>69</v>
      </c>
      <c r="F263" s="565" t="s">
        <v>130</v>
      </c>
    </row>
    <row r="264" spans="1:6">
      <c r="A264" s="816" t="s">
        <v>135</v>
      </c>
      <c r="B264" s="566" t="s">
        <v>136</v>
      </c>
      <c r="C264" s="564" t="s">
        <v>124</v>
      </c>
      <c r="D264" s="564">
        <v>29</v>
      </c>
      <c r="E264" s="564">
        <v>185</v>
      </c>
      <c r="F264" s="564" t="s">
        <v>139</v>
      </c>
    </row>
    <row r="265" spans="1:6">
      <c r="A265" s="816"/>
      <c r="B265" s="566" t="s">
        <v>137</v>
      </c>
      <c r="C265" s="565" t="s">
        <v>140</v>
      </c>
      <c r="D265" s="565">
        <v>8</v>
      </c>
      <c r="E265" s="565">
        <v>85</v>
      </c>
      <c r="F265" s="565">
        <v>2000</v>
      </c>
    </row>
    <row r="266" spans="1:6">
      <c r="A266" s="816"/>
      <c r="B266" s="566" t="s">
        <v>138</v>
      </c>
      <c r="C266" s="564" t="s">
        <v>140</v>
      </c>
      <c r="D266" s="564">
        <v>8</v>
      </c>
      <c r="E266" s="564">
        <v>130</v>
      </c>
      <c r="F266" s="564">
        <v>1993</v>
      </c>
    </row>
    <row r="267" spans="1:6">
      <c r="A267" s="816" t="s">
        <v>40</v>
      </c>
      <c r="B267" s="814" t="s">
        <v>141</v>
      </c>
      <c r="C267" s="565" t="s">
        <v>143</v>
      </c>
      <c r="D267" s="565">
        <v>8</v>
      </c>
      <c r="E267" s="565">
        <v>160</v>
      </c>
      <c r="F267" s="565" t="s">
        <v>144</v>
      </c>
    </row>
    <row r="268" spans="1:6">
      <c r="A268" s="816"/>
      <c r="B268" s="814"/>
      <c r="C268" s="564" t="s">
        <v>145</v>
      </c>
      <c r="D268" s="564">
        <v>3</v>
      </c>
      <c r="E268" s="564">
        <v>160</v>
      </c>
      <c r="F268" s="564">
        <v>2001</v>
      </c>
    </row>
    <row r="269" spans="1:6">
      <c r="A269" s="816"/>
      <c r="B269" s="814"/>
      <c r="C269" s="565" t="s">
        <v>146</v>
      </c>
      <c r="D269" s="565">
        <v>4</v>
      </c>
      <c r="E269" s="565">
        <v>160</v>
      </c>
      <c r="F269" s="565">
        <v>2000</v>
      </c>
    </row>
    <row r="270" spans="1:6">
      <c r="A270" s="816"/>
      <c r="B270" s="566" t="s">
        <v>142</v>
      </c>
      <c r="C270" s="564" t="s">
        <v>140</v>
      </c>
      <c r="D270" s="564">
        <v>37</v>
      </c>
      <c r="E270" s="564">
        <v>128</v>
      </c>
      <c r="F270" s="564" t="s">
        <v>147</v>
      </c>
    </row>
    <row r="271" spans="1:6">
      <c r="A271" s="385" t="s">
        <v>170</v>
      </c>
      <c r="B271" s="385" t="s">
        <v>171</v>
      </c>
      <c r="D271" s="459"/>
      <c r="E271" s="459"/>
      <c r="F271" s="459"/>
    </row>
    <row r="272" spans="1:6">
      <c r="A272" s="459" t="s">
        <v>354</v>
      </c>
      <c r="B272" s="459"/>
      <c r="D272" s="459"/>
      <c r="E272" s="459"/>
      <c r="F272" s="459"/>
    </row>
    <row r="273" spans="1:31">
      <c r="A273" s="459" t="s">
        <v>353</v>
      </c>
    </row>
    <row r="277" spans="1:31" ht="23.25">
      <c r="A277" s="812" t="s">
        <v>723</v>
      </c>
      <c r="B277" s="812"/>
      <c r="C277" s="812"/>
      <c r="D277" s="812"/>
    </row>
    <row r="278" spans="1:31" ht="15.75" thickBot="1">
      <c r="A278" s="810" t="s">
        <v>163</v>
      </c>
      <c r="B278" s="811"/>
      <c r="C278" s="811"/>
      <c r="D278" s="811"/>
      <c r="E278" s="811"/>
      <c r="F278" s="811"/>
    </row>
    <row r="279" spans="1:31" ht="36.75" thickBot="1">
      <c r="A279" s="562" t="s">
        <v>118</v>
      </c>
      <c r="B279" s="562" t="s">
        <v>164</v>
      </c>
      <c r="C279" s="562" t="s">
        <v>165</v>
      </c>
      <c r="D279" s="562" t="s">
        <v>166</v>
      </c>
      <c r="E279" s="562" t="s">
        <v>169</v>
      </c>
      <c r="F279" s="562" t="s">
        <v>168</v>
      </c>
    </row>
    <row r="280" spans="1:31" ht="24" customHeight="1" thickBot="1">
      <c r="A280" s="558" t="s">
        <v>148</v>
      </c>
      <c r="B280" s="558" t="s">
        <v>149</v>
      </c>
      <c r="C280" s="558" t="s">
        <v>150</v>
      </c>
      <c r="D280" s="558" t="s">
        <v>151</v>
      </c>
      <c r="E280" s="559">
        <v>247</v>
      </c>
      <c r="F280" s="559">
        <f>2*6*52*E280</f>
        <v>154128</v>
      </c>
    </row>
    <row r="281" spans="1:31" ht="26.25" thickBot="1">
      <c r="A281" s="560" t="s">
        <v>152</v>
      </c>
      <c r="B281" s="560" t="s">
        <v>153</v>
      </c>
      <c r="C281" s="560" t="s">
        <v>150</v>
      </c>
      <c r="D281" s="560" t="s">
        <v>154</v>
      </c>
      <c r="E281" s="561">
        <v>317</v>
      </c>
      <c r="F281" s="561">
        <f>2*E281*2*52</f>
        <v>65936</v>
      </c>
    </row>
    <row r="282" spans="1:31" ht="51.75" thickBot="1">
      <c r="A282" s="558" t="s">
        <v>155</v>
      </c>
      <c r="B282" s="558" t="s">
        <v>156</v>
      </c>
      <c r="C282" s="558" t="s">
        <v>157</v>
      </c>
      <c r="D282" s="558" t="s">
        <v>158</v>
      </c>
      <c r="E282" s="559">
        <v>312</v>
      </c>
      <c r="F282" s="559">
        <f>2*E282*3*52</f>
        <v>97344</v>
      </c>
    </row>
    <row r="283" spans="1:31" ht="39" thickBot="1">
      <c r="A283" s="560" t="s">
        <v>159</v>
      </c>
      <c r="B283" s="560" t="s">
        <v>160</v>
      </c>
      <c r="C283" s="560" t="s">
        <v>161</v>
      </c>
      <c r="D283" s="560" t="s">
        <v>162</v>
      </c>
      <c r="E283" s="561">
        <v>64.2</v>
      </c>
      <c r="F283" s="561">
        <f>2*E283*35*52</f>
        <v>233688</v>
      </c>
    </row>
    <row r="284" spans="1:31">
      <c r="A284" t="s">
        <v>724</v>
      </c>
    </row>
    <row r="286" spans="1:31">
      <c r="A286" s="809" t="s">
        <v>729</v>
      </c>
      <c r="B286" s="809"/>
      <c r="C286" s="809" t="s">
        <v>730</v>
      </c>
      <c r="D286" s="809"/>
      <c r="E286" s="459"/>
      <c r="F286" s="459"/>
      <c r="G286" s="459"/>
      <c r="H286" s="459"/>
      <c r="I286" s="459"/>
      <c r="J286" s="459"/>
      <c r="K286" s="459"/>
      <c r="L286" s="459"/>
      <c r="M286" s="459"/>
      <c r="N286" s="459"/>
      <c r="O286" s="459"/>
      <c r="P286" s="459"/>
      <c r="Q286" s="459"/>
      <c r="R286" s="459"/>
      <c r="S286" s="459"/>
      <c r="T286" s="459"/>
      <c r="U286" s="459"/>
      <c r="V286" s="459"/>
      <c r="W286" s="459"/>
      <c r="X286" s="459"/>
      <c r="Y286" s="459"/>
      <c r="Z286" s="459"/>
      <c r="AA286" s="459"/>
      <c r="AB286" s="459"/>
      <c r="AC286" s="459"/>
      <c r="AD286" s="459"/>
      <c r="AE286" s="459"/>
    </row>
    <row r="287" spans="1:31">
      <c r="A287" s="459" t="s">
        <v>22</v>
      </c>
      <c r="B287" s="459" t="s">
        <v>731</v>
      </c>
      <c r="C287" s="459" t="s">
        <v>23</v>
      </c>
      <c r="D287" s="459" t="s">
        <v>731</v>
      </c>
      <c r="E287" s="411" t="s">
        <v>732</v>
      </c>
      <c r="F287" s="459"/>
      <c r="G287" s="459"/>
      <c r="H287" s="459"/>
      <c r="I287" s="459"/>
      <c r="J287" s="459"/>
      <c r="K287" s="459"/>
      <c r="L287" s="459"/>
      <c r="M287" s="459"/>
      <c r="N287" s="459"/>
      <c r="O287" s="459"/>
      <c r="P287" s="459"/>
      <c r="Q287" s="459"/>
      <c r="R287" s="459"/>
      <c r="S287" s="459"/>
      <c r="T287" s="459"/>
      <c r="U287" s="459"/>
      <c r="V287" s="459"/>
      <c r="W287" s="459"/>
      <c r="X287" s="459"/>
      <c r="Y287" s="459"/>
      <c r="Z287" s="459"/>
      <c r="AA287" s="459"/>
      <c r="AB287" s="459"/>
      <c r="AC287" s="459"/>
      <c r="AD287" s="459"/>
      <c r="AE287" s="459"/>
    </row>
    <row r="288" spans="1:31">
      <c r="A288" t="s">
        <v>725</v>
      </c>
      <c r="B288" t="s">
        <v>393</v>
      </c>
      <c r="C288" s="459" t="s">
        <v>726</v>
      </c>
      <c r="D288" s="459" t="s">
        <v>374</v>
      </c>
      <c r="E288" s="39">
        <v>6</v>
      </c>
    </row>
    <row r="289" spans="1:31" s="459" customFormat="1">
      <c r="A289" s="459" t="s">
        <v>725</v>
      </c>
      <c r="B289" s="459" t="s">
        <v>393</v>
      </c>
      <c r="C289" s="459" t="s">
        <v>727</v>
      </c>
      <c r="D289" s="459" t="s">
        <v>390</v>
      </c>
      <c r="E289">
        <v>2</v>
      </c>
      <c r="F289"/>
      <c r="G289"/>
      <c r="H289"/>
      <c r="I289"/>
      <c r="J289"/>
      <c r="K289"/>
      <c r="L289"/>
      <c r="M289"/>
      <c r="N289"/>
      <c r="O289"/>
      <c r="P289"/>
      <c r="Q289"/>
      <c r="R289"/>
      <c r="S289"/>
      <c r="T289"/>
      <c r="U289"/>
      <c r="V289"/>
      <c r="W289"/>
      <c r="X289"/>
      <c r="Y289"/>
      <c r="Z289"/>
      <c r="AA289"/>
      <c r="AB289"/>
      <c r="AC289"/>
      <c r="AD289"/>
      <c r="AE289"/>
    </row>
    <row r="290" spans="1:31" s="459" customFormat="1">
      <c r="A290" s="459" t="s">
        <v>725</v>
      </c>
      <c r="B290" s="459" t="s">
        <v>393</v>
      </c>
      <c r="C290" s="459" t="s">
        <v>390</v>
      </c>
      <c r="D290" s="459" t="s">
        <v>390</v>
      </c>
      <c r="E290">
        <v>3</v>
      </c>
      <c r="F290"/>
      <c r="G290"/>
      <c r="H290"/>
      <c r="I290"/>
      <c r="J290"/>
      <c r="K290"/>
      <c r="L290"/>
      <c r="M290"/>
      <c r="N290"/>
      <c r="O290"/>
      <c r="P290"/>
      <c r="Q290"/>
      <c r="R290"/>
      <c r="S290"/>
      <c r="T290"/>
      <c r="U290"/>
      <c r="V290"/>
      <c r="W290"/>
      <c r="X290"/>
      <c r="Y290"/>
      <c r="Z290"/>
      <c r="AA290"/>
      <c r="AB290"/>
      <c r="AC290"/>
      <c r="AD290"/>
      <c r="AE290"/>
    </row>
    <row r="291" spans="1:31">
      <c r="A291" t="s">
        <v>728</v>
      </c>
      <c r="B291" t="s">
        <v>380</v>
      </c>
      <c r="C291" s="459" t="s">
        <v>726</v>
      </c>
      <c r="D291" s="459" t="s">
        <v>374</v>
      </c>
      <c r="E291">
        <v>3</v>
      </c>
    </row>
    <row r="293" spans="1:31">
      <c r="A293" s="3" t="s">
        <v>393</v>
      </c>
      <c r="B293" s="3" t="s">
        <v>374</v>
      </c>
      <c r="C293" s="3" t="s">
        <v>390</v>
      </c>
      <c r="D293" s="3" t="s">
        <v>380</v>
      </c>
      <c r="E293" s="3" t="s">
        <v>733</v>
      </c>
    </row>
    <row r="294" spans="1:31">
      <c r="A294" s="3">
        <f>SUM(E288:E290)/2</f>
        <v>5.5</v>
      </c>
      <c r="B294" s="3">
        <f>0.5*(E288+E291)</f>
        <v>4.5</v>
      </c>
      <c r="C294" s="3">
        <f>0.5*(E289+E290)</f>
        <v>2.5</v>
      </c>
      <c r="D294" s="3">
        <f>E291/2</f>
        <v>1.5</v>
      </c>
      <c r="E294" s="3">
        <f>SUM(A294:D294)</f>
        <v>14</v>
      </c>
    </row>
    <row r="295" spans="1:31">
      <c r="A295" s="556">
        <f>A294/$E$294</f>
        <v>0.39285714285714285</v>
      </c>
      <c r="B295" s="556">
        <f t="shared" ref="B295:E295" si="128">B294/$E$294</f>
        <v>0.32142857142857145</v>
      </c>
      <c r="C295" s="556">
        <f t="shared" si="128"/>
        <v>0.17857142857142858</v>
      </c>
      <c r="D295" s="556">
        <f t="shared" si="128"/>
        <v>0.10714285714285714</v>
      </c>
      <c r="E295" s="556">
        <f t="shared" si="128"/>
        <v>1</v>
      </c>
    </row>
    <row r="298" spans="1:31">
      <c r="A298" s="459"/>
      <c r="B298" s="459"/>
      <c r="C298" s="459"/>
      <c r="D298" s="459"/>
      <c r="E298" s="459"/>
      <c r="F298" s="459"/>
    </row>
    <row r="299" spans="1:31">
      <c r="A299" s="459"/>
      <c r="B299" s="459"/>
      <c r="C299" s="459"/>
      <c r="D299" s="459"/>
      <c r="E299" s="459"/>
      <c r="F299" s="459"/>
    </row>
    <row r="300" spans="1:31">
      <c r="A300" s="459"/>
      <c r="B300" s="459"/>
      <c r="C300" s="459"/>
      <c r="D300" s="459"/>
      <c r="E300" s="459"/>
      <c r="F300" s="459"/>
    </row>
    <row r="301" spans="1:31">
      <c r="A301" s="459"/>
      <c r="B301" s="459"/>
      <c r="C301" s="459"/>
      <c r="D301" s="459"/>
      <c r="E301" s="459"/>
      <c r="F301" s="459"/>
    </row>
    <row r="302" spans="1:31">
      <c r="A302" s="459"/>
      <c r="B302" s="459"/>
      <c r="C302" s="459"/>
      <c r="D302" s="459"/>
      <c r="E302" s="459"/>
      <c r="F302" s="459"/>
    </row>
    <row r="303" spans="1:31">
      <c r="A303" s="459"/>
      <c r="B303" s="459"/>
      <c r="C303" s="459"/>
      <c r="D303" s="459"/>
      <c r="E303" s="459"/>
      <c r="F303" s="459"/>
    </row>
    <row r="304" spans="1:31">
      <c r="A304" s="459"/>
      <c r="B304" s="459"/>
      <c r="C304" s="459"/>
      <c r="D304" s="459"/>
      <c r="E304" s="459"/>
      <c r="F304" s="459"/>
    </row>
  </sheetData>
  <mergeCells count="12">
    <mergeCell ref="A222:F222"/>
    <mergeCell ref="A225:F225"/>
    <mergeCell ref="A286:B286"/>
    <mergeCell ref="C286:D286"/>
    <mergeCell ref="A278:F278"/>
    <mergeCell ref="A277:D277"/>
    <mergeCell ref="A255:A263"/>
    <mergeCell ref="B255:B258"/>
    <mergeCell ref="B259:B263"/>
    <mergeCell ref="A264:A266"/>
    <mergeCell ref="A267:A270"/>
    <mergeCell ref="B267:B269"/>
  </mergeCells>
  <phoneticPr fontId="37" type="noConversion"/>
  <hyperlinks>
    <hyperlink ref="A228" r:id="rId1" display="https://expressway.ie/RouteX1" xr:uid="{12FD7378-5DD9-49BF-9595-647F6AB6C3AC}"/>
    <hyperlink ref="A229" r:id="rId2" display="https://expressway.ie/Route2" xr:uid="{69953ACB-AB5D-4AB7-A8BB-55C1C07F9421}"/>
    <hyperlink ref="A230" r:id="rId3" display="https://expressway.ie/RouteX2" xr:uid="{6D92C70C-4DE4-4C0D-B652-B669974C2FE2}"/>
    <hyperlink ref="A231" r:id="rId4" display="https://expressway.ie/Route4" xr:uid="{70A446C3-587A-40A9-AD08-6BF8F0DB2489}"/>
    <hyperlink ref="A232" r:id="rId5" display="https://expressway.ie/RouteX4" xr:uid="{989A6CC7-C259-4290-8B89-070DD6615161}"/>
    <hyperlink ref="A233" r:id="rId6" display="https://expressway.ie/RouteX8" xr:uid="{81CD38C2-EC07-4C32-9631-34680988DA3D}"/>
    <hyperlink ref="A234" r:id="rId7" display="https://expressway.ie/RouteX12" xr:uid="{A7B5B314-43C1-48AE-8D61-4924224DF45A}"/>
    <hyperlink ref="A235" r:id="rId8" display="https://expressway.ie/Route13" xr:uid="{1138545F-6F8E-4BAD-ABEB-0664CBFBC84B}"/>
    <hyperlink ref="A236" r:id="rId9" display="https://expressway.ie/Route14" xr:uid="{CE9C8616-A621-40A6-8E1B-1351A5983FA6}"/>
    <hyperlink ref="A237" r:id="rId10" display="https://expressway.ie/Route20" xr:uid="{6FD82ABA-E079-49E3-8DB4-C4A49CA7BF91}"/>
    <hyperlink ref="A238" r:id="rId11" display="https://expressway.ie/RouteX20" xr:uid="{F7AAED82-07BB-43A4-B5A1-F2731F84724B}"/>
    <hyperlink ref="A239" r:id="rId12" display="https://expressway.ie/Route22" xr:uid="{F8B20953-D9B3-4305-8BA3-E84560BAAAFC}"/>
    <hyperlink ref="A240" r:id="rId13" display="https://expressway.ie/Route23" xr:uid="{7A5A6303-172D-4FB2-9308-4A569BB4ED98}"/>
    <hyperlink ref="A241" r:id="rId14" display="https://expressway.ie/Route30" xr:uid="{3F898CC9-999E-45E7-984C-80976FEC883E}"/>
    <hyperlink ref="A242" r:id="rId15" display="https://expressway.ie/Route32" xr:uid="{8D1C9885-F846-4C07-964E-458ABDF0A1DA}"/>
    <hyperlink ref="A243" r:id="rId16" display="https://expressway.ie/Route40" xr:uid="{731FFF91-D951-4C13-B0B6-4C538F429E45}"/>
    <hyperlink ref="A244" r:id="rId17" display="https://expressway.ie/Route51" xr:uid="{0282CEF0-B4C5-4B3B-8C07-AB8360F2B798}"/>
    <hyperlink ref="A245" r:id="rId18" display="https://expressway.ie/RouteX51" xr:uid="{AEC06AE5-01CD-41E3-859E-018C00539A22}"/>
    <hyperlink ref="A246" r:id="rId19" display="https://expressway.ie/Route52" xr:uid="{42E7FE3B-E31B-43D0-960E-08E896648F4B}"/>
    <hyperlink ref="A247" r:id="rId20" display="https://expressway.ie/Route55" xr:uid="{3C4B86AA-A0BB-4B89-B5E2-01E99E90F012}"/>
    <hyperlink ref="A248" r:id="rId21" display="https://expressway.ie/Route64" xr:uid="{B2DC063D-F23A-414C-89C2-C442E14F340C}"/>
    <hyperlink ref="A249" r:id="rId22" display="https://expressway.ie/Route100X" xr:uid="{5F8E68E9-B459-40CB-AA04-15978C326663}"/>
  </hyperlinks>
  <pageMargins left="0.7" right="0.7" top="0.75" bottom="0.75" header="0.3" footer="0.3"/>
  <pageSetup orientation="portrait" r:id="rId23"/>
  <ignoredErrors>
    <ignoredError sqref="C180:C181"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zoomScale="70" zoomScaleNormal="70" workbookViewId="0">
      <selection activeCell="D15" sqref="D15:I15"/>
    </sheetView>
  </sheetViews>
  <sheetFormatPr defaultRowHeight="15"/>
  <cols>
    <col min="1" max="1" width="28" customWidth="1"/>
    <col min="2" max="2" width="18.85546875" customWidth="1"/>
    <col min="3" max="3" width="17.7109375" customWidth="1"/>
    <col min="4" max="4" width="16.85546875" style="24" customWidth="1"/>
    <col min="5" max="5" width="15.7109375" style="24"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5" t="s">
        <v>871</v>
      </c>
      <c r="B2" s="94"/>
      <c r="C2" s="94"/>
      <c r="D2" s="94"/>
      <c r="E2" s="94"/>
      <c r="F2" s="94"/>
      <c r="G2" s="94"/>
    </row>
    <row r="3" spans="1:29" ht="15.7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Commodities!B22</f>
        <v>TRAPS</v>
      </c>
      <c r="B4" s="448" t="str">
        <f>Commodities!D22</f>
        <v>Bpkm</v>
      </c>
      <c r="C4" s="517">
        <f>C364/1000</f>
        <v>14.556561092397196</v>
      </c>
      <c r="D4" s="517">
        <f t="shared" ref="D4:AC4" si="0">D364/1000</f>
        <v>0.19075815329593268</v>
      </c>
      <c r="E4" s="517">
        <f t="shared" si="0"/>
        <v>3.813707778705095</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0.10399821589805379</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Commodities!B23</f>
        <v>TRAPM</v>
      </c>
      <c r="B5" s="459" t="str">
        <f>Commodities!D23</f>
        <v>Bpkm</v>
      </c>
      <c r="C5" s="517">
        <f>C378/1000</f>
        <v>31.276118540280986</v>
      </c>
      <c r="D5" s="517">
        <f t="shared" ref="D5:AC5" si="1">D378/1000</f>
        <v>0.43519149385547129</v>
      </c>
      <c r="E5" s="517">
        <f t="shared" si="1"/>
        <v>7.621153644998925</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0.23333731031609198</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Commodities!B24</f>
        <v>TRAPL</v>
      </c>
      <c r="B6" s="459" t="str">
        <f>Commodities!D24</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Commodities!B25</f>
        <v>TFGV</v>
      </c>
      <c r="B7" s="459" t="str">
        <f>Commodities!D25</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Commodities!B26</f>
        <v>TFRAIL</v>
      </c>
      <c r="B8" s="716" t="str">
        <f>Commodities!D26</f>
        <v>Btkm</v>
      </c>
      <c r="C8" s="517">
        <f>G526/1000000</f>
        <v>8.8551000000000005E-2</v>
      </c>
      <c r="D8" s="9">
        <v>0</v>
      </c>
      <c r="E8" s="517">
        <f>C8*Stock!B295</f>
        <v>2.8462821428571431E-2</v>
      </c>
      <c r="F8" s="9">
        <v>0</v>
      </c>
      <c r="G8" s="9">
        <v>0</v>
      </c>
      <c r="H8" s="9">
        <v>0</v>
      </c>
      <c r="I8" s="9">
        <v>0</v>
      </c>
      <c r="J8" s="9">
        <v>0</v>
      </c>
      <c r="K8" s="517">
        <f>C8*Stock!D295</f>
        <v>9.4876071428571431E-3</v>
      </c>
      <c r="L8" s="9">
        <v>0</v>
      </c>
      <c r="M8" s="9">
        <v>0</v>
      </c>
      <c r="N8" s="9">
        <v>0</v>
      </c>
      <c r="O8" s="9">
        <v>0</v>
      </c>
      <c r="P8" s="9">
        <v>0</v>
      </c>
      <c r="Q8" s="9">
        <v>0</v>
      </c>
      <c r="R8" s="9">
        <v>0</v>
      </c>
      <c r="S8" s="9">
        <v>0</v>
      </c>
      <c r="T8" s="9">
        <v>0</v>
      </c>
      <c r="U8" s="517">
        <f>C8*Stock!C295</f>
        <v>1.5812678571428571E-2</v>
      </c>
      <c r="V8" s="9">
        <v>0</v>
      </c>
      <c r="W8" s="9">
        <v>0</v>
      </c>
      <c r="X8" s="517">
        <f>C8*Stock!A295</f>
        <v>3.4787892857142858E-2</v>
      </c>
      <c r="Y8" s="9">
        <v>0</v>
      </c>
      <c r="Z8" s="9">
        <v>0</v>
      </c>
      <c r="AA8" s="9">
        <v>0</v>
      </c>
      <c r="AB8" s="9">
        <v>0</v>
      </c>
      <c r="AC8" s="9">
        <v>0</v>
      </c>
    </row>
    <row r="9" spans="1:29" s="459" customFormat="1">
      <c r="A9" s="656" t="str">
        <f>Commodities!B27</f>
        <v>TTURS</v>
      </c>
      <c r="B9" s="11" t="str">
        <f>Commodities!D27</f>
        <v>PJ</v>
      </c>
      <c r="C9" s="657">
        <f t="shared" ref="C9:AC9" si="4">C590</f>
        <v>7.7245727925227738</v>
      </c>
      <c r="D9" s="657">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6" t="str">
        <f>Commodities!B28</f>
        <v>TNAV</v>
      </c>
      <c r="B10" s="11" t="str">
        <f>Commodities!D28</f>
        <v>PJ</v>
      </c>
      <c r="C10" s="657">
        <f t="shared" ref="C10:AC10" si="5">C591</f>
        <v>3.513299808727715</v>
      </c>
      <c r="D10" s="657">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Commodities!B29</f>
        <v>TOTH</v>
      </c>
      <c r="B11" s="11" t="str">
        <f>Commodities!D29</f>
        <v>PJ</v>
      </c>
      <c r="C11" s="657">
        <f t="shared" ref="C11:AC11" si="6">C592</f>
        <v>22.296388375177408</v>
      </c>
      <c r="D11" s="657">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Commodities!B30</f>
        <v>TAVIDOM</v>
      </c>
      <c r="B12" s="459" t="str">
        <f>Commodities!D30</f>
        <v>PJ</v>
      </c>
      <c r="C12" s="658">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Commodities!B31</f>
        <v>TAVIINT</v>
      </c>
      <c r="B13" s="458" t="str">
        <f>Commodities!D31</f>
        <v>PJ</v>
      </c>
      <c r="C13" s="602">
        <f t="shared" ref="C13:AC13" si="8">C604</f>
        <v>45.935836654432045</v>
      </c>
      <c r="D13" s="603">
        <f t="shared" si="8"/>
        <v>0</v>
      </c>
      <c r="E13" s="602">
        <f t="shared" si="8"/>
        <v>40.411547456014475</v>
      </c>
      <c r="F13" s="602">
        <f t="shared" si="8"/>
        <v>0</v>
      </c>
      <c r="G13" s="602">
        <f t="shared" si="8"/>
        <v>0</v>
      </c>
      <c r="H13" s="602">
        <f t="shared" si="8"/>
        <v>0</v>
      </c>
      <c r="I13" s="602">
        <f t="shared" si="8"/>
        <v>0</v>
      </c>
      <c r="J13" s="602">
        <f t="shared" si="8"/>
        <v>0</v>
      </c>
      <c r="K13" s="602">
        <f t="shared" si="8"/>
        <v>0</v>
      </c>
      <c r="L13" s="602">
        <f t="shared" si="8"/>
        <v>0</v>
      </c>
      <c r="M13" s="602">
        <f t="shared" si="8"/>
        <v>0</v>
      </c>
      <c r="N13" s="602">
        <f t="shared" si="8"/>
        <v>0</v>
      </c>
      <c r="O13" s="602">
        <f t="shared" si="8"/>
        <v>0</v>
      </c>
      <c r="P13" s="602">
        <f t="shared" si="8"/>
        <v>2.3928132767411885</v>
      </c>
      <c r="Q13" s="602">
        <f t="shared" si="8"/>
        <v>2.2124403851853933</v>
      </c>
      <c r="R13" s="602">
        <f t="shared" si="8"/>
        <v>0.2411025265315139</v>
      </c>
      <c r="S13" s="602">
        <f t="shared" si="8"/>
        <v>0</v>
      </c>
      <c r="T13" s="602">
        <f t="shared" si="8"/>
        <v>0</v>
      </c>
      <c r="U13" s="602">
        <f t="shared" si="8"/>
        <v>0</v>
      </c>
      <c r="V13" s="602">
        <f t="shared" si="8"/>
        <v>0</v>
      </c>
      <c r="W13" s="602">
        <f t="shared" si="8"/>
        <v>0</v>
      </c>
      <c r="X13" s="602">
        <f t="shared" si="8"/>
        <v>0.68832808501139164</v>
      </c>
      <c r="Y13" s="602">
        <f t="shared" si="8"/>
        <v>0</v>
      </c>
      <c r="Z13" s="602">
        <f t="shared" si="8"/>
        <v>0</v>
      </c>
      <c r="AA13" s="602">
        <f t="shared" si="8"/>
        <v>0</v>
      </c>
      <c r="AB13" s="602">
        <f t="shared" si="8"/>
        <v>0</v>
      </c>
      <c r="AC13" s="602">
        <f t="shared" si="8"/>
        <v>0</v>
      </c>
    </row>
    <row r="14" spans="1:29" s="459" customFormat="1">
      <c r="A14" s="1"/>
      <c r="B14" s="1"/>
      <c r="C14" s="705"/>
      <c r="D14" s="402"/>
      <c r="E14" s="705"/>
      <c r="F14" s="705"/>
      <c r="G14" s="705"/>
      <c r="H14" s="705"/>
      <c r="I14" s="705"/>
      <c r="J14" s="705"/>
      <c r="K14" s="705"/>
      <c r="L14" s="705"/>
      <c r="M14" s="705"/>
      <c r="N14" s="705"/>
      <c r="O14" s="705"/>
      <c r="P14" s="705"/>
      <c r="Q14" s="705"/>
      <c r="R14" s="705"/>
      <c r="S14" s="705"/>
      <c r="T14" s="705"/>
      <c r="U14" s="705"/>
      <c r="V14" s="705"/>
      <c r="W14" s="705"/>
      <c r="X14" s="705"/>
      <c r="Y14" s="705"/>
      <c r="Z14" s="705"/>
      <c r="AA14" s="705"/>
      <c r="AB14" s="705"/>
      <c r="AC14" s="705"/>
    </row>
    <row r="15" spans="1:29" s="459" customFormat="1">
      <c r="A15" s="1"/>
      <c r="B15" s="1"/>
      <c r="C15" s="705"/>
      <c r="D15" s="705"/>
      <c r="E15" s="705"/>
      <c r="F15" s="705"/>
      <c r="G15" s="705"/>
      <c r="H15" s="705"/>
      <c r="I15" s="705"/>
      <c r="J15" s="705"/>
      <c r="K15" s="705"/>
      <c r="L15" s="705"/>
      <c r="M15" s="705"/>
      <c r="N15" s="705"/>
      <c r="O15" s="705"/>
      <c r="P15" s="705"/>
      <c r="Q15" s="705"/>
      <c r="R15" s="705"/>
      <c r="S15" s="705"/>
      <c r="T15" s="705"/>
      <c r="U15" s="705"/>
      <c r="V15" s="705"/>
      <c r="W15" s="705"/>
      <c r="X15" s="705"/>
      <c r="Y15" s="705"/>
      <c r="Z15" s="705"/>
      <c r="AA15" s="705"/>
      <c r="AB15" s="705"/>
      <c r="AC15" s="705"/>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974</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977</v>
      </c>
      <c r="B18" s="130" t="s">
        <v>448</v>
      </c>
      <c r="C18" s="720" t="str">
        <f>Regions!C3</f>
        <v>IE</v>
      </c>
      <c r="D18" s="720" t="str">
        <f>Regions!E3</f>
        <v>IE-CW</v>
      </c>
      <c r="E18" s="720" t="str">
        <f>Regions!F3</f>
        <v>IE-D</v>
      </c>
      <c r="F18" s="720" t="str">
        <f>Regions!G3</f>
        <v>IE-KE</v>
      </c>
      <c r="G18" s="720" t="str">
        <f>Regions!H3</f>
        <v>IE-KK</v>
      </c>
      <c r="H18" s="720" t="str">
        <f>Regions!I3</f>
        <v>IE-LS</v>
      </c>
      <c r="I18" s="720" t="str">
        <f>Regions!J3</f>
        <v>IE-LD</v>
      </c>
      <c r="J18" s="720" t="str">
        <f>Regions!K3</f>
        <v>IE-LH</v>
      </c>
      <c r="K18" s="720" t="str">
        <f>Regions!L3</f>
        <v>IE-MH</v>
      </c>
      <c r="L18" s="720" t="str">
        <f>Regions!M3</f>
        <v>IE-OY</v>
      </c>
      <c r="M18" s="720" t="str">
        <f>Regions!N3</f>
        <v>IE-WH</v>
      </c>
      <c r="N18" s="720" t="str">
        <f>Regions!O3</f>
        <v>IE-WX</v>
      </c>
      <c r="O18" s="720" t="str">
        <f>Regions!P3</f>
        <v>IE-WW</v>
      </c>
      <c r="P18" s="720" t="str">
        <f>Regions!Q3</f>
        <v>IE-CE</v>
      </c>
      <c r="Q18" s="720" t="str">
        <f>Regions!R3</f>
        <v>IE-CO</v>
      </c>
      <c r="R18" s="720" t="str">
        <f>Regions!S3</f>
        <v>IE-KY</v>
      </c>
      <c r="S18" s="720" t="str">
        <f>Regions!T3</f>
        <v>IE-LK</v>
      </c>
      <c r="T18" s="720" t="str">
        <f>Regions!U3</f>
        <v>IE-TA</v>
      </c>
      <c r="U18" s="720" t="str">
        <f>Regions!V3</f>
        <v>IE-WD</v>
      </c>
      <c r="V18" s="720" t="str">
        <f>Regions!W3</f>
        <v>IE-G</v>
      </c>
      <c r="W18" s="720" t="str">
        <f>Regions!X3</f>
        <v>IE-LM</v>
      </c>
      <c r="X18" s="720" t="str">
        <f>Regions!Y3</f>
        <v>IE-MO</v>
      </c>
      <c r="Y18" s="720" t="str">
        <f>Regions!Z3</f>
        <v>IE-RN</v>
      </c>
      <c r="Z18" s="720" t="str">
        <f>Regions!AA3</f>
        <v>IE-SO</v>
      </c>
      <c r="AA18" s="720" t="str">
        <f>Regions!AB3</f>
        <v>IE-CN</v>
      </c>
      <c r="AB18" s="720" t="str">
        <f>Regions!AC3</f>
        <v>IE-DL</v>
      </c>
      <c r="AC18" s="720" t="str">
        <f>Regions!AD3</f>
        <v>IE-MN</v>
      </c>
    </row>
    <row r="19" spans="1:29" s="459" customFormat="1">
      <c r="A19" s="459" t="s">
        <v>451</v>
      </c>
      <c r="B19" s="39" t="s">
        <v>975</v>
      </c>
      <c r="C19" s="34">
        <f>C4/SUM(C4:C6)</f>
        <v>0.19950262849047029</v>
      </c>
      <c r="D19" s="34">
        <f t="shared" ref="D19:AC19" si="9">D4/SUM(D4:D6)</f>
        <v>0.19078731828048984</v>
      </c>
      <c r="E19" s="34">
        <f t="shared" si="9"/>
        <v>0.21075324602615886</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0.19343057317961926</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452</v>
      </c>
      <c r="B20" s="39" t="s">
        <v>371</v>
      </c>
      <c r="C20" s="34">
        <f>C5/SUM(C4:C6)</f>
        <v>0.42864985886154994</v>
      </c>
      <c r="D20" s="34">
        <f t="shared" ref="D20:AC20" si="10">D5/SUM(D4:D6)</f>
        <v>0.43525803021566556</v>
      </c>
      <c r="E20" s="34">
        <f t="shared" si="10"/>
        <v>0.421160446040514</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0.43399369199637394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453</v>
      </c>
      <c r="B21" s="578" t="s">
        <v>976</v>
      </c>
      <c r="C21" s="34">
        <f>C6/SUM(C4:C6)</f>
        <v>0.37184751264797972</v>
      </c>
      <c r="D21" s="34">
        <f t="shared" ref="D21:AC21" si="11">D6/SUM(D4:D6)</f>
        <v>0.37395465150384455</v>
      </c>
      <c r="E21" s="34">
        <f t="shared" si="11"/>
        <v>0.36808630793332703</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0.3725757348240068</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15" t="s">
        <v>17</v>
      </c>
      <c r="C22" s="407">
        <f>SUM(C19:C21)</f>
        <v>1</v>
      </c>
      <c r="D22" s="407">
        <f t="shared" ref="D22:AC22" si="12">SUM(D19:D21)</f>
        <v>1</v>
      </c>
      <c r="E22" s="407">
        <f t="shared" si="12"/>
        <v>0.99999999999999978</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75">
      <c r="A26" s="401" t="s">
        <v>979</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359</v>
      </c>
      <c r="B27" s="132" t="s">
        <v>360</v>
      </c>
      <c r="C27" s="720" t="str">
        <f>Regions!C3</f>
        <v>IE</v>
      </c>
      <c r="D27" s="720" t="str">
        <f>Regions!E3</f>
        <v>IE-CW</v>
      </c>
      <c r="E27" s="720" t="str">
        <f>Regions!F3</f>
        <v>IE-D</v>
      </c>
      <c r="F27" s="720" t="str">
        <f>Regions!G3</f>
        <v>IE-KE</v>
      </c>
      <c r="G27" s="720" t="str">
        <f>Regions!H3</f>
        <v>IE-KK</v>
      </c>
      <c r="H27" s="720" t="str">
        <f>Regions!I3</f>
        <v>IE-LS</v>
      </c>
      <c r="I27" s="720" t="str">
        <f>Regions!J3</f>
        <v>IE-LD</v>
      </c>
      <c r="J27" s="720" t="str">
        <f>Regions!K3</f>
        <v>IE-LH</v>
      </c>
      <c r="K27" s="720" t="str">
        <f>Regions!L3</f>
        <v>IE-MH</v>
      </c>
      <c r="L27" s="720" t="str">
        <f>Regions!M3</f>
        <v>IE-OY</v>
      </c>
      <c r="M27" s="720" t="str">
        <f>Regions!N3</f>
        <v>IE-WH</v>
      </c>
      <c r="N27" s="720" t="str">
        <f>Regions!O3</f>
        <v>IE-WX</v>
      </c>
      <c r="O27" s="720" t="str">
        <f>Regions!P3</f>
        <v>IE-WW</v>
      </c>
      <c r="P27" s="720" t="str">
        <f>Regions!Q3</f>
        <v>IE-CE</v>
      </c>
      <c r="Q27" s="720" t="str">
        <f>Regions!R3</f>
        <v>IE-CO</v>
      </c>
      <c r="R27" s="720" t="str">
        <f>Regions!S3</f>
        <v>IE-KY</v>
      </c>
      <c r="S27" s="720" t="str">
        <f>Regions!T3</f>
        <v>IE-LK</v>
      </c>
      <c r="T27" s="720" t="str">
        <f>Regions!U3</f>
        <v>IE-TA</v>
      </c>
      <c r="U27" s="720" t="str">
        <f>Regions!V3</f>
        <v>IE-WD</v>
      </c>
      <c r="V27" s="720" t="str">
        <f>Regions!W3</f>
        <v>IE-G</v>
      </c>
      <c r="W27" s="720" t="str">
        <f>Regions!X3</f>
        <v>IE-LM</v>
      </c>
      <c r="X27" s="720" t="str">
        <f>Regions!Y3</f>
        <v>IE-MO</v>
      </c>
      <c r="Y27" s="720" t="str">
        <f>Regions!Z3</f>
        <v>IE-RN</v>
      </c>
      <c r="Z27" s="720" t="str">
        <f>Regions!AA3</f>
        <v>IE-SO</v>
      </c>
      <c r="AA27" s="720" t="str">
        <f>Regions!AB3</f>
        <v>IE-CN</v>
      </c>
      <c r="AB27" s="720" t="str">
        <f>Regions!AC3</f>
        <v>IE-DL</v>
      </c>
      <c r="AC27" s="720" t="str">
        <f>Regions!AD3</f>
        <v>IE-MN</v>
      </c>
    </row>
    <row r="28" spans="1:29" s="459" customFormat="1">
      <c r="A28" s="459" t="s">
        <v>366</v>
      </c>
      <c r="B28" s="459" t="s">
        <v>361</v>
      </c>
      <c r="C28" s="708">
        <f t="shared" ref="C28:D34" si="13">C356/C$364</f>
        <v>0.32377983784854231</v>
      </c>
      <c r="D28" s="708">
        <f t="shared" si="13"/>
        <v>0.29539615700051852</v>
      </c>
      <c r="E28" s="708">
        <f t="shared" ref="E28:AC28" si="14">E356/E$364</f>
        <v>0.34967728765163869</v>
      </c>
      <c r="F28" s="708">
        <f t="shared" si="14"/>
        <v>0.31311359703458036</v>
      </c>
      <c r="G28" s="708">
        <f t="shared" si="14"/>
        <v>0.30099430857485032</v>
      </c>
      <c r="H28" s="708">
        <f t="shared" si="14"/>
        <v>0.32585784427063491</v>
      </c>
      <c r="I28" s="708">
        <f t="shared" si="14"/>
        <v>0.31296089693181006</v>
      </c>
      <c r="J28" s="708">
        <f t="shared" si="14"/>
        <v>0.34414959934244926</v>
      </c>
      <c r="K28" s="708">
        <f t="shared" si="14"/>
        <v>0.31640567871855385</v>
      </c>
      <c r="L28" s="708">
        <f t="shared" si="14"/>
        <v>0.30551897544605799</v>
      </c>
      <c r="M28" s="708">
        <f t="shared" si="14"/>
        <v>0.30690900126975923</v>
      </c>
      <c r="N28" s="708">
        <f t="shared" si="14"/>
        <v>0.29742024558167873</v>
      </c>
      <c r="O28" s="708">
        <f t="shared" si="14"/>
        <v>0.31985079986061538</v>
      </c>
      <c r="P28" s="708">
        <f t="shared" si="14"/>
        <v>0.30317740338092081</v>
      </c>
      <c r="Q28" s="708">
        <f t="shared" si="14"/>
        <v>0.32755819451934742</v>
      </c>
      <c r="R28" s="708">
        <f t="shared" si="14"/>
        <v>0.29108733491927802</v>
      </c>
      <c r="S28" s="708">
        <f t="shared" si="14"/>
        <v>0.32210907481657336</v>
      </c>
      <c r="T28" s="708">
        <f t="shared" si="14"/>
        <v>0.28924149649685427</v>
      </c>
      <c r="U28" s="708">
        <f t="shared" si="14"/>
        <v>0.31716332192128543</v>
      </c>
      <c r="V28" s="708">
        <f t="shared" si="14"/>
        <v>0.31520515014132622</v>
      </c>
      <c r="W28" s="708">
        <f t="shared" si="14"/>
        <v>0.30496664626628506</v>
      </c>
      <c r="X28" s="708">
        <f t="shared" si="14"/>
        <v>0.29765342162432462</v>
      </c>
      <c r="Y28" s="708">
        <f t="shared" si="14"/>
        <v>0.28141024531167946</v>
      </c>
      <c r="Z28" s="708">
        <f t="shared" si="14"/>
        <v>0.32408712009988533</v>
      </c>
      <c r="AA28" s="708">
        <f t="shared" si="14"/>
        <v>0.33773511822059504</v>
      </c>
      <c r="AB28" s="708">
        <f t="shared" si="14"/>
        <v>0.36384480991771728</v>
      </c>
      <c r="AC28" s="708">
        <f t="shared" si="14"/>
        <v>0.29253128431407999</v>
      </c>
    </row>
    <row r="29" spans="1:29" s="459" customFormat="1">
      <c r="B29" s="459" t="s">
        <v>362</v>
      </c>
      <c r="C29" s="708">
        <f t="shared" si="13"/>
        <v>5.3963306308090382E-2</v>
      </c>
      <c r="D29" s="708">
        <f t="shared" si="13"/>
        <v>4.9232692833419758E-2</v>
      </c>
      <c r="E29" s="708">
        <f t="shared" ref="E29:AC29" si="15">E357/E$364</f>
        <v>5.8279547941939784E-2</v>
      </c>
      <c r="F29" s="708">
        <f t="shared" si="15"/>
        <v>5.2185599505763403E-2</v>
      </c>
      <c r="G29" s="708">
        <f t="shared" si="15"/>
        <v>5.016571809580838E-2</v>
      </c>
      <c r="H29" s="708">
        <f t="shared" si="15"/>
        <v>5.4309640711772487E-2</v>
      </c>
      <c r="I29" s="708">
        <f t="shared" si="15"/>
        <v>5.216014948863501E-2</v>
      </c>
      <c r="J29" s="708">
        <f t="shared" si="15"/>
        <v>5.7358266557074891E-2</v>
      </c>
      <c r="K29" s="708">
        <f t="shared" si="15"/>
        <v>5.2734279786425649E-2</v>
      </c>
      <c r="L29" s="708">
        <f t="shared" si="15"/>
        <v>5.0919829241009663E-2</v>
      </c>
      <c r="M29" s="708">
        <f t="shared" si="15"/>
        <v>5.1151500211626538E-2</v>
      </c>
      <c r="N29" s="708">
        <f t="shared" si="15"/>
        <v>4.95700409302798E-2</v>
      </c>
      <c r="O29" s="708">
        <f t="shared" si="15"/>
        <v>5.3308466643435894E-2</v>
      </c>
      <c r="P29" s="708">
        <f t="shared" si="15"/>
        <v>5.052956723015347E-2</v>
      </c>
      <c r="Q29" s="708">
        <f t="shared" si="15"/>
        <v>5.459303241989124E-2</v>
      </c>
      <c r="R29" s="708">
        <f t="shared" si="15"/>
        <v>4.8514555819879672E-2</v>
      </c>
      <c r="S29" s="708">
        <f t="shared" si="15"/>
        <v>5.3684845802762227E-2</v>
      </c>
      <c r="T29" s="708">
        <f t="shared" si="15"/>
        <v>4.8206916082809047E-2</v>
      </c>
      <c r="U29" s="708">
        <f t="shared" si="15"/>
        <v>5.2860553653547575E-2</v>
      </c>
      <c r="V29" s="708">
        <f t="shared" si="15"/>
        <v>5.2534191690221041E-2</v>
      </c>
      <c r="W29" s="708">
        <f t="shared" si="15"/>
        <v>5.0827774377714179E-2</v>
      </c>
      <c r="X29" s="708">
        <f t="shared" si="15"/>
        <v>4.9608903604054101E-2</v>
      </c>
      <c r="Y29" s="708">
        <f t="shared" si="15"/>
        <v>4.690170755194658E-2</v>
      </c>
      <c r="Z29" s="708">
        <f t="shared" si="15"/>
        <v>5.4014520016647569E-2</v>
      </c>
      <c r="AA29" s="708">
        <f t="shared" si="15"/>
        <v>5.6289186370099165E-2</v>
      </c>
      <c r="AB29" s="708">
        <f t="shared" si="15"/>
        <v>6.064080165295288E-2</v>
      </c>
      <c r="AC29" s="708">
        <f t="shared" si="15"/>
        <v>4.8755214052346667E-2</v>
      </c>
    </row>
    <row r="30" spans="1:29" s="459" customFormat="1">
      <c r="A30" s="459" t="s">
        <v>363</v>
      </c>
      <c r="B30" s="459" t="s">
        <v>369</v>
      </c>
      <c r="C30" s="713">
        <f t="shared" si="13"/>
        <v>1.2024577456126329E-3</v>
      </c>
      <c r="D30" s="708">
        <f t="shared" si="13"/>
        <v>8.4181954391599476E-4</v>
      </c>
      <c r="E30" s="708">
        <f t="shared" ref="E30:AC30" si="16">E358/E$364</f>
        <v>1.4316393209477573E-3</v>
      </c>
      <c r="F30" s="708">
        <f t="shared" si="16"/>
        <v>1.3698908311171865E-3</v>
      </c>
      <c r="G30" s="708">
        <f t="shared" si="16"/>
        <v>9.8425388735709995E-4</v>
      </c>
      <c r="H30" s="708">
        <f t="shared" si="16"/>
        <v>6.2421004942624992E-4</v>
      </c>
      <c r="I30" s="708">
        <f t="shared" si="16"/>
        <v>1.2422933671109623E-3</v>
      </c>
      <c r="J30" s="708">
        <f t="shared" si="16"/>
        <v>8.6646068484003841E-4</v>
      </c>
      <c r="K30" s="708">
        <f t="shared" si="16"/>
        <v>1.3159890714686659E-3</v>
      </c>
      <c r="L30" s="708">
        <f t="shared" si="16"/>
        <v>1.2716318220191991E-3</v>
      </c>
      <c r="M30" s="708">
        <f t="shared" si="16"/>
        <v>1.1218737998245681E-3</v>
      </c>
      <c r="N30" s="708">
        <f t="shared" si="16"/>
        <v>1.2891857705150252E-3</v>
      </c>
      <c r="O30" s="708">
        <f t="shared" si="16"/>
        <v>1.4574437703184118E-3</v>
      </c>
      <c r="P30" s="708">
        <f t="shared" si="16"/>
        <v>1.2419671387040388E-3</v>
      </c>
      <c r="Q30" s="708">
        <f t="shared" si="16"/>
        <v>1.4684396048311016E-3</v>
      </c>
      <c r="R30" s="708">
        <f t="shared" si="16"/>
        <v>9.5921086863546602E-4</v>
      </c>
      <c r="S30" s="708">
        <f t="shared" si="16"/>
        <v>1.0725657999581929E-3</v>
      </c>
      <c r="T30" s="708">
        <f t="shared" si="16"/>
        <v>1.1764845294377178E-3</v>
      </c>
      <c r="U30" s="708">
        <f t="shared" si="16"/>
        <v>1.3287962602263445E-3</v>
      </c>
      <c r="V30" s="714">
        <f t="shared" si="16"/>
        <v>7.9269582890742734E-4</v>
      </c>
      <c r="W30" s="714">
        <f>W358/W$364</f>
        <v>1.544102850410962E-3</v>
      </c>
      <c r="X30" s="708">
        <f t="shared" si="16"/>
        <v>7.4007830335184128E-4</v>
      </c>
      <c r="Y30" s="708">
        <f t="shared" si="16"/>
        <v>7.0738302217035411E-4</v>
      </c>
      <c r="Z30" s="708">
        <f t="shared" si="16"/>
        <v>8.0234115950314402E-4</v>
      </c>
      <c r="AA30" s="708">
        <f t="shared" si="16"/>
        <v>7.1933080869381386E-4</v>
      </c>
      <c r="AB30" s="708">
        <f t="shared" si="16"/>
        <v>7.4164409782466955E-4</v>
      </c>
      <c r="AC30" s="708">
        <f t="shared" si="16"/>
        <v>7.7316749378532367E-4</v>
      </c>
    </row>
    <row r="31" spans="1:29" s="459" customFormat="1">
      <c r="B31" s="459" t="s">
        <v>368</v>
      </c>
      <c r="C31" s="708">
        <f>C359/C$364</f>
        <v>0.51421690231633799</v>
      </c>
      <c r="D31" s="708">
        <f t="shared" si="13"/>
        <v>0.57696936147650701</v>
      </c>
      <c r="E31" s="708">
        <f t="shared" ref="E31:AC31" si="17">E359/E$364</f>
        <v>0.4152163996490737</v>
      </c>
      <c r="F31" s="708">
        <f t="shared" si="17"/>
        <v>0.53837411623785481</v>
      </c>
      <c r="G31" s="708">
        <f t="shared" si="17"/>
        <v>0.5273035898540861</v>
      </c>
      <c r="H31" s="708">
        <f t="shared" si="17"/>
        <v>0.54428190464659498</v>
      </c>
      <c r="I31" s="708">
        <f t="shared" si="17"/>
        <v>0.54724418926165252</v>
      </c>
      <c r="J31" s="708">
        <f t="shared" si="17"/>
        <v>0.50629481396736598</v>
      </c>
      <c r="K31" s="708">
        <f t="shared" si="17"/>
        <v>0.54969956239724382</v>
      </c>
      <c r="L31" s="708">
        <f t="shared" si="17"/>
        <v>0.54286879912927866</v>
      </c>
      <c r="M31" s="708">
        <f t="shared" si="17"/>
        <v>0.57050800443626981</v>
      </c>
      <c r="N31" s="708">
        <f t="shared" si="17"/>
        <v>0.57834017325166753</v>
      </c>
      <c r="O31" s="708">
        <f t="shared" si="17"/>
        <v>0.54807767476728875</v>
      </c>
      <c r="P31" s="708">
        <f t="shared" si="17"/>
        <v>0.57445550608131724</v>
      </c>
      <c r="Q31" s="708">
        <f t="shared" si="17"/>
        <v>0.54514159019281827</v>
      </c>
      <c r="R31" s="708">
        <f t="shared" si="17"/>
        <v>0.52942173322971142</v>
      </c>
      <c r="S31" s="708">
        <f t="shared" si="17"/>
        <v>0.54890743812317566</v>
      </c>
      <c r="T31" s="708">
        <f t="shared" si="17"/>
        <v>0.57655830557717536</v>
      </c>
      <c r="U31" s="708">
        <f t="shared" si="17"/>
        <v>0.56469028513375741</v>
      </c>
      <c r="V31" s="708">
        <f t="shared" si="17"/>
        <v>0.5314898835087899</v>
      </c>
      <c r="W31" s="708">
        <f t="shared" si="17"/>
        <v>0.57016316956487822</v>
      </c>
      <c r="X31" s="708">
        <f t="shared" si="17"/>
        <v>0.54463316447281129</v>
      </c>
      <c r="Y31" s="708">
        <f t="shared" si="17"/>
        <v>0.60580683229929833</v>
      </c>
      <c r="Z31" s="708">
        <f t="shared" si="17"/>
        <v>0.54575340066281097</v>
      </c>
      <c r="AA31" s="708">
        <f t="shared" si="17"/>
        <v>0.57130392959697351</v>
      </c>
      <c r="AB31" s="708">
        <f t="shared" si="17"/>
        <v>0.56067924597798535</v>
      </c>
      <c r="AC31" s="708">
        <f t="shared" si="17"/>
        <v>0.49285227418620653</v>
      </c>
    </row>
    <row r="32" spans="1:29" s="459" customFormat="1">
      <c r="A32" s="459" t="s">
        <v>326</v>
      </c>
      <c r="B32" s="459" t="s">
        <v>365</v>
      </c>
      <c r="C32" s="708">
        <f t="shared" si="13"/>
        <v>1.6399604421517593E-2</v>
      </c>
      <c r="D32" s="708">
        <f t="shared" si="13"/>
        <v>7.4490307781118984E-3</v>
      </c>
      <c r="E32" s="708">
        <f t="shared" ref="E32:AC32" si="18">E360/E$364</f>
        <v>3.2043055112662859E-2</v>
      </c>
      <c r="F32" s="708">
        <f t="shared" si="18"/>
        <v>1.4142087272297982E-2</v>
      </c>
      <c r="G32" s="708">
        <f t="shared" si="18"/>
        <v>7.8384539751406128E-3</v>
      </c>
      <c r="H32" s="708">
        <f t="shared" si="18"/>
        <v>9.942235039347571E-3</v>
      </c>
      <c r="I32" s="708">
        <f t="shared" si="18"/>
        <v>8.7941712391293846E-3</v>
      </c>
      <c r="J32" s="708">
        <f t="shared" si="18"/>
        <v>1.9167683727598969E-2</v>
      </c>
      <c r="K32" s="708">
        <f t="shared" si="18"/>
        <v>1.9563309645198885E-2</v>
      </c>
      <c r="L32" s="708">
        <f t="shared" si="18"/>
        <v>6.7513932047123726E-3</v>
      </c>
      <c r="M32" s="708">
        <f t="shared" si="18"/>
        <v>1.1912585101328303E-2</v>
      </c>
      <c r="N32" s="708">
        <f t="shared" si="18"/>
        <v>6.2742086519266488E-3</v>
      </c>
      <c r="O32" s="708">
        <f t="shared" si="18"/>
        <v>9.0275647633180547E-3</v>
      </c>
      <c r="P32" s="708">
        <f t="shared" si="18"/>
        <v>1.0257172186811273E-2</v>
      </c>
      <c r="Q32" s="708">
        <f t="shared" si="18"/>
        <v>1.2127565539618518E-2</v>
      </c>
      <c r="R32" s="708">
        <f t="shared" si="18"/>
        <v>1.0185353383353699E-2</v>
      </c>
      <c r="S32" s="708">
        <f t="shared" si="18"/>
        <v>1.2812635692286438E-2</v>
      </c>
      <c r="T32" s="708">
        <f t="shared" si="18"/>
        <v>5.2051948265462115E-3</v>
      </c>
      <c r="U32" s="708">
        <f t="shared" si="18"/>
        <v>8.6226466174633056E-3</v>
      </c>
      <c r="V32" s="708">
        <f t="shared" si="18"/>
        <v>1.3327262086971724E-2</v>
      </c>
      <c r="W32" s="708">
        <f t="shared" si="18"/>
        <v>8.1980061454330136E-3</v>
      </c>
      <c r="X32" s="708">
        <f t="shared" si="18"/>
        <v>7.2036254203120672E-3</v>
      </c>
      <c r="Y32" s="708">
        <f t="shared" si="18"/>
        <v>6.2594387860714779E-3</v>
      </c>
      <c r="Z32" s="708">
        <f t="shared" si="18"/>
        <v>8.5196368293601697E-3</v>
      </c>
      <c r="AA32" s="708">
        <f t="shared" si="18"/>
        <v>8.9112260712667282E-3</v>
      </c>
      <c r="AB32" s="708">
        <f t="shared" si="18"/>
        <v>9.8439085033626087E-3</v>
      </c>
      <c r="AC32" s="708">
        <f t="shared" si="18"/>
        <v>4.1049285439853662E-3</v>
      </c>
    </row>
    <row r="33" spans="1:29" s="459" customFormat="1">
      <c r="B33" s="459" t="s">
        <v>589</v>
      </c>
      <c r="C33" s="708">
        <f t="shared" si="13"/>
        <v>8.2740995898888392E-2</v>
      </c>
      <c r="D33" s="708">
        <f t="shared" si="13"/>
        <v>7.0110938367526743E-2</v>
      </c>
      <c r="E33" s="708">
        <f t="shared" ref="E33:AC33" si="19">E361/E$364</f>
        <v>0.11397374993285452</v>
      </c>
      <c r="F33" s="708">
        <f t="shared" si="19"/>
        <v>8.0814709118386313E-2</v>
      </c>
      <c r="G33" s="708">
        <f t="shared" si="19"/>
        <v>0.11271367561275741</v>
      </c>
      <c r="H33" s="708">
        <f t="shared" si="19"/>
        <v>6.4984165282223824E-2</v>
      </c>
      <c r="I33" s="708">
        <f t="shared" si="19"/>
        <v>7.7598299711661989E-2</v>
      </c>
      <c r="J33" s="708">
        <f t="shared" si="19"/>
        <v>7.216317572067088E-2</v>
      </c>
      <c r="K33" s="708">
        <f t="shared" si="19"/>
        <v>6.0281180381109148E-2</v>
      </c>
      <c r="L33" s="708">
        <f t="shared" si="19"/>
        <v>9.2669371156921962E-2</v>
      </c>
      <c r="M33" s="708">
        <f t="shared" si="19"/>
        <v>5.839703518119168E-2</v>
      </c>
      <c r="N33" s="708">
        <f t="shared" si="19"/>
        <v>6.7106145813932178E-2</v>
      </c>
      <c r="O33" s="708">
        <f t="shared" si="19"/>
        <v>6.8278050195023532E-2</v>
      </c>
      <c r="P33" s="708">
        <f t="shared" si="19"/>
        <v>6.0338383982093263E-2</v>
      </c>
      <c r="Q33" s="708">
        <f t="shared" si="19"/>
        <v>5.9111177723493433E-2</v>
      </c>
      <c r="R33" s="708">
        <f t="shared" si="19"/>
        <v>0.11983181177914175</v>
      </c>
      <c r="S33" s="708">
        <f t="shared" si="19"/>
        <v>6.1413439765244195E-2</v>
      </c>
      <c r="T33" s="708">
        <f t="shared" si="19"/>
        <v>7.9611602487177441E-2</v>
      </c>
      <c r="U33" s="708">
        <f t="shared" si="19"/>
        <v>5.5334396413720018E-2</v>
      </c>
      <c r="V33" s="708">
        <f t="shared" si="19"/>
        <v>8.6650816743783748E-2</v>
      </c>
      <c r="W33" s="708">
        <f t="shared" si="19"/>
        <v>6.4300300795278542E-2</v>
      </c>
      <c r="X33" s="708">
        <f t="shared" si="19"/>
        <v>0.10016080657514609</v>
      </c>
      <c r="Y33" s="708">
        <f t="shared" si="19"/>
        <v>5.8914393028833764E-2</v>
      </c>
      <c r="Z33" s="708">
        <f t="shared" si="19"/>
        <v>6.6822981231792783E-2</v>
      </c>
      <c r="AA33" s="708">
        <f t="shared" si="19"/>
        <v>2.5041208932371696E-2</v>
      </c>
      <c r="AB33" s="708">
        <f t="shared" si="19"/>
        <v>4.2495898501573662E-3</v>
      </c>
      <c r="AC33" s="708">
        <f t="shared" si="19"/>
        <v>0.16098313140959611</v>
      </c>
    </row>
    <row r="34" spans="1:29" s="459" customFormat="1">
      <c r="B34" s="459" t="s">
        <v>576</v>
      </c>
      <c r="C34" s="708">
        <f t="shared" si="13"/>
        <v>7.6968954610109105E-3</v>
      </c>
      <c r="D34" s="708">
        <f t="shared" si="13"/>
        <v>0</v>
      </c>
      <c r="E34" s="708">
        <f t="shared" ref="E34:AC34" si="20">E362/E$364</f>
        <v>2.9378320390882739E-2</v>
      </c>
      <c r="F34" s="708">
        <f t="shared" si="20"/>
        <v>0</v>
      </c>
      <c r="G34" s="708">
        <f t="shared" si="20"/>
        <v>0</v>
      </c>
      <c r="H34" s="708">
        <f t="shared" si="20"/>
        <v>0</v>
      </c>
      <c r="I34" s="708">
        <f t="shared" si="20"/>
        <v>0</v>
      </c>
      <c r="J34" s="708">
        <f t="shared" si="20"/>
        <v>0</v>
      </c>
      <c r="K34" s="708">
        <f t="shared" si="20"/>
        <v>0</v>
      </c>
      <c r="L34" s="708">
        <f t="shared" si="20"/>
        <v>0</v>
      </c>
      <c r="M34" s="708">
        <f t="shared" si="20"/>
        <v>0</v>
      </c>
      <c r="N34" s="708">
        <f t="shared" si="20"/>
        <v>0</v>
      </c>
      <c r="O34" s="708">
        <f t="shared" si="20"/>
        <v>0</v>
      </c>
      <c r="P34" s="708">
        <f t="shared" si="20"/>
        <v>0</v>
      </c>
      <c r="Q34" s="708">
        <f t="shared" si="20"/>
        <v>0</v>
      </c>
      <c r="R34" s="708">
        <f t="shared" si="20"/>
        <v>0</v>
      </c>
      <c r="S34" s="708">
        <f t="shared" si="20"/>
        <v>0</v>
      </c>
      <c r="T34" s="708">
        <f t="shared" si="20"/>
        <v>0</v>
      </c>
      <c r="U34" s="708">
        <f t="shared" si="20"/>
        <v>0</v>
      </c>
      <c r="V34" s="708">
        <f t="shared" si="20"/>
        <v>0</v>
      </c>
      <c r="W34" s="708">
        <f t="shared" si="20"/>
        <v>0</v>
      </c>
      <c r="X34" s="708">
        <f t="shared" si="20"/>
        <v>0</v>
      </c>
      <c r="Y34" s="708">
        <f t="shared" si="20"/>
        <v>0</v>
      </c>
      <c r="Z34" s="708">
        <f t="shared" si="20"/>
        <v>0</v>
      </c>
      <c r="AA34" s="708">
        <f t="shared" si="20"/>
        <v>0</v>
      </c>
      <c r="AB34" s="708">
        <f t="shared" si="20"/>
        <v>0</v>
      </c>
      <c r="AC34" s="708">
        <f t="shared" si="20"/>
        <v>0</v>
      </c>
    </row>
    <row r="35" spans="1:29" s="459" customFormat="1">
      <c r="B35" s="459" t="s">
        <v>367</v>
      </c>
      <c r="C35" s="708">
        <v>0</v>
      </c>
      <c r="D35" s="708">
        <v>0</v>
      </c>
      <c r="E35" s="708">
        <v>0</v>
      </c>
      <c r="F35" s="708">
        <v>0</v>
      </c>
      <c r="G35" s="708">
        <v>0</v>
      </c>
      <c r="H35" s="708">
        <v>0</v>
      </c>
      <c r="I35" s="708">
        <v>0</v>
      </c>
      <c r="J35" s="708">
        <v>0</v>
      </c>
      <c r="K35" s="708">
        <v>0</v>
      </c>
      <c r="L35" s="708">
        <v>0</v>
      </c>
      <c r="M35" s="708">
        <v>0</v>
      </c>
      <c r="N35" s="708">
        <v>0</v>
      </c>
      <c r="O35" s="708">
        <v>0</v>
      </c>
      <c r="P35" s="708">
        <v>0</v>
      </c>
      <c r="Q35" s="708">
        <v>0</v>
      </c>
      <c r="R35" s="708">
        <v>0</v>
      </c>
      <c r="S35" s="708">
        <v>0</v>
      </c>
      <c r="T35" s="708">
        <v>0</v>
      </c>
      <c r="U35" s="708">
        <v>0</v>
      </c>
      <c r="V35" s="708">
        <v>0</v>
      </c>
      <c r="W35" s="708">
        <v>0</v>
      </c>
      <c r="X35" s="708">
        <v>0</v>
      </c>
      <c r="Y35" s="708">
        <v>0</v>
      </c>
      <c r="Z35" s="708">
        <v>0</v>
      </c>
      <c r="AA35" s="708">
        <v>0</v>
      </c>
      <c r="AB35" s="708">
        <v>0</v>
      </c>
      <c r="AC35" s="708">
        <v>0</v>
      </c>
    </row>
    <row r="36" spans="1:29" s="459" customFormat="1">
      <c r="A36" s="458"/>
      <c r="B36" s="675"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75">
      <c r="A40" s="401" t="s">
        <v>981</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359</v>
      </c>
      <c r="B41" s="132" t="s">
        <v>360</v>
      </c>
      <c r="C41" s="720" t="str">
        <f>Regions!C3</f>
        <v>IE</v>
      </c>
      <c r="D41" s="720" t="str">
        <f>Regions!E3</f>
        <v>IE-CW</v>
      </c>
      <c r="E41" s="720" t="str">
        <f>Regions!F3</f>
        <v>IE-D</v>
      </c>
      <c r="F41" s="720" t="str">
        <f>Regions!G3</f>
        <v>IE-KE</v>
      </c>
      <c r="G41" s="720" t="str">
        <f>Regions!H3</f>
        <v>IE-KK</v>
      </c>
      <c r="H41" s="720" t="str">
        <f>Regions!I3</f>
        <v>IE-LS</v>
      </c>
      <c r="I41" s="720" t="str">
        <f>Regions!J3</f>
        <v>IE-LD</v>
      </c>
      <c r="J41" s="720" t="str">
        <f>Regions!K3</f>
        <v>IE-LH</v>
      </c>
      <c r="K41" s="720" t="str">
        <f>Regions!L3</f>
        <v>IE-MH</v>
      </c>
      <c r="L41" s="720" t="str">
        <f>Regions!M3</f>
        <v>IE-OY</v>
      </c>
      <c r="M41" s="720" t="str">
        <f>Regions!N3</f>
        <v>IE-WH</v>
      </c>
      <c r="N41" s="720" t="str">
        <f>Regions!O3</f>
        <v>IE-WX</v>
      </c>
      <c r="O41" s="720" t="str">
        <f>Regions!P3</f>
        <v>IE-WW</v>
      </c>
      <c r="P41" s="720" t="str">
        <f>Regions!Q3</f>
        <v>IE-CE</v>
      </c>
      <c r="Q41" s="720" t="str">
        <f>Regions!R3</f>
        <v>IE-CO</v>
      </c>
      <c r="R41" s="720" t="str">
        <f>Regions!S3</f>
        <v>IE-KY</v>
      </c>
      <c r="S41" s="720" t="str">
        <f>Regions!T3</f>
        <v>IE-LK</v>
      </c>
      <c r="T41" s="720" t="str">
        <f>Regions!U3</f>
        <v>IE-TA</v>
      </c>
      <c r="U41" s="720" t="str">
        <f>Regions!V3</f>
        <v>IE-WD</v>
      </c>
      <c r="V41" s="720" t="str">
        <f>Regions!W3</f>
        <v>IE-G</v>
      </c>
      <c r="W41" s="720" t="str">
        <f>Regions!X3</f>
        <v>IE-LM</v>
      </c>
      <c r="X41" s="720" t="str">
        <f>Regions!Y3</f>
        <v>IE-MO</v>
      </c>
      <c r="Y41" s="720" t="str">
        <f>Regions!Z3</f>
        <v>IE-RN</v>
      </c>
      <c r="Z41" s="720" t="str">
        <f>Regions!AA3</f>
        <v>IE-SO</v>
      </c>
      <c r="AA41" s="720" t="str">
        <f>Regions!AB3</f>
        <v>IE-CN</v>
      </c>
      <c r="AB41" s="720" t="str">
        <f>Regions!AC3</f>
        <v>IE-DL</v>
      </c>
      <c r="AC41" s="720" t="str">
        <f>Regions!AD3</f>
        <v>IE-MN</v>
      </c>
    </row>
    <row r="42" spans="1:29" s="459" customFormat="1">
      <c r="A42" s="459" t="s">
        <v>366</v>
      </c>
      <c r="B42" s="459" t="s">
        <v>361</v>
      </c>
      <c r="C42" s="708">
        <f>C370/C$378</f>
        <v>0</v>
      </c>
      <c r="D42" s="708">
        <f t="shared" ref="D42:AC49" si="22">D370/D$378</f>
        <v>0</v>
      </c>
      <c r="E42" s="708">
        <f t="shared" si="22"/>
        <v>0</v>
      </c>
      <c r="F42" s="708">
        <f t="shared" si="22"/>
        <v>0</v>
      </c>
      <c r="G42" s="708">
        <f t="shared" si="22"/>
        <v>0</v>
      </c>
      <c r="H42" s="708">
        <f t="shared" si="22"/>
        <v>0</v>
      </c>
      <c r="I42" s="708">
        <f t="shared" si="22"/>
        <v>0</v>
      </c>
      <c r="J42" s="708">
        <f t="shared" si="22"/>
        <v>0</v>
      </c>
      <c r="K42" s="708">
        <f t="shared" si="22"/>
        <v>0</v>
      </c>
      <c r="L42" s="708">
        <f t="shared" si="22"/>
        <v>0</v>
      </c>
      <c r="M42" s="708">
        <f t="shared" si="22"/>
        <v>0</v>
      </c>
      <c r="N42" s="708">
        <f t="shared" si="22"/>
        <v>0</v>
      </c>
      <c r="O42" s="708">
        <f t="shared" si="22"/>
        <v>0</v>
      </c>
      <c r="P42" s="708">
        <f t="shared" si="22"/>
        <v>0</v>
      </c>
      <c r="Q42" s="708">
        <f t="shared" si="22"/>
        <v>0</v>
      </c>
      <c r="R42" s="708">
        <f t="shared" si="22"/>
        <v>0</v>
      </c>
      <c r="S42" s="708">
        <f t="shared" si="22"/>
        <v>0</v>
      </c>
      <c r="T42" s="708">
        <f t="shared" si="22"/>
        <v>0</v>
      </c>
      <c r="U42" s="708">
        <f t="shared" si="22"/>
        <v>0</v>
      </c>
      <c r="V42" s="708">
        <f t="shared" si="22"/>
        <v>0</v>
      </c>
      <c r="W42" s="708">
        <f t="shared" si="22"/>
        <v>0</v>
      </c>
      <c r="X42" s="708">
        <f t="shared" si="22"/>
        <v>0</v>
      </c>
      <c r="Y42" s="708">
        <f t="shared" si="22"/>
        <v>0</v>
      </c>
      <c r="Z42" s="708">
        <f t="shared" si="22"/>
        <v>0</v>
      </c>
      <c r="AA42" s="708">
        <f t="shared" si="22"/>
        <v>0</v>
      </c>
      <c r="AB42" s="708">
        <f t="shared" si="22"/>
        <v>0</v>
      </c>
      <c r="AC42" s="708">
        <f t="shared" si="22"/>
        <v>0</v>
      </c>
    </row>
    <row r="43" spans="1:29" s="459" customFormat="1">
      <c r="B43" s="459" t="s">
        <v>362</v>
      </c>
      <c r="C43" s="708">
        <f t="shared" ref="C43:R49" si="23">C371/C$378</f>
        <v>0</v>
      </c>
      <c r="D43" s="708">
        <f t="shared" si="23"/>
        <v>0</v>
      </c>
      <c r="E43" s="708">
        <f t="shared" si="23"/>
        <v>0</v>
      </c>
      <c r="F43" s="708">
        <f t="shared" si="23"/>
        <v>0</v>
      </c>
      <c r="G43" s="708">
        <f t="shared" si="23"/>
        <v>0</v>
      </c>
      <c r="H43" s="708">
        <f t="shared" si="23"/>
        <v>0</v>
      </c>
      <c r="I43" s="708">
        <f t="shared" si="23"/>
        <v>0</v>
      </c>
      <c r="J43" s="708">
        <f t="shared" si="23"/>
        <v>0</v>
      </c>
      <c r="K43" s="708">
        <f t="shared" si="23"/>
        <v>0</v>
      </c>
      <c r="L43" s="708">
        <f t="shared" si="23"/>
        <v>0</v>
      </c>
      <c r="M43" s="708">
        <f t="shared" si="23"/>
        <v>0</v>
      </c>
      <c r="N43" s="708">
        <f t="shared" si="23"/>
        <v>0</v>
      </c>
      <c r="O43" s="708">
        <f t="shared" si="23"/>
        <v>0</v>
      </c>
      <c r="P43" s="708">
        <f t="shared" si="23"/>
        <v>0</v>
      </c>
      <c r="Q43" s="708">
        <f t="shared" si="23"/>
        <v>0</v>
      </c>
      <c r="R43" s="708">
        <f t="shared" si="23"/>
        <v>0</v>
      </c>
      <c r="S43" s="708">
        <f t="shared" si="22"/>
        <v>0</v>
      </c>
      <c r="T43" s="708">
        <f t="shared" si="22"/>
        <v>0</v>
      </c>
      <c r="U43" s="708">
        <f t="shared" si="22"/>
        <v>0</v>
      </c>
      <c r="V43" s="708">
        <f t="shared" si="22"/>
        <v>0</v>
      </c>
      <c r="W43" s="708">
        <f t="shared" si="22"/>
        <v>0</v>
      </c>
      <c r="X43" s="708">
        <f t="shared" si="22"/>
        <v>0</v>
      </c>
      <c r="Y43" s="708">
        <f t="shared" si="22"/>
        <v>0</v>
      </c>
      <c r="Z43" s="708">
        <f t="shared" si="22"/>
        <v>0</v>
      </c>
      <c r="AA43" s="708">
        <f t="shared" si="22"/>
        <v>0</v>
      </c>
      <c r="AB43" s="708">
        <f t="shared" si="22"/>
        <v>0</v>
      </c>
      <c r="AC43" s="708">
        <f t="shared" si="22"/>
        <v>0</v>
      </c>
    </row>
    <row r="44" spans="1:29" s="459" customFormat="1">
      <c r="A44" s="459" t="s">
        <v>363</v>
      </c>
      <c r="B44" s="459" t="s">
        <v>369</v>
      </c>
      <c r="C44" s="713">
        <f t="shared" si="23"/>
        <v>3.2739468688573266E-3</v>
      </c>
      <c r="D44" s="708">
        <f t="shared" si="22"/>
        <v>2.1586268841599747E-3</v>
      </c>
      <c r="E44" s="708">
        <f t="shared" si="22"/>
        <v>4.1909857054726746E-3</v>
      </c>
      <c r="F44" s="708">
        <f t="shared" si="22"/>
        <v>3.6319751739066989E-3</v>
      </c>
      <c r="G44" s="708">
        <f t="shared" si="22"/>
        <v>2.5491869155235955E-3</v>
      </c>
      <c r="H44" s="708">
        <f t="shared" si="22"/>
        <v>1.6941154698507114E-3</v>
      </c>
      <c r="I44" s="708">
        <f t="shared" si="22"/>
        <v>3.2883004760979389E-3</v>
      </c>
      <c r="J44" s="708">
        <f t="shared" si="22"/>
        <v>2.4416088687366478E-3</v>
      </c>
      <c r="K44" s="708">
        <f t="shared" si="22"/>
        <v>3.5159102982178412E-3</v>
      </c>
      <c r="L44" s="708">
        <f t="shared" si="22"/>
        <v>3.3185344885490013E-3</v>
      </c>
      <c r="M44" s="708">
        <f t="shared" si="22"/>
        <v>2.939754742265497E-3</v>
      </c>
      <c r="N44" s="708">
        <f t="shared" si="22"/>
        <v>3.3151523856669103E-3</v>
      </c>
      <c r="O44" s="708">
        <f t="shared" si="22"/>
        <v>3.906666915379246E-3</v>
      </c>
      <c r="P44" s="708">
        <f t="shared" si="22"/>
        <v>3.2306073901205486E-3</v>
      </c>
      <c r="Q44" s="708">
        <f t="shared" si="22"/>
        <v>3.9969766503394092E-3</v>
      </c>
      <c r="R44" s="708">
        <f t="shared" si="22"/>
        <v>2.4423953155841079E-3</v>
      </c>
      <c r="S44" s="708">
        <f t="shared" si="22"/>
        <v>2.8914591982090753E-3</v>
      </c>
      <c r="T44" s="708">
        <f t="shared" si="22"/>
        <v>2.9812499263931389E-3</v>
      </c>
      <c r="U44" s="708">
        <f t="shared" si="22"/>
        <v>3.5441732524901714E-3</v>
      </c>
      <c r="V44" s="708">
        <f t="shared" si="22"/>
        <v>2.1106258862285242E-3</v>
      </c>
      <c r="W44" s="708">
        <f t="shared" si="22"/>
        <v>4.0260002016890241E-3</v>
      </c>
      <c r="X44" s="708">
        <f t="shared" si="22"/>
        <v>1.9054783663146626E-3</v>
      </c>
      <c r="Y44" s="708">
        <f t="shared" si="22"/>
        <v>1.7694736792673005E-3</v>
      </c>
      <c r="Z44" s="708">
        <f t="shared" si="22"/>
        <v>2.1690169741061518E-3</v>
      </c>
      <c r="AA44" s="708">
        <f t="shared" si="22"/>
        <v>1.996201699404686E-3</v>
      </c>
      <c r="AB44" s="708">
        <f t="shared" si="22"/>
        <v>2.1678265957034699E-3</v>
      </c>
      <c r="AC44" s="708">
        <f t="shared" si="22"/>
        <v>1.9708873200458749E-3</v>
      </c>
    </row>
    <row r="45" spans="1:29" s="459" customFormat="1">
      <c r="B45" s="459" t="s">
        <v>368</v>
      </c>
      <c r="C45" s="708">
        <f t="shared" si="23"/>
        <v>0.83405572391255312</v>
      </c>
      <c r="D45" s="708">
        <f t="shared" si="22"/>
        <v>0.88136996225712338</v>
      </c>
      <c r="E45" s="708">
        <f t="shared" si="22"/>
        <v>0.72410905133504211</v>
      </c>
      <c r="F45" s="708">
        <f t="shared" si="22"/>
        <v>0.85033097733510543</v>
      </c>
      <c r="G45" s="708">
        <f t="shared" si="22"/>
        <v>0.81358360125192186</v>
      </c>
      <c r="H45" s="708">
        <f t="shared" si="22"/>
        <v>0.88000079438796519</v>
      </c>
      <c r="I45" s="708">
        <f t="shared" si="22"/>
        <v>0.86292967512561713</v>
      </c>
      <c r="J45" s="708">
        <f t="shared" si="22"/>
        <v>0.84991917486050839</v>
      </c>
      <c r="K45" s="708">
        <f t="shared" si="22"/>
        <v>0.87489878054676506</v>
      </c>
      <c r="L45" s="708">
        <f t="shared" si="22"/>
        <v>0.84396948853578213</v>
      </c>
      <c r="M45" s="708">
        <f t="shared" si="22"/>
        <v>0.89058577172865516</v>
      </c>
      <c r="N45" s="708">
        <f t="shared" si="22"/>
        <v>0.88596847722847849</v>
      </c>
      <c r="O45" s="708">
        <f t="shared" si="22"/>
        <v>0.87519253516054751</v>
      </c>
      <c r="P45" s="708">
        <f t="shared" si="22"/>
        <v>0.89017909286971042</v>
      </c>
      <c r="Q45" s="708">
        <f t="shared" si="22"/>
        <v>0.88395825319439558</v>
      </c>
      <c r="R45" s="708">
        <f t="shared" si="22"/>
        <v>0.80306472393989703</v>
      </c>
      <c r="S45" s="708">
        <f t="shared" si="22"/>
        <v>0.88153417928289457</v>
      </c>
      <c r="T45" s="708">
        <f t="shared" si="22"/>
        <v>0.87036679499941227</v>
      </c>
      <c r="U45" s="708">
        <f t="shared" si="22"/>
        <v>0.89725064481847272</v>
      </c>
      <c r="V45" s="708">
        <f t="shared" si="22"/>
        <v>0.84303694258501916</v>
      </c>
      <c r="W45" s="708">
        <f t="shared" si="22"/>
        <v>0.88561230886447639</v>
      </c>
      <c r="X45" s="708">
        <f t="shared" si="22"/>
        <v>0.83536706688667051</v>
      </c>
      <c r="Y45" s="708">
        <f t="shared" si="22"/>
        <v>0.90275636290048633</v>
      </c>
      <c r="Z45" s="708">
        <f t="shared" si="22"/>
        <v>0.87891574758893642</v>
      </c>
      <c r="AA45" s="708">
        <f t="shared" si="22"/>
        <v>0.9444737396739924</v>
      </c>
      <c r="AB45" s="708">
        <f t="shared" si="22"/>
        <v>0.97631596747347482</v>
      </c>
      <c r="AC45" s="708">
        <f t="shared" si="22"/>
        <v>0.7484312106638259</v>
      </c>
    </row>
    <row r="46" spans="1:29" s="459" customFormat="1">
      <c r="A46" s="459" t="s">
        <v>326</v>
      </c>
      <c r="B46" s="459" t="s">
        <v>365</v>
      </c>
      <c r="C46" s="708">
        <f t="shared" si="23"/>
        <v>2.1905905312439161E-2</v>
      </c>
      <c r="D46" s="708">
        <f t="shared" si="22"/>
        <v>9.3709663140288998E-3</v>
      </c>
      <c r="E46" s="708">
        <f t="shared" si="22"/>
        <v>4.6019564968395495E-2</v>
      </c>
      <c r="F46" s="708">
        <f t="shared" si="22"/>
        <v>1.8394858695029128E-2</v>
      </c>
      <c r="G46" s="708">
        <f t="shared" si="22"/>
        <v>9.9598084318994508E-3</v>
      </c>
      <c r="H46" s="708">
        <f t="shared" si="22"/>
        <v>1.3237997918849932E-2</v>
      </c>
      <c r="I46" s="708">
        <f t="shared" si="22"/>
        <v>1.1420057155050359E-2</v>
      </c>
      <c r="J46" s="708">
        <f t="shared" si="22"/>
        <v>2.6498598054231513E-2</v>
      </c>
      <c r="K46" s="708">
        <f t="shared" si="22"/>
        <v>2.5642116158186581E-2</v>
      </c>
      <c r="L46" s="708">
        <f t="shared" si="22"/>
        <v>8.6437934593511252E-3</v>
      </c>
      <c r="M46" s="708">
        <f t="shared" si="22"/>
        <v>1.5314370184172183E-2</v>
      </c>
      <c r="N46" s="708">
        <f t="shared" si="22"/>
        <v>7.9154020817384443E-3</v>
      </c>
      <c r="O46" s="708">
        <f t="shared" si="22"/>
        <v>1.1871653704006174E-2</v>
      </c>
      <c r="P46" s="708">
        <f t="shared" si="22"/>
        <v>1.3089641552029165E-2</v>
      </c>
      <c r="Q46" s="708">
        <f t="shared" si="22"/>
        <v>1.6194784858342321E-2</v>
      </c>
      <c r="R46" s="708">
        <f t="shared" si="22"/>
        <v>1.272342398540301E-2</v>
      </c>
      <c r="S46" s="708">
        <f t="shared" si="22"/>
        <v>1.6945626580446856E-2</v>
      </c>
      <c r="T46" s="708">
        <f t="shared" si="22"/>
        <v>6.4710564013944778E-3</v>
      </c>
      <c r="U46" s="708">
        <f t="shared" si="22"/>
        <v>1.1282963024401618E-2</v>
      </c>
      <c r="V46" s="708">
        <f t="shared" si="22"/>
        <v>1.7408913059663488E-2</v>
      </c>
      <c r="W46" s="708">
        <f t="shared" si="22"/>
        <v>1.0486530825816983E-2</v>
      </c>
      <c r="X46" s="708">
        <f t="shared" si="22"/>
        <v>9.0992061135074936E-3</v>
      </c>
      <c r="Y46" s="708">
        <f t="shared" si="22"/>
        <v>7.6815860877352945E-3</v>
      </c>
      <c r="Z46" s="708">
        <f t="shared" si="22"/>
        <v>1.129928575321087E-2</v>
      </c>
      <c r="AA46" s="708">
        <f t="shared" si="22"/>
        <v>1.2132191360051241E-2</v>
      </c>
      <c r="AB46" s="708">
        <f t="shared" si="22"/>
        <v>1.4116355738962196E-2</v>
      </c>
      <c r="AC46" s="708">
        <f t="shared" si="22"/>
        <v>5.1335741680296381E-3</v>
      </c>
    </row>
    <row r="47" spans="1:29" s="459" customFormat="1">
      <c r="B47" s="459" t="s">
        <v>589</v>
      </c>
      <c r="C47" s="708">
        <f t="shared" si="23"/>
        <v>0.13420523697456904</v>
      </c>
      <c r="D47" s="708">
        <f t="shared" si="22"/>
        <v>0.10710044454468777</v>
      </c>
      <c r="E47" s="708">
        <f t="shared" si="22"/>
        <v>0.19876243811835848</v>
      </c>
      <c r="F47" s="708">
        <f t="shared" si="22"/>
        <v>0.12764218879595873</v>
      </c>
      <c r="G47" s="708">
        <f t="shared" si="22"/>
        <v>0.17390740340065505</v>
      </c>
      <c r="H47" s="708">
        <f t="shared" si="22"/>
        <v>0.10506709222333424</v>
      </c>
      <c r="I47" s="708">
        <f t="shared" si="22"/>
        <v>0.12236196724323453</v>
      </c>
      <c r="J47" s="708">
        <f t="shared" si="22"/>
        <v>0.12114061821652349</v>
      </c>
      <c r="K47" s="708">
        <f t="shared" si="22"/>
        <v>9.5943192996830379E-2</v>
      </c>
      <c r="L47" s="708">
        <f t="shared" si="22"/>
        <v>0.14406818351631784</v>
      </c>
      <c r="M47" s="708">
        <f t="shared" si="22"/>
        <v>9.1160103344907026E-2</v>
      </c>
      <c r="N47" s="708">
        <f t="shared" si="22"/>
        <v>0.10280096830411618</v>
      </c>
      <c r="O47" s="708">
        <f t="shared" si="22"/>
        <v>0.1090291442200671</v>
      </c>
      <c r="P47" s="708">
        <f t="shared" si="22"/>
        <v>9.3500658188139713E-2</v>
      </c>
      <c r="Q47" s="708">
        <f t="shared" si="22"/>
        <v>9.5849985296922749E-2</v>
      </c>
      <c r="R47" s="708">
        <f t="shared" si="22"/>
        <v>0.18176945675911579</v>
      </c>
      <c r="S47" s="708">
        <f t="shared" si="22"/>
        <v>9.8628734938449439E-2</v>
      </c>
      <c r="T47" s="708">
        <f t="shared" si="22"/>
        <v>0.1201808986728002</v>
      </c>
      <c r="U47" s="708">
        <f t="shared" si="22"/>
        <v>8.7922218904635543E-2</v>
      </c>
      <c r="V47" s="708">
        <f t="shared" si="22"/>
        <v>0.13744351846908884</v>
      </c>
      <c r="W47" s="708">
        <f t="shared" si="22"/>
        <v>9.9875160108017558E-2</v>
      </c>
      <c r="X47" s="708">
        <f t="shared" si="22"/>
        <v>0.15362824863350735</v>
      </c>
      <c r="Y47" s="708">
        <f t="shared" si="22"/>
        <v>8.779257733251114E-2</v>
      </c>
      <c r="Z47" s="708">
        <f t="shared" si="22"/>
        <v>0.10761594968374652</v>
      </c>
      <c r="AA47" s="708">
        <f t="shared" si="22"/>
        <v>4.1397867266551647E-2</v>
      </c>
      <c r="AB47" s="708">
        <f t="shared" si="22"/>
        <v>7.3998501918595234E-3</v>
      </c>
      <c r="AC47" s="708">
        <f t="shared" si="22"/>
        <v>0.24446432784809863</v>
      </c>
    </row>
    <row r="48" spans="1:29" s="459" customFormat="1">
      <c r="B48" s="459" t="s">
        <v>576</v>
      </c>
      <c r="C48" s="708">
        <f t="shared" si="23"/>
        <v>6.559186931581344E-3</v>
      </c>
      <c r="D48" s="708">
        <f t="shared" si="22"/>
        <v>0</v>
      </c>
      <c r="E48" s="708">
        <f t="shared" si="22"/>
        <v>2.6917959872731177E-2</v>
      </c>
      <c r="F48" s="708">
        <f t="shared" si="22"/>
        <v>0</v>
      </c>
      <c r="G48" s="708">
        <f t="shared" si="22"/>
        <v>0</v>
      </c>
      <c r="H48" s="708">
        <f t="shared" si="22"/>
        <v>0</v>
      </c>
      <c r="I48" s="708">
        <f t="shared" si="22"/>
        <v>0</v>
      </c>
      <c r="J48" s="708">
        <f t="shared" si="22"/>
        <v>0</v>
      </c>
      <c r="K48" s="708">
        <f t="shared" si="22"/>
        <v>0</v>
      </c>
      <c r="L48" s="708">
        <f t="shared" si="22"/>
        <v>0</v>
      </c>
      <c r="M48" s="708">
        <f t="shared" si="22"/>
        <v>0</v>
      </c>
      <c r="N48" s="708">
        <f t="shared" si="22"/>
        <v>0</v>
      </c>
      <c r="O48" s="708">
        <f t="shared" si="22"/>
        <v>0</v>
      </c>
      <c r="P48" s="708">
        <f t="shared" si="22"/>
        <v>0</v>
      </c>
      <c r="Q48" s="708">
        <f t="shared" si="22"/>
        <v>0</v>
      </c>
      <c r="R48" s="708">
        <f t="shared" si="22"/>
        <v>0</v>
      </c>
      <c r="S48" s="708">
        <f t="shared" si="22"/>
        <v>0</v>
      </c>
      <c r="T48" s="708">
        <f t="shared" si="22"/>
        <v>0</v>
      </c>
      <c r="U48" s="708">
        <f t="shared" si="22"/>
        <v>0</v>
      </c>
      <c r="V48" s="708">
        <f t="shared" si="22"/>
        <v>0</v>
      </c>
      <c r="W48" s="708">
        <f t="shared" si="22"/>
        <v>0</v>
      </c>
      <c r="X48" s="708">
        <f t="shared" si="22"/>
        <v>0</v>
      </c>
      <c r="Y48" s="708">
        <f t="shared" si="22"/>
        <v>0</v>
      </c>
      <c r="Z48" s="708">
        <f t="shared" si="22"/>
        <v>0</v>
      </c>
      <c r="AA48" s="708">
        <f t="shared" si="22"/>
        <v>0</v>
      </c>
      <c r="AB48" s="708">
        <f t="shared" si="22"/>
        <v>0</v>
      </c>
      <c r="AC48" s="708">
        <f t="shared" si="22"/>
        <v>0</v>
      </c>
    </row>
    <row r="49" spans="1:29" s="459" customFormat="1">
      <c r="B49" s="459" t="s">
        <v>367</v>
      </c>
      <c r="C49" s="708">
        <f t="shared" si="23"/>
        <v>0</v>
      </c>
      <c r="D49" s="708">
        <f t="shared" si="22"/>
        <v>0</v>
      </c>
      <c r="E49" s="708">
        <f t="shared" si="22"/>
        <v>0</v>
      </c>
      <c r="F49" s="708">
        <f t="shared" si="22"/>
        <v>0</v>
      </c>
      <c r="G49" s="708">
        <f t="shared" si="22"/>
        <v>0</v>
      </c>
      <c r="H49" s="708">
        <f t="shared" si="22"/>
        <v>0</v>
      </c>
      <c r="I49" s="708">
        <f t="shared" si="22"/>
        <v>0</v>
      </c>
      <c r="J49" s="708">
        <f t="shared" si="22"/>
        <v>0</v>
      </c>
      <c r="K49" s="708">
        <f t="shared" si="22"/>
        <v>0</v>
      </c>
      <c r="L49" s="708">
        <f t="shared" si="22"/>
        <v>0</v>
      </c>
      <c r="M49" s="708">
        <f t="shared" si="22"/>
        <v>0</v>
      </c>
      <c r="N49" s="708">
        <f t="shared" si="22"/>
        <v>0</v>
      </c>
      <c r="O49" s="708">
        <f t="shared" si="22"/>
        <v>0</v>
      </c>
      <c r="P49" s="708">
        <f t="shared" si="22"/>
        <v>0</v>
      </c>
      <c r="Q49" s="708">
        <f t="shared" si="22"/>
        <v>0</v>
      </c>
      <c r="R49" s="708">
        <f t="shared" si="22"/>
        <v>0</v>
      </c>
      <c r="S49" s="708">
        <f t="shared" si="22"/>
        <v>0</v>
      </c>
      <c r="T49" s="708">
        <f t="shared" si="22"/>
        <v>0</v>
      </c>
      <c r="U49" s="708">
        <f t="shared" si="22"/>
        <v>0</v>
      </c>
      <c r="V49" s="708">
        <f t="shared" si="22"/>
        <v>0</v>
      </c>
      <c r="W49" s="708">
        <f t="shared" si="22"/>
        <v>0</v>
      </c>
      <c r="X49" s="708">
        <f t="shared" si="22"/>
        <v>0</v>
      </c>
      <c r="Y49" s="708">
        <f t="shared" si="22"/>
        <v>0</v>
      </c>
      <c r="Z49" s="708">
        <f t="shared" si="22"/>
        <v>0</v>
      </c>
      <c r="AA49" s="708">
        <f t="shared" si="22"/>
        <v>0</v>
      </c>
      <c r="AB49" s="708">
        <f t="shared" si="22"/>
        <v>0</v>
      </c>
      <c r="AC49" s="708">
        <f t="shared" si="22"/>
        <v>0</v>
      </c>
    </row>
    <row r="50" spans="1:29" s="459" customFormat="1">
      <c r="A50" s="458"/>
      <c r="B50" s="675" t="s">
        <v>16</v>
      </c>
      <c r="C50" s="399">
        <f>SUM(C42:C49)</f>
        <v>1</v>
      </c>
      <c r="D50" s="399">
        <f>SUM(D42:D49)</f>
        <v>1</v>
      </c>
      <c r="E50" s="399">
        <f t="shared" ref="E50" si="24">SUM(E42:E49)</f>
        <v>1</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0.99999999999999989</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75">
      <c r="A54" s="401" t="s">
        <v>980</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359</v>
      </c>
      <c r="B55" s="132" t="s">
        <v>360</v>
      </c>
      <c r="C55" s="720" t="str">
        <f>Regions!C3</f>
        <v>IE</v>
      </c>
      <c r="D55" s="720" t="str">
        <f>Regions!E3</f>
        <v>IE-CW</v>
      </c>
      <c r="E55" s="720" t="str">
        <f>Regions!F3</f>
        <v>IE-D</v>
      </c>
      <c r="F55" s="720" t="str">
        <f>Regions!G3</f>
        <v>IE-KE</v>
      </c>
      <c r="G55" s="720" t="str">
        <f>Regions!H3</f>
        <v>IE-KK</v>
      </c>
      <c r="H55" s="720" t="str">
        <f>Regions!I3</f>
        <v>IE-LS</v>
      </c>
      <c r="I55" s="720" t="str">
        <f>Regions!J3</f>
        <v>IE-LD</v>
      </c>
      <c r="J55" s="720" t="str">
        <f>Regions!K3</f>
        <v>IE-LH</v>
      </c>
      <c r="K55" s="720" t="str">
        <f>Regions!L3</f>
        <v>IE-MH</v>
      </c>
      <c r="L55" s="720" t="str">
        <f>Regions!M3</f>
        <v>IE-OY</v>
      </c>
      <c r="M55" s="720" t="str">
        <f>Regions!N3</f>
        <v>IE-WH</v>
      </c>
      <c r="N55" s="720" t="str">
        <f>Regions!O3</f>
        <v>IE-WX</v>
      </c>
      <c r="O55" s="720" t="str">
        <f>Regions!P3</f>
        <v>IE-WW</v>
      </c>
      <c r="P55" s="720" t="str">
        <f>Regions!Q3</f>
        <v>IE-CE</v>
      </c>
      <c r="Q55" s="720" t="str">
        <f>Regions!R3</f>
        <v>IE-CO</v>
      </c>
      <c r="R55" s="720" t="str">
        <f>Regions!S3</f>
        <v>IE-KY</v>
      </c>
      <c r="S55" s="720" t="str">
        <f>Regions!T3</f>
        <v>IE-LK</v>
      </c>
      <c r="T55" s="720" t="str">
        <f>Regions!U3</f>
        <v>IE-TA</v>
      </c>
      <c r="U55" s="720" t="str">
        <f>Regions!V3</f>
        <v>IE-WD</v>
      </c>
      <c r="V55" s="720" t="str">
        <f>Regions!W3</f>
        <v>IE-G</v>
      </c>
      <c r="W55" s="720" t="str">
        <f>Regions!X3</f>
        <v>IE-LM</v>
      </c>
      <c r="X55" s="720" t="str">
        <f>Regions!Y3</f>
        <v>IE-MO</v>
      </c>
      <c r="Y55" s="720" t="str">
        <f>Regions!Z3</f>
        <v>IE-RN</v>
      </c>
      <c r="Z55" s="720" t="str">
        <f>Regions!AA3</f>
        <v>IE-SO</v>
      </c>
      <c r="AA55" s="720" t="str">
        <f>Regions!AB3</f>
        <v>IE-CN</v>
      </c>
      <c r="AB55" s="720" t="str">
        <f>Regions!AC3</f>
        <v>IE-DL</v>
      </c>
      <c r="AC55" s="720" t="str">
        <f>Regions!AD3</f>
        <v>IE-MN</v>
      </c>
    </row>
    <row r="56" spans="1:29" s="459" customFormat="1">
      <c r="A56" s="459" t="s">
        <v>366</v>
      </c>
      <c r="B56" s="459" t="s">
        <v>361</v>
      </c>
      <c r="C56" s="708">
        <f>C384/C$392</f>
        <v>0</v>
      </c>
      <c r="D56" s="708">
        <f t="shared" ref="D56:AC63" si="49">D384/D$392</f>
        <v>0</v>
      </c>
      <c r="E56" s="708">
        <f t="shared" si="49"/>
        <v>0</v>
      </c>
      <c r="F56" s="708">
        <f t="shared" si="49"/>
        <v>0</v>
      </c>
      <c r="G56" s="708">
        <f t="shared" si="49"/>
        <v>0</v>
      </c>
      <c r="H56" s="708">
        <f t="shared" si="49"/>
        <v>0</v>
      </c>
      <c r="I56" s="708">
        <f t="shared" si="49"/>
        <v>0</v>
      </c>
      <c r="J56" s="708">
        <f t="shared" si="49"/>
        <v>0</v>
      </c>
      <c r="K56" s="708">
        <f t="shared" si="49"/>
        <v>0</v>
      </c>
      <c r="L56" s="708">
        <f t="shared" si="49"/>
        <v>0</v>
      </c>
      <c r="M56" s="708">
        <f t="shared" si="49"/>
        <v>0</v>
      </c>
      <c r="N56" s="708">
        <f t="shared" si="49"/>
        <v>0</v>
      </c>
      <c r="O56" s="708">
        <f t="shared" si="49"/>
        <v>0</v>
      </c>
      <c r="P56" s="708">
        <f t="shared" si="49"/>
        <v>0</v>
      </c>
      <c r="Q56" s="708">
        <f t="shared" si="49"/>
        <v>0</v>
      </c>
      <c r="R56" s="708">
        <f t="shared" si="49"/>
        <v>0</v>
      </c>
      <c r="S56" s="708">
        <f t="shared" si="49"/>
        <v>0</v>
      </c>
      <c r="T56" s="708">
        <f t="shared" si="49"/>
        <v>0</v>
      </c>
      <c r="U56" s="708">
        <f t="shared" si="49"/>
        <v>0</v>
      </c>
      <c r="V56" s="708">
        <f t="shared" si="49"/>
        <v>0</v>
      </c>
      <c r="W56" s="708">
        <f t="shared" si="49"/>
        <v>0</v>
      </c>
      <c r="X56" s="708">
        <f t="shared" si="49"/>
        <v>0</v>
      </c>
      <c r="Y56" s="708">
        <f t="shared" si="49"/>
        <v>0</v>
      </c>
      <c r="Z56" s="708">
        <f t="shared" si="49"/>
        <v>0</v>
      </c>
      <c r="AA56" s="708">
        <f t="shared" si="49"/>
        <v>0</v>
      </c>
      <c r="AB56" s="708">
        <f t="shared" si="49"/>
        <v>0</v>
      </c>
      <c r="AC56" s="708">
        <f t="shared" si="49"/>
        <v>0</v>
      </c>
    </row>
    <row r="57" spans="1:29" s="459" customFormat="1">
      <c r="B57" s="459" t="s">
        <v>362</v>
      </c>
      <c r="C57" s="708">
        <f t="shared" ref="C57:R63" si="50">C385/C$392</f>
        <v>0</v>
      </c>
      <c r="D57" s="708">
        <f t="shared" si="50"/>
        <v>0</v>
      </c>
      <c r="E57" s="708">
        <f t="shared" si="50"/>
        <v>0</v>
      </c>
      <c r="F57" s="708">
        <f t="shared" si="50"/>
        <v>0</v>
      </c>
      <c r="G57" s="708">
        <f t="shared" si="50"/>
        <v>0</v>
      </c>
      <c r="H57" s="708">
        <f t="shared" si="50"/>
        <v>0</v>
      </c>
      <c r="I57" s="708">
        <f t="shared" si="50"/>
        <v>0</v>
      </c>
      <c r="J57" s="708">
        <f t="shared" si="50"/>
        <v>0</v>
      </c>
      <c r="K57" s="708">
        <f t="shared" si="50"/>
        <v>0</v>
      </c>
      <c r="L57" s="708">
        <f t="shared" si="50"/>
        <v>0</v>
      </c>
      <c r="M57" s="708">
        <f t="shared" si="50"/>
        <v>0</v>
      </c>
      <c r="N57" s="708">
        <f t="shared" si="50"/>
        <v>0</v>
      </c>
      <c r="O57" s="708">
        <f t="shared" si="50"/>
        <v>0</v>
      </c>
      <c r="P57" s="708">
        <f t="shared" si="50"/>
        <v>0</v>
      </c>
      <c r="Q57" s="708">
        <f t="shared" si="50"/>
        <v>0</v>
      </c>
      <c r="R57" s="708">
        <f t="shared" si="50"/>
        <v>0</v>
      </c>
      <c r="S57" s="708">
        <f t="shared" si="49"/>
        <v>0</v>
      </c>
      <c r="T57" s="708">
        <f t="shared" si="49"/>
        <v>0</v>
      </c>
      <c r="U57" s="708">
        <f t="shared" si="49"/>
        <v>0</v>
      </c>
      <c r="V57" s="708">
        <f t="shared" si="49"/>
        <v>0</v>
      </c>
      <c r="W57" s="708">
        <f t="shared" si="49"/>
        <v>0</v>
      </c>
      <c r="X57" s="708">
        <f t="shared" si="49"/>
        <v>0</v>
      </c>
      <c r="Y57" s="708">
        <f t="shared" si="49"/>
        <v>0</v>
      </c>
      <c r="Z57" s="708">
        <f t="shared" si="49"/>
        <v>0</v>
      </c>
      <c r="AA57" s="708">
        <f t="shared" si="49"/>
        <v>0</v>
      </c>
      <c r="AB57" s="708">
        <f t="shared" si="49"/>
        <v>0</v>
      </c>
      <c r="AC57" s="708">
        <f t="shared" si="49"/>
        <v>0</v>
      </c>
    </row>
    <row r="58" spans="1:29" s="459" customFormat="1">
      <c r="A58" s="459" t="s">
        <v>363</v>
      </c>
      <c r="B58" s="459" t="s">
        <v>369</v>
      </c>
      <c r="C58" s="714">
        <f t="shared" si="50"/>
        <v>0</v>
      </c>
      <c r="D58" s="708">
        <f t="shared" si="49"/>
        <v>0</v>
      </c>
      <c r="E58" s="708">
        <f t="shared" si="49"/>
        <v>0</v>
      </c>
      <c r="F58" s="708">
        <f t="shared" si="49"/>
        <v>0</v>
      </c>
      <c r="G58" s="708">
        <f t="shared" si="49"/>
        <v>0</v>
      </c>
      <c r="H58" s="708">
        <f t="shared" si="49"/>
        <v>0</v>
      </c>
      <c r="I58" s="708">
        <f t="shared" si="49"/>
        <v>0</v>
      </c>
      <c r="J58" s="708">
        <f t="shared" si="49"/>
        <v>0</v>
      </c>
      <c r="K58" s="708">
        <f t="shared" si="49"/>
        <v>0</v>
      </c>
      <c r="L58" s="708">
        <f t="shared" si="49"/>
        <v>0</v>
      </c>
      <c r="M58" s="708">
        <f t="shared" si="49"/>
        <v>0</v>
      </c>
      <c r="N58" s="708">
        <f t="shared" si="49"/>
        <v>0</v>
      </c>
      <c r="O58" s="708">
        <f t="shared" si="49"/>
        <v>0</v>
      </c>
      <c r="P58" s="708">
        <f t="shared" si="49"/>
        <v>0</v>
      </c>
      <c r="Q58" s="708">
        <f t="shared" si="49"/>
        <v>0</v>
      </c>
      <c r="R58" s="708">
        <f t="shared" si="49"/>
        <v>0</v>
      </c>
      <c r="S58" s="708">
        <f t="shared" si="49"/>
        <v>0</v>
      </c>
      <c r="T58" s="708">
        <f t="shared" si="49"/>
        <v>0</v>
      </c>
      <c r="U58" s="708">
        <f t="shared" si="49"/>
        <v>0</v>
      </c>
      <c r="V58" s="708">
        <f t="shared" si="49"/>
        <v>0</v>
      </c>
      <c r="W58" s="708">
        <f t="shared" si="49"/>
        <v>0</v>
      </c>
      <c r="X58" s="708">
        <f t="shared" si="49"/>
        <v>0</v>
      </c>
      <c r="Y58" s="708">
        <f t="shared" si="49"/>
        <v>0</v>
      </c>
      <c r="Z58" s="708">
        <f t="shared" si="49"/>
        <v>0</v>
      </c>
      <c r="AA58" s="708">
        <f t="shared" si="49"/>
        <v>0</v>
      </c>
      <c r="AB58" s="708">
        <f t="shared" si="49"/>
        <v>0</v>
      </c>
      <c r="AC58" s="708">
        <f t="shared" si="49"/>
        <v>0</v>
      </c>
    </row>
    <row r="59" spans="1:29" s="459" customFormat="1">
      <c r="B59" s="459" t="s">
        <v>368</v>
      </c>
      <c r="C59" s="708">
        <f t="shared" si="50"/>
        <v>0.74108639947108168</v>
      </c>
      <c r="D59" s="708">
        <f t="shared" si="49"/>
        <v>0.79071880912169545</v>
      </c>
      <c r="E59" s="708">
        <f t="shared" si="49"/>
        <v>0.6386131571238467</v>
      </c>
      <c r="F59" s="708">
        <f t="shared" si="49"/>
        <v>0.75580744416441215</v>
      </c>
      <c r="G59" s="708">
        <f t="shared" si="49"/>
        <v>0.71320246300225565</v>
      </c>
      <c r="H59" s="708">
        <f t="shared" si="49"/>
        <v>0.78115676031065473</v>
      </c>
      <c r="I59" s="708">
        <f t="shared" si="49"/>
        <v>0.76642349622098382</v>
      </c>
      <c r="J59" s="708">
        <f t="shared" si="49"/>
        <v>0.74828496387185417</v>
      </c>
      <c r="K59" s="708">
        <f t="shared" si="49"/>
        <v>0.78640329755658556</v>
      </c>
      <c r="L59" s="708">
        <f t="shared" si="49"/>
        <v>0.74588309703681677</v>
      </c>
      <c r="M59" s="708">
        <f t="shared" si="49"/>
        <v>0.80172469534468704</v>
      </c>
      <c r="N59" s="708">
        <f t="shared" si="49"/>
        <v>0.79583426304303684</v>
      </c>
      <c r="O59" s="708">
        <f t="shared" si="49"/>
        <v>0.77907090765006382</v>
      </c>
      <c r="P59" s="708">
        <f t="shared" si="49"/>
        <v>0.80155723993574601</v>
      </c>
      <c r="Q59" s="708">
        <f t="shared" si="49"/>
        <v>0.78887154985237196</v>
      </c>
      <c r="R59" s="708">
        <f t="shared" si="49"/>
        <v>0.70533422841274862</v>
      </c>
      <c r="S59" s="708">
        <f t="shared" si="49"/>
        <v>0.78717070970762593</v>
      </c>
      <c r="T59" s="708">
        <f t="shared" si="49"/>
        <v>0.77916775606401434</v>
      </c>
      <c r="U59" s="708">
        <f t="shared" si="49"/>
        <v>0.80467495581567261</v>
      </c>
      <c r="V59" s="708">
        <f t="shared" si="49"/>
        <v>0.74505854970828844</v>
      </c>
      <c r="W59" s="708">
        <f t="shared" si="49"/>
        <v>0.79514890678426453</v>
      </c>
      <c r="X59" s="708">
        <f t="shared" si="49"/>
        <v>0.73736495113760858</v>
      </c>
      <c r="Y59" s="708">
        <f t="shared" si="49"/>
        <v>0.81853938082108479</v>
      </c>
      <c r="Z59" s="708">
        <f t="shared" si="49"/>
        <v>0.77998817627338324</v>
      </c>
      <c r="AA59" s="708">
        <f t="shared" si="49"/>
        <v>0.85154985463859412</v>
      </c>
      <c r="AB59" s="708">
        <f t="shared" si="49"/>
        <v>0.88006272796227247</v>
      </c>
      <c r="AC59" s="708">
        <f t="shared" si="49"/>
        <v>0.64231184378282558</v>
      </c>
    </row>
    <row r="60" spans="1:29" s="459" customFormat="1">
      <c r="A60" s="459" t="s">
        <v>326</v>
      </c>
      <c r="B60" s="459" t="s">
        <v>365</v>
      </c>
      <c r="C60" s="708">
        <f t="shared" si="50"/>
        <v>1.214216695359136E-2</v>
      </c>
      <c r="D60" s="708">
        <f t="shared" si="49"/>
        <v>5.244564356444866E-3</v>
      </c>
      <c r="E60" s="708">
        <f t="shared" si="49"/>
        <v>2.5318479036608464E-2</v>
      </c>
      <c r="F60" s="708">
        <f t="shared" si="49"/>
        <v>1.0199545943263343E-2</v>
      </c>
      <c r="G60" s="708">
        <f t="shared" si="49"/>
        <v>5.4465670112681473E-3</v>
      </c>
      <c r="H60" s="708">
        <f t="shared" si="49"/>
        <v>7.3305854058422536E-3</v>
      </c>
      <c r="I60" s="708">
        <f t="shared" si="49"/>
        <v>6.327365203104513E-3</v>
      </c>
      <c r="J60" s="708">
        <f t="shared" si="49"/>
        <v>1.4553702960433654E-2</v>
      </c>
      <c r="K60" s="708">
        <f t="shared" si="49"/>
        <v>1.4378136289327563E-2</v>
      </c>
      <c r="L60" s="708">
        <f t="shared" si="49"/>
        <v>4.7655125577413509E-3</v>
      </c>
      <c r="M60" s="708">
        <f t="shared" si="49"/>
        <v>8.6002260738130814E-3</v>
      </c>
      <c r="N60" s="708">
        <f t="shared" si="49"/>
        <v>4.4354589246647135E-3</v>
      </c>
      <c r="O60" s="708">
        <f t="shared" si="49"/>
        <v>6.592434448494537E-3</v>
      </c>
      <c r="P60" s="708">
        <f t="shared" si="49"/>
        <v>7.3526877521562662E-3</v>
      </c>
      <c r="Q60" s="708">
        <f t="shared" si="49"/>
        <v>9.0159384819168999E-3</v>
      </c>
      <c r="R60" s="708">
        <f t="shared" si="49"/>
        <v>6.9712334769449829E-3</v>
      </c>
      <c r="S60" s="708">
        <f t="shared" si="49"/>
        <v>9.4394919428535985E-3</v>
      </c>
      <c r="T60" s="708">
        <f t="shared" si="49"/>
        <v>3.6138078846859318E-3</v>
      </c>
      <c r="U60" s="708">
        <f t="shared" si="49"/>
        <v>6.3123502546919919E-3</v>
      </c>
      <c r="V60" s="708">
        <f t="shared" si="49"/>
        <v>9.5979099500525071E-3</v>
      </c>
      <c r="W60" s="708">
        <f t="shared" si="49"/>
        <v>5.8735122381989901E-3</v>
      </c>
      <c r="X60" s="708">
        <f t="shared" si="49"/>
        <v>5.0103707288089395E-3</v>
      </c>
      <c r="Y60" s="708">
        <f t="shared" si="49"/>
        <v>4.3449135578945168E-3</v>
      </c>
      <c r="Z60" s="708">
        <f t="shared" si="49"/>
        <v>6.2553697184935773E-3</v>
      </c>
      <c r="AA60" s="708">
        <f t="shared" si="49"/>
        <v>6.8237115745591239E-3</v>
      </c>
      <c r="AB60" s="708">
        <f t="shared" si="49"/>
        <v>7.9379260453763534E-3</v>
      </c>
      <c r="AC60" s="708">
        <f t="shared" si="49"/>
        <v>2.7483693665086213E-3</v>
      </c>
    </row>
    <row r="61" spans="1:29" s="459" customFormat="1">
      <c r="B61" s="459" t="s">
        <v>589</v>
      </c>
      <c r="C61" s="708">
        <f t="shared" si="50"/>
        <v>0.1626965950818042</v>
      </c>
      <c r="D61" s="708">
        <f t="shared" si="49"/>
        <v>0.13109626623170204</v>
      </c>
      <c r="E61" s="708">
        <f t="shared" si="49"/>
        <v>0.23916819504950479</v>
      </c>
      <c r="F61" s="708">
        <f t="shared" si="49"/>
        <v>0.15479346868381608</v>
      </c>
      <c r="G61" s="708">
        <f t="shared" si="49"/>
        <v>0.20800029152740038</v>
      </c>
      <c r="H61" s="708">
        <f t="shared" si="49"/>
        <v>0.12724978858051844</v>
      </c>
      <c r="I61" s="708">
        <f t="shared" si="49"/>
        <v>0.14827744084788594</v>
      </c>
      <c r="J61" s="708">
        <f t="shared" si="49"/>
        <v>0.14551722418000443</v>
      </c>
      <c r="K61" s="708">
        <f t="shared" si="49"/>
        <v>0.11766218454461841</v>
      </c>
      <c r="L61" s="708">
        <f t="shared" si="49"/>
        <v>0.17371900154534914</v>
      </c>
      <c r="M61" s="708">
        <f t="shared" si="49"/>
        <v>0.11196687123703571</v>
      </c>
      <c r="N61" s="708">
        <f t="shared" si="49"/>
        <v>0.12599020808803368</v>
      </c>
      <c r="O61" s="708">
        <f t="shared" si="49"/>
        <v>0.13241927644257739</v>
      </c>
      <c r="P61" s="708">
        <f t="shared" si="49"/>
        <v>0.11487011188674058</v>
      </c>
      <c r="Q61" s="708">
        <f t="shared" si="49"/>
        <v>0.11670831913312733</v>
      </c>
      <c r="R61" s="708">
        <f t="shared" si="49"/>
        <v>0.2178213998684824</v>
      </c>
      <c r="S61" s="708">
        <f t="shared" si="49"/>
        <v>0.12016236232976817</v>
      </c>
      <c r="T61" s="708">
        <f t="shared" si="49"/>
        <v>0.14679096653005977</v>
      </c>
      <c r="U61" s="708">
        <f t="shared" si="49"/>
        <v>0.10758223700696061</v>
      </c>
      <c r="V61" s="708">
        <f t="shared" si="49"/>
        <v>0.1657308225029282</v>
      </c>
      <c r="W61" s="708">
        <f t="shared" si="49"/>
        <v>0.12234818626194599</v>
      </c>
      <c r="X61" s="708">
        <f t="shared" si="49"/>
        <v>0.18501691930313938</v>
      </c>
      <c r="Y61" s="708">
        <f t="shared" si="49"/>
        <v>0.10860805699514527</v>
      </c>
      <c r="Z61" s="708">
        <f t="shared" si="49"/>
        <v>0.13030246782805119</v>
      </c>
      <c r="AA61" s="708">
        <f t="shared" si="49"/>
        <v>5.0925275195199252E-2</v>
      </c>
      <c r="AB61" s="708">
        <f t="shared" si="49"/>
        <v>9.1008381034736394E-3</v>
      </c>
      <c r="AC61" s="708">
        <f t="shared" si="49"/>
        <v>0.28624951607603277</v>
      </c>
    </row>
    <row r="62" spans="1:29" s="459" customFormat="1">
      <c r="B62" s="459" t="s">
        <v>576</v>
      </c>
      <c r="C62" s="708">
        <f t="shared" si="50"/>
        <v>0</v>
      </c>
      <c r="D62" s="708">
        <f t="shared" si="49"/>
        <v>0</v>
      </c>
      <c r="E62" s="708">
        <f t="shared" si="49"/>
        <v>0</v>
      </c>
      <c r="F62" s="708">
        <f t="shared" si="49"/>
        <v>0</v>
      </c>
      <c r="G62" s="708">
        <f t="shared" si="49"/>
        <v>0</v>
      </c>
      <c r="H62" s="708">
        <f t="shared" si="49"/>
        <v>0</v>
      </c>
      <c r="I62" s="708">
        <f t="shared" si="49"/>
        <v>0</v>
      </c>
      <c r="J62" s="708">
        <f t="shared" si="49"/>
        <v>0</v>
      </c>
      <c r="K62" s="708">
        <f t="shared" si="49"/>
        <v>0</v>
      </c>
      <c r="L62" s="708">
        <f t="shared" si="49"/>
        <v>0</v>
      </c>
      <c r="M62" s="708">
        <f t="shared" si="49"/>
        <v>0</v>
      </c>
      <c r="N62" s="708">
        <f t="shared" si="49"/>
        <v>0</v>
      </c>
      <c r="O62" s="708">
        <f t="shared" si="49"/>
        <v>0</v>
      </c>
      <c r="P62" s="708">
        <f t="shared" si="49"/>
        <v>0</v>
      </c>
      <c r="Q62" s="708">
        <f t="shared" si="49"/>
        <v>0</v>
      </c>
      <c r="R62" s="708">
        <f t="shared" si="49"/>
        <v>0</v>
      </c>
      <c r="S62" s="708">
        <f t="shared" si="49"/>
        <v>0</v>
      </c>
      <c r="T62" s="708">
        <f t="shared" si="49"/>
        <v>0</v>
      </c>
      <c r="U62" s="708">
        <f t="shared" si="49"/>
        <v>0</v>
      </c>
      <c r="V62" s="708">
        <f t="shared" si="49"/>
        <v>0</v>
      </c>
      <c r="W62" s="708">
        <f t="shared" si="49"/>
        <v>0</v>
      </c>
      <c r="X62" s="708">
        <f t="shared" si="49"/>
        <v>0</v>
      </c>
      <c r="Y62" s="708">
        <f t="shared" si="49"/>
        <v>0</v>
      </c>
      <c r="Z62" s="708">
        <f t="shared" si="49"/>
        <v>0</v>
      </c>
      <c r="AA62" s="708">
        <f t="shared" si="49"/>
        <v>0</v>
      </c>
      <c r="AB62" s="708">
        <f t="shared" si="49"/>
        <v>0</v>
      </c>
      <c r="AC62" s="708">
        <f t="shared" si="49"/>
        <v>0</v>
      </c>
    </row>
    <row r="63" spans="1:29" s="459" customFormat="1">
      <c r="B63" s="459" t="s">
        <v>367</v>
      </c>
      <c r="C63" s="708">
        <f t="shared" si="50"/>
        <v>8.4074838493522847E-2</v>
      </c>
      <c r="D63" s="708">
        <f t="shared" si="49"/>
        <v>7.2940360290157685E-2</v>
      </c>
      <c r="E63" s="708">
        <f t="shared" si="49"/>
        <v>9.6900168790040125E-2</v>
      </c>
      <c r="F63" s="708">
        <f t="shared" si="49"/>
        <v>7.91995412085085E-2</v>
      </c>
      <c r="G63" s="708">
        <f t="shared" si="49"/>
        <v>7.3350678459075919E-2</v>
      </c>
      <c r="H63" s="708">
        <f t="shared" si="49"/>
        <v>8.426286570298451E-2</v>
      </c>
      <c r="I63" s="708">
        <f t="shared" si="49"/>
        <v>7.8971697728025606E-2</v>
      </c>
      <c r="J63" s="708">
        <f t="shared" si="49"/>
        <v>9.1644108987707917E-2</v>
      </c>
      <c r="K63" s="708">
        <f t="shared" si="49"/>
        <v>8.1556381609468237E-2</v>
      </c>
      <c r="L63" s="708">
        <f t="shared" si="49"/>
        <v>7.5632388860092645E-2</v>
      </c>
      <c r="M63" s="708">
        <f t="shared" si="49"/>
        <v>7.7708207344464181E-2</v>
      </c>
      <c r="N63" s="708">
        <f t="shared" si="49"/>
        <v>7.3740069944264783E-2</v>
      </c>
      <c r="O63" s="708">
        <f t="shared" si="49"/>
        <v>8.1917381458864319E-2</v>
      </c>
      <c r="P63" s="708">
        <f t="shared" si="49"/>
        <v>7.6219960425357156E-2</v>
      </c>
      <c r="Q63" s="708">
        <f t="shared" si="49"/>
        <v>8.5404192532583911E-2</v>
      </c>
      <c r="R63" s="708">
        <f t="shared" si="49"/>
        <v>6.987313824182402E-2</v>
      </c>
      <c r="S63" s="708">
        <f t="shared" si="49"/>
        <v>8.3227436019752521E-2</v>
      </c>
      <c r="T63" s="708">
        <f t="shared" si="49"/>
        <v>7.0427469521239974E-2</v>
      </c>
      <c r="U63" s="708">
        <f t="shared" si="49"/>
        <v>8.1430456922674907E-2</v>
      </c>
      <c r="V63" s="708">
        <f t="shared" si="49"/>
        <v>7.9612717838730945E-2</v>
      </c>
      <c r="W63" s="708">
        <f t="shared" si="49"/>
        <v>7.6629394715590618E-2</v>
      </c>
      <c r="X63" s="708">
        <f t="shared" si="49"/>
        <v>7.2607758830443E-2</v>
      </c>
      <c r="Y63" s="708">
        <f t="shared" si="49"/>
        <v>6.8507648625875522E-2</v>
      </c>
      <c r="Z63" s="708">
        <f t="shared" si="49"/>
        <v>8.3453986180072076E-2</v>
      </c>
      <c r="AA63" s="708">
        <f t="shared" si="49"/>
        <v>9.070115859164736E-2</v>
      </c>
      <c r="AB63" s="708">
        <f t="shared" si="49"/>
        <v>0.10289850788887757</v>
      </c>
      <c r="AC63" s="708">
        <f t="shared" si="49"/>
        <v>6.8690270774633036E-2</v>
      </c>
    </row>
    <row r="64" spans="1:29" s="459" customFormat="1">
      <c r="A64" s="458"/>
      <c r="B64" s="675"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05"/>
      <c r="D66" s="402"/>
      <c r="E66" s="705"/>
      <c r="F66" s="705"/>
      <c r="G66" s="705"/>
      <c r="H66" s="705"/>
      <c r="I66" s="705"/>
      <c r="J66" s="705"/>
      <c r="K66" s="705"/>
      <c r="L66" s="705"/>
      <c r="M66" s="705"/>
      <c r="N66" s="705"/>
      <c r="O66" s="705"/>
      <c r="P66" s="705"/>
      <c r="Q66" s="705"/>
      <c r="R66" s="705"/>
      <c r="S66" s="705"/>
      <c r="T66" s="705"/>
      <c r="U66" s="705"/>
      <c r="V66" s="705"/>
      <c r="W66" s="705"/>
      <c r="X66" s="705"/>
      <c r="Y66" s="705"/>
      <c r="Z66" s="705"/>
      <c r="AA66" s="705"/>
      <c r="AB66" s="705"/>
      <c r="AC66" s="705"/>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4" t="s">
        <v>786</v>
      </c>
      <c r="B68" s="817" t="s">
        <v>787</v>
      </c>
      <c r="C68" s="817"/>
      <c r="D68" s="471"/>
      <c r="E68" s="9"/>
      <c r="F68" s="9"/>
      <c r="G68" s="9"/>
      <c r="H68" s="9"/>
      <c r="I68" s="9"/>
      <c r="J68" s="517"/>
      <c r="K68" s="9"/>
      <c r="L68" s="9"/>
      <c r="M68" s="9"/>
      <c r="T68" s="9"/>
      <c r="U68" s="9"/>
      <c r="V68" s="9"/>
      <c r="W68" s="9"/>
      <c r="X68" s="9"/>
      <c r="Y68" s="9"/>
      <c r="Z68" s="9"/>
      <c r="AA68" s="9"/>
      <c r="AB68" s="9"/>
    </row>
    <row r="69" spans="1:29" s="459" customFormat="1">
      <c r="A69" s="587"/>
      <c r="B69" s="599" t="s">
        <v>775</v>
      </c>
      <c r="C69" s="599" t="s">
        <v>560</v>
      </c>
      <c r="D69" s="588" t="s">
        <v>217</v>
      </c>
      <c r="E69" s="9"/>
      <c r="F69" s="9"/>
      <c r="G69" s="9"/>
      <c r="H69" s="9"/>
      <c r="I69" s="9"/>
      <c r="J69" s="9"/>
      <c r="K69" s="9"/>
      <c r="T69" s="9"/>
      <c r="U69" s="9"/>
      <c r="V69" s="9"/>
      <c r="W69" s="9"/>
      <c r="X69" s="9"/>
      <c r="Y69" s="9"/>
      <c r="Z69" s="9"/>
      <c r="AA69" s="9"/>
      <c r="AB69" s="9"/>
    </row>
    <row r="70" spans="1:29" s="459" customFormat="1">
      <c r="A70" s="590" t="str">
        <f>Commodities!K13</f>
        <v>T-CAR-ICE_GSL00</v>
      </c>
      <c r="B70" s="605">
        <f>Stock!E52*AF!D7/Efficiency!D8/0.041868/2</f>
        <v>357.72587236873608</v>
      </c>
      <c r="C70" s="824">
        <f>'EB2018'!AM48</f>
        <v>2058.4846677479868</v>
      </c>
      <c r="D70" s="821">
        <f>(B79-C70)/C70</f>
        <v>-0.19157003288049379</v>
      </c>
      <c r="E70" s="9"/>
      <c r="F70" s="9"/>
      <c r="G70" s="9"/>
      <c r="H70" s="9"/>
      <c r="I70" s="9"/>
      <c r="J70" s="9"/>
      <c r="K70" s="9"/>
      <c r="T70" s="9"/>
      <c r="U70" s="9"/>
      <c r="V70" s="9"/>
      <c r="W70" s="9"/>
      <c r="X70" s="9"/>
      <c r="Y70" s="9"/>
      <c r="Z70" s="9"/>
      <c r="AA70" s="9"/>
      <c r="AB70" s="9"/>
    </row>
    <row r="71" spans="1:29" s="459" customFormat="1">
      <c r="A71" s="595" t="str">
        <f>Commodities!K14</f>
        <v>T-CAR-ICE_DST00</v>
      </c>
      <c r="B71" s="606">
        <f>Stock!E53*AF!D8/Efficiency!D9/0.041868</f>
        <v>1277.6817654050137</v>
      </c>
      <c r="C71" s="824"/>
      <c r="D71" s="822"/>
      <c r="E71" s="9"/>
      <c r="F71" s="9"/>
      <c r="G71" s="9"/>
      <c r="H71" s="9"/>
      <c r="I71" s="9"/>
      <c r="J71" s="9"/>
      <c r="K71" s="9"/>
      <c r="T71" s="9"/>
      <c r="U71" s="9"/>
      <c r="V71" s="9"/>
      <c r="W71" s="9"/>
      <c r="X71" s="9"/>
      <c r="Y71" s="9"/>
      <c r="Z71" s="9"/>
      <c r="AA71" s="9"/>
      <c r="AB71" s="9"/>
    </row>
    <row r="72" spans="1:29" s="459" customFormat="1">
      <c r="A72" s="595" t="str">
        <f>Commodities!K15</f>
        <v>T-CAR-ICE_DF00</v>
      </c>
      <c r="B72" s="606">
        <f>Stock!E54*AF!D9/Efficiency!D10/0.041868</f>
        <v>6.2102813626156654E-2</v>
      </c>
      <c r="C72" s="824"/>
      <c r="D72" s="822"/>
      <c r="E72" s="9"/>
      <c r="F72" s="9"/>
      <c r="G72" s="9"/>
      <c r="H72" s="9"/>
      <c r="I72" s="9"/>
      <c r="J72" s="9"/>
      <c r="K72" s="9"/>
      <c r="T72" s="9"/>
      <c r="U72" s="9"/>
      <c r="V72" s="9"/>
      <c r="W72" s="9"/>
      <c r="X72" s="9"/>
      <c r="Y72" s="9"/>
      <c r="Z72" s="9"/>
      <c r="AA72" s="9"/>
      <c r="AB72" s="9"/>
    </row>
    <row r="73" spans="1:29" s="459" customFormat="1">
      <c r="A73" s="595" t="str">
        <f>Commodities!K16</f>
        <v>T-CAR-ICE_E8500</v>
      </c>
      <c r="B73" s="606">
        <f>Stock!E55*AF!D10/Efficiency!D11/0.041868</f>
        <v>6.5998055493933458</v>
      </c>
      <c r="C73" s="824"/>
      <c r="D73" s="822"/>
      <c r="E73" s="9"/>
      <c r="F73" s="9"/>
      <c r="G73" s="9"/>
      <c r="H73" s="9"/>
      <c r="I73" s="9"/>
      <c r="J73" s="9"/>
      <c r="K73" s="9"/>
      <c r="T73" s="9"/>
      <c r="U73" s="9"/>
      <c r="V73" s="9"/>
      <c r="W73" s="9"/>
      <c r="X73" s="9"/>
      <c r="Y73" s="9"/>
      <c r="Z73" s="9"/>
      <c r="AA73" s="9"/>
      <c r="AB73" s="9"/>
    </row>
    <row r="74" spans="1:29" s="459" customFormat="1">
      <c r="A74" s="595" t="str">
        <f>Commodities!K17</f>
        <v>T-CAR-HEV_GSL00</v>
      </c>
      <c r="B74" s="606">
        <f>Stock!E56*AF!D11/Efficiency!D12/0.041868</f>
        <v>18.720592814009517</v>
      </c>
      <c r="C74" s="824"/>
      <c r="D74" s="822"/>
      <c r="E74" s="9"/>
      <c r="F74" s="9"/>
      <c r="G74" s="9"/>
      <c r="H74" s="9"/>
      <c r="I74" s="9"/>
      <c r="J74" s="9"/>
      <c r="K74" s="9"/>
      <c r="T74" s="398"/>
      <c r="U74" s="398"/>
      <c r="V74" s="398"/>
      <c r="W74" s="398"/>
      <c r="X74" s="398"/>
      <c r="Y74" s="398"/>
      <c r="Z74" s="398"/>
      <c r="AA74" s="398"/>
      <c r="AB74" s="398"/>
    </row>
    <row r="75" spans="1:29" s="459" customFormat="1">
      <c r="A75" s="595" t="str">
        <f>Commodities!K18</f>
        <v>T-CAR-HEV_DST00</v>
      </c>
      <c r="B75" s="606">
        <f>Stock!E57*AF!D12/Efficiency!D13/0.041868</f>
        <v>0.77280168412880923</v>
      </c>
      <c r="C75" s="824"/>
      <c r="D75" s="822"/>
      <c r="E75" s="9"/>
      <c r="F75" s="9"/>
      <c r="G75" s="9"/>
      <c r="H75" s="9"/>
      <c r="I75" s="9"/>
      <c r="J75" s="9"/>
      <c r="K75" s="9"/>
    </row>
    <row r="76" spans="1:29" s="459" customFormat="1">
      <c r="A76" s="595" t="str">
        <f>Commodities!K19</f>
        <v>T-CAR-PHEV_GSL00</v>
      </c>
      <c r="B76" s="606">
        <f>Stock!E58*AF!D13/Efficiency!D14/0.041868</f>
        <v>1.3184587114421897</v>
      </c>
      <c r="C76" s="824"/>
      <c r="D76" s="822"/>
      <c r="E76" s="9"/>
      <c r="F76" s="9"/>
      <c r="G76" s="9"/>
      <c r="H76" s="9"/>
      <c r="I76" s="9"/>
      <c r="J76" s="9"/>
      <c r="K76" s="9"/>
    </row>
    <row r="77" spans="1:29" s="459" customFormat="1">
      <c r="A77" s="595" t="str">
        <f>Commodities!K20</f>
        <v>T-CAR-PHEV_DST00</v>
      </c>
      <c r="B77" s="606">
        <f>Stock!E59*AF!D14/Efficiency!D15/0.041868</f>
        <v>1.9463942395372347E-2</v>
      </c>
      <c r="C77" s="824"/>
      <c r="D77" s="822"/>
      <c r="E77" s="9"/>
      <c r="F77" s="9"/>
      <c r="G77" s="9"/>
      <c r="H77" s="9"/>
      <c r="I77" s="9"/>
      <c r="J77" s="9"/>
      <c r="K77" s="9"/>
    </row>
    <row r="78" spans="1:29" s="459" customFormat="1">
      <c r="A78" s="595" t="str">
        <f>Commodities!K21</f>
        <v>T-CAR-BEV_ELC00</v>
      </c>
      <c r="B78" s="606">
        <f>Stock!E60*AF!D15/Efficiency!D16/0.041868</f>
        <v>1.2398289747677393</v>
      </c>
      <c r="C78" s="824"/>
      <c r="D78" s="822"/>
      <c r="E78" s="9"/>
      <c r="F78" s="9"/>
      <c r="G78" s="9"/>
      <c r="H78" s="9"/>
      <c r="I78" s="9"/>
      <c r="J78" s="9"/>
      <c r="K78" s="9"/>
    </row>
    <row r="79" spans="1:29" s="459" customFormat="1" ht="15.75">
      <c r="A79" s="591" t="s">
        <v>774</v>
      </c>
      <c r="B79" s="604">
        <f>SUM(B70:B78)</f>
        <v>1664.1406922635126</v>
      </c>
      <c r="C79" s="824"/>
      <c r="D79" s="823"/>
      <c r="E79" s="9"/>
      <c r="F79" s="9"/>
      <c r="G79" s="9"/>
      <c r="H79" s="9"/>
      <c r="I79" s="9"/>
      <c r="J79" s="9"/>
      <c r="K79" s="9"/>
    </row>
    <row r="80" spans="1:29" s="459" customFormat="1">
      <c r="A80" s="459" t="s">
        <v>788</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4" t="s">
        <v>789</v>
      </c>
      <c r="B84" s="817" t="s">
        <v>787</v>
      </c>
      <c r="C84" s="817"/>
      <c r="D84" s="471"/>
      <c r="F84" s="9"/>
      <c r="G84" s="9"/>
      <c r="H84" s="9"/>
      <c r="I84" s="9"/>
      <c r="J84" s="9"/>
      <c r="K84" s="9"/>
    </row>
    <row r="85" spans="1:17" s="459" customFormat="1">
      <c r="A85" s="587"/>
      <c r="B85" s="600" t="s">
        <v>775</v>
      </c>
      <c r="C85" s="599" t="s">
        <v>560</v>
      </c>
      <c r="D85" s="599" t="s">
        <v>217</v>
      </c>
      <c r="F85" s="9"/>
      <c r="G85" s="9"/>
      <c r="H85" s="9"/>
      <c r="I85" s="9"/>
      <c r="J85" s="9"/>
      <c r="K85" s="9"/>
    </row>
    <row r="86" spans="1:17" s="459" customFormat="1">
      <c r="A86" s="590" t="str">
        <f>Commodities!K34</f>
        <v>T-LGT-ICE_GSL00</v>
      </c>
      <c r="B86" s="607">
        <f>(Stock!E72*AF!D23/1000)/Efficiency!D24/0.041868</f>
        <v>1.9880091975482701E-3</v>
      </c>
      <c r="C86" s="818">
        <f>'EB2018'!AM46+'EB2018'!AM47</f>
        <v>1058.3361520244771</v>
      </c>
      <c r="D86" s="821">
        <f>(B89-C86)/C86</f>
        <v>-0.99899628370149351</v>
      </c>
      <c r="F86" s="9"/>
      <c r="G86" s="9"/>
      <c r="H86" s="9"/>
      <c r="I86" s="9"/>
      <c r="J86" s="9"/>
      <c r="K86" s="9"/>
    </row>
    <row r="87" spans="1:17" s="459" customFormat="1">
      <c r="A87" s="589" t="str">
        <f>Commodities!K35</f>
        <v>T-HGT-ICE_DST00</v>
      </c>
      <c r="B87" s="608">
        <f>(Stock!E73*AF!D24/1000)/Efficiency!D25/0.041868</f>
        <v>1.0574873431813563</v>
      </c>
      <c r="C87" s="819"/>
      <c r="D87" s="822"/>
      <c r="F87" s="9"/>
      <c r="G87" s="9"/>
      <c r="H87" s="9"/>
      <c r="I87" s="9"/>
      <c r="J87" s="9"/>
      <c r="K87" s="9"/>
    </row>
    <row r="88" spans="1:17" s="459" customFormat="1">
      <c r="A88" s="589" t="str">
        <f>Commodities!K36</f>
        <v>T-GTR-ICE_DST00</v>
      </c>
      <c r="B88" s="608">
        <f>(Stock!E74*AF!D25/1000)/Efficiency!D26/0.041868</f>
        <v>2.7938927066507233E-3</v>
      </c>
      <c r="C88" s="819"/>
      <c r="D88" s="822"/>
      <c r="F88" s="9"/>
      <c r="G88" s="9"/>
      <c r="H88" s="9"/>
      <c r="I88" s="9"/>
      <c r="J88" s="9"/>
      <c r="K88" s="9"/>
    </row>
    <row r="89" spans="1:17" s="459" customFormat="1" ht="15.75">
      <c r="A89" s="591" t="s">
        <v>790</v>
      </c>
      <c r="B89" s="604">
        <f>SUM(B86:B88)</f>
        <v>1.0622692450855553</v>
      </c>
      <c r="C89" s="820"/>
      <c r="D89" s="823"/>
      <c r="G89" s="9"/>
      <c r="H89" s="9"/>
      <c r="I89" s="9"/>
      <c r="J89" s="9"/>
      <c r="K89" s="9"/>
      <c r="L89" s="9"/>
    </row>
    <row r="90" spans="1:17" s="459" customFormat="1">
      <c r="A90" s="459" t="s">
        <v>791</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4" t="s">
        <v>798</v>
      </c>
      <c r="B94" s="817" t="s">
        <v>787</v>
      </c>
      <c r="C94" s="817"/>
      <c r="D94" s="471"/>
      <c r="Q94" s="135"/>
    </row>
    <row r="95" spans="1:17" s="459" customFormat="1">
      <c r="A95" s="587"/>
      <c r="B95" s="599" t="s">
        <v>775</v>
      </c>
      <c r="C95" s="599" t="s">
        <v>560</v>
      </c>
      <c r="D95" s="599" t="s">
        <v>217</v>
      </c>
      <c r="Q95" s="135"/>
    </row>
    <row r="96" spans="1:17" s="459" customFormat="1">
      <c r="A96" s="596" t="str">
        <f>Commodities!K23</f>
        <v>T-TAX-ICE_GSL00</v>
      </c>
      <c r="B96" s="610">
        <f>(Stock!E62*AF!D16)/Efficiency!D17/0.041868</f>
        <v>5.5926270242130149</v>
      </c>
      <c r="C96" s="818">
        <f>'EB2018'!AM49</f>
        <v>139.18657889221006</v>
      </c>
      <c r="D96" s="821">
        <f>(B100-C96)/C96</f>
        <v>1.8672189714068362E-2</v>
      </c>
      <c r="Q96" s="135"/>
    </row>
    <row r="97" spans="1:17" s="459" customFormat="1">
      <c r="A97" s="598" t="str">
        <f>Commodities!K24</f>
        <v>T-TAX-ICE_DST00</v>
      </c>
      <c r="B97" s="610">
        <f>(Stock!E63*AF!D17)/Efficiency!D18/0.041868</f>
        <v>39.815351909987868</v>
      </c>
      <c r="C97" s="819"/>
      <c r="D97" s="822"/>
      <c r="Q97" s="135"/>
    </row>
    <row r="98" spans="1:17" s="459" customFormat="1">
      <c r="A98" s="598" t="str">
        <f>Commodities!K25</f>
        <v>T-TAX-HEV_GSL00</v>
      </c>
      <c r="B98" s="610">
        <f>(Stock!E64*AF!D18)/Efficiency!D19/0.041868</f>
        <v>2.6942012356171219</v>
      </c>
      <c r="C98" s="819"/>
      <c r="D98" s="822"/>
      <c r="Q98" s="135"/>
    </row>
    <row r="99" spans="1:17" s="459" customFormat="1">
      <c r="A99" s="598" t="str">
        <f>Commodities!K27</f>
        <v>T-BUS-ICE_DST00</v>
      </c>
      <c r="B99" s="610">
        <f>(Stock!E66*AF!D19)/Efficiency!D20/0.041868</f>
        <v>93.683316929119542</v>
      </c>
      <c r="C99" s="819"/>
      <c r="D99" s="822"/>
      <c r="Q99" s="135"/>
    </row>
    <row r="100" spans="1:17" s="459" customFormat="1" ht="15.75">
      <c r="A100" s="597" t="s">
        <v>883</v>
      </c>
      <c r="B100" s="609">
        <f>SUM(B96:B99)</f>
        <v>141.78549709893755</v>
      </c>
      <c r="C100" s="820"/>
      <c r="D100" s="823"/>
      <c r="Q100" s="135"/>
    </row>
    <row r="101" spans="1:17" s="459" customFormat="1">
      <c r="A101" s="459" t="s">
        <v>884</v>
      </c>
      <c r="Q101" s="135"/>
    </row>
    <row r="102" spans="1:17" s="459" customFormat="1">
      <c r="Q102" s="135"/>
    </row>
    <row r="103" spans="1:17" s="459" customFormat="1">
      <c r="Q103" s="135"/>
    </row>
    <row r="104" spans="1:17" s="459" customFormat="1"/>
    <row r="105" spans="1:17" s="459" customFormat="1">
      <c r="A105" s="594" t="s">
        <v>800</v>
      </c>
      <c r="B105" s="817" t="s">
        <v>787</v>
      </c>
      <c r="C105" s="817"/>
      <c r="D105" s="471"/>
    </row>
    <row r="106" spans="1:17" s="459" customFormat="1">
      <c r="A106" s="587"/>
      <c r="B106" s="599" t="s">
        <v>775</v>
      </c>
      <c r="C106" s="599" t="s">
        <v>560</v>
      </c>
      <c r="D106" s="599" t="s">
        <v>217</v>
      </c>
    </row>
    <row r="107" spans="1:17" s="459" customFormat="1">
      <c r="A107" s="596" t="str">
        <f>Commodities!K29</f>
        <v>T-LPT-EV_ELC00</v>
      </c>
      <c r="B107" s="610">
        <f>C129/Efficiency!D21/0.041868</f>
        <v>2.4094862952239589</v>
      </c>
      <c r="C107" s="818">
        <f>'EB2018'!AM50</f>
        <v>42.228937759939136</v>
      </c>
      <c r="D107" s="821" t="e">
        <f>(B111-C107)/C107</f>
        <v>#REF!</v>
      </c>
    </row>
    <row r="108" spans="1:17" s="459" customFormat="1">
      <c r="A108" s="598" t="str">
        <f>Commodities!K30</f>
        <v>T-HPT-EV_ELC00</v>
      </c>
      <c r="B108" s="610">
        <f>B107</f>
        <v>2.4094862952239589</v>
      </c>
      <c r="C108" s="819"/>
      <c r="D108" s="822"/>
    </row>
    <row r="109" spans="1:17" s="459" customFormat="1">
      <c r="A109" s="598" t="str">
        <f>Commodities!K31</f>
        <v>T-HPT-ICE_DST00</v>
      </c>
      <c r="B109" s="610" t="e">
        <f>#REF!/ACT2FLO!D66/Efficiency!D23/0.041868</f>
        <v>#REF!</v>
      </c>
      <c r="C109" s="819"/>
      <c r="D109" s="822"/>
    </row>
    <row r="110" spans="1:17" s="459" customFormat="1">
      <c r="A110" s="598" t="str">
        <f>Commodities!K36</f>
        <v>T-GTR-ICE_DST00</v>
      </c>
      <c r="B110" s="610">
        <f>C8/ACT2FLO!D70/Efficiency!D26/0.041868</f>
        <v>2.7235217590091064E-3</v>
      </c>
      <c r="C110" s="819"/>
      <c r="D110" s="822"/>
    </row>
    <row r="111" spans="1:17" s="459" customFormat="1" ht="15.75">
      <c r="A111" s="597" t="s">
        <v>790</v>
      </c>
      <c r="B111" s="609" t="e">
        <f>SUM(B107:B110)</f>
        <v>#REF!</v>
      </c>
      <c r="C111" s="820"/>
      <c r="D111" s="823"/>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75">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75">
      <c r="A119" s="425" t="s">
        <v>462</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538</v>
      </c>
      <c r="B121" s="459" t="s">
        <v>20</v>
      </c>
      <c r="C121" s="36">
        <f>SUM(D121:AC121)</f>
        <v>109</v>
      </c>
      <c r="D121" s="36">
        <v>1</v>
      </c>
      <c r="E121" s="36">
        <v>34</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1</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563</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564</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561</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5">
        <v>7</v>
      </c>
      <c r="AB126" s="645">
        <v>14</v>
      </c>
      <c r="AC126" s="463">
        <v>3</v>
      </c>
    </row>
    <row r="127" spans="1:88" s="459" customFormat="1">
      <c r="A127" s="411"/>
      <c r="B127" s="411" t="s">
        <v>564</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4">
        <v>0</v>
      </c>
    </row>
    <row r="128" spans="1:88" s="459" customFormat="1">
      <c r="A128" s="411" t="s">
        <v>562</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801</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828" t="s">
        <v>16</v>
      </c>
      <c r="B130" s="828"/>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565</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75">
      <c r="A135" s="425" t="s">
        <v>566</v>
      </c>
      <c r="B135" s="11"/>
      <c r="C135" s="11"/>
    </row>
    <row r="136" spans="1:88" s="459" customFormat="1">
      <c r="A136" s="131" t="s">
        <v>568</v>
      </c>
      <c r="B136" s="131" t="s">
        <v>569</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7.25">
      <c r="A137" s="459" t="s">
        <v>579</v>
      </c>
      <c r="B137" s="459" t="s">
        <v>361</v>
      </c>
      <c r="C137" s="463">
        <f>C130*B235*I235/H235</f>
        <v>4713.1209901287639</v>
      </c>
      <c r="D137" s="463">
        <f t="shared" ref="D137:AC137" si="78">$C$137*C180</f>
        <v>56.349225400134316</v>
      </c>
      <c r="E137" s="463">
        <f>$C$137*D180</f>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362</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7.25">
      <c r="A139" s="459" t="s">
        <v>580</v>
      </c>
      <c r="B139" s="459" t="s">
        <v>567</v>
      </c>
      <c r="C139" s="36">
        <f>C121*ACT2FLO!D50</f>
        <v>119.9</v>
      </c>
      <c r="D139" s="36">
        <f>D121*ACT2FLO!E50</f>
        <v>1.1000000000000001</v>
      </c>
      <c r="E139" s="36">
        <f>E121*ACT2FLO!F50</f>
        <v>37.400000000000006</v>
      </c>
      <c r="F139" s="36">
        <f>F121*ACT2FLO!G50</f>
        <v>6.6000000000000005</v>
      </c>
      <c r="G139" s="36">
        <f>G121*ACT2FLO!H50</f>
        <v>2.2000000000000002</v>
      </c>
      <c r="H139" s="36">
        <f>H121*ACT2FLO!I50</f>
        <v>1.1000000000000001</v>
      </c>
      <c r="I139" s="36">
        <f>I121*ACT2FLO!J50</f>
        <v>1.1000000000000001</v>
      </c>
      <c r="J139" s="36">
        <f>J121*ACT2FLO!K50</f>
        <v>2.2000000000000002</v>
      </c>
      <c r="K139" s="36">
        <f>K121*ACT2FLO!L50</f>
        <v>5.5</v>
      </c>
      <c r="L139" s="36">
        <f>L121*ACT2FLO!M50</f>
        <v>2.2000000000000002</v>
      </c>
      <c r="M139" s="36">
        <f>M121*ACT2FLO!N50</f>
        <v>2.2000000000000002</v>
      </c>
      <c r="N139" s="36">
        <f>N121*ACT2FLO!O50</f>
        <v>4.4000000000000004</v>
      </c>
      <c r="O139" s="36">
        <f>O121*ACT2FLO!P50</f>
        <v>4.4000000000000004</v>
      </c>
      <c r="P139" s="36">
        <f>P121*ACT2FLO!Q50</f>
        <v>3.3000000000000003</v>
      </c>
      <c r="Q139" s="36">
        <f>Q121*ACT2FLO!R50</f>
        <v>16.5</v>
      </c>
      <c r="R139" s="36">
        <f>R121*ACT2FLO!S50</f>
        <v>3.3000000000000003</v>
      </c>
      <c r="S139" s="36">
        <f>S121*ACT2FLO!T50</f>
        <v>4.4000000000000004</v>
      </c>
      <c r="T139" s="36">
        <f>T121*ACT2FLO!U50</f>
        <v>4.4000000000000004</v>
      </c>
      <c r="U139" s="36">
        <f>U121*ACT2FLO!V50</f>
        <v>3.3000000000000003</v>
      </c>
      <c r="V139" s="36">
        <f>V121*ACT2FLO!W50</f>
        <v>4.4000000000000004</v>
      </c>
      <c r="W139" s="36">
        <f>W121*ACT2FLO!X50</f>
        <v>1.1000000000000001</v>
      </c>
      <c r="X139" s="36">
        <f>X121*ACT2FLO!Y50</f>
        <v>2.2000000000000002</v>
      </c>
      <c r="Y139" s="36">
        <f>Y121*ACT2FLO!Z50</f>
        <v>1.1000000000000001</v>
      </c>
      <c r="Z139" s="36">
        <f>Z121*ACT2FLO!AA50</f>
        <v>1.1000000000000001</v>
      </c>
      <c r="AA139" s="36">
        <f>AA121*ACT2FLO!AB50</f>
        <v>1.1000000000000001</v>
      </c>
      <c r="AB139" s="36">
        <f>AB121*ACT2FLO!AC50</f>
        <v>2.2000000000000002</v>
      </c>
      <c r="AC139" s="36">
        <f>AC121*ACT2FLO!AD50</f>
        <v>1.1000000000000001</v>
      </c>
    </row>
    <row r="140" spans="1:88" s="459" customFormat="1" ht="17.25">
      <c r="A140" s="411" t="s">
        <v>581</v>
      </c>
      <c r="B140" s="411" t="s">
        <v>570</v>
      </c>
      <c r="C140" s="463">
        <f>C122*ACT2FLO!D51</f>
        <v>18107.051841077624</v>
      </c>
      <c r="D140" s="463">
        <f>D122*ACT2FLO!E51</f>
        <v>217.83368233333329</v>
      </c>
      <c r="E140" s="463">
        <f>E122*ACT2FLO!F51</f>
        <v>4923.638025342465</v>
      </c>
      <c r="F140" s="463">
        <f>F122*ACT2FLO!G51</f>
        <v>898.19093674429212</v>
      </c>
      <c r="G140" s="463">
        <f>G122*ACT2FLO!H51</f>
        <v>356.59075395662097</v>
      </c>
      <c r="H140" s="463">
        <f>H122*ACT2FLO!I51</f>
        <v>261.10201649543376</v>
      </c>
      <c r="I140" s="463">
        <f>I122*ACT2FLO!J51</f>
        <v>120.85293334931505</v>
      </c>
      <c r="J140" s="463">
        <f>J122*ACT2FLO!K51</f>
        <v>407.31914573287662</v>
      </c>
      <c r="K140" s="463">
        <f>K122*ACT2FLO!L51</f>
        <v>711.6894963904108</v>
      </c>
      <c r="L140" s="463">
        <f>L122*ACT2FLO!M51</f>
        <v>258.11799344977163</v>
      </c>
      <c r="M140" s="463">
        <f>M122*ACT2FLO!N51</f>
        <v>298.40230456620998</v>
      </c>
      <c r="N140" s="463">
        <f>N122*ACT2FLO!O51</f>
        <v>608.74070131506835</v>
      </c>
      <c r="O140" s="463">
        <f>O122*ACT2FLO!P51</f>
        <v>657.97708156849308</v>
      </c>
      <c r="P140" s="463">
        <f>P122*ACT2FLO!Q51</f>
        <v>510.26794080821912</v>
      </c>
      <c r="Q140" s="463">
        <f>Q122*ACT2FLO!R51</f>
        <v>2363.3462521643833</v>
      </c>
      <c r="R140" s="463">
        <f>R122*ACT2FLO!S51</f>
        <v>657.97708156849308</v>
      </c>
      <c r="S140" s="463">
        <f>S122*ACT2FLO!T51</f>
        <v>807.17823385159807</v>
      </c>
      <c r="T140" s="463">
        <f>T122*ACT2FLO!U51</f>
        <v>654.99305852283089</v>
      </c>
      <c r="U140" s="463">
        <f>U122*ACT2FLO!V51</f>
        <v>532.64811365068488</v>
      </c>
      <c r="V140" s="463">
        <f>V122*ACT2FLO!W51</f>
        <v>926.53915567808201</v>
      </c>
      <c r="W140" s="463">
        <f>W122*ACT2FLO!X51</f>
        <v>107.42482964383559</v>
      </c>
      <c r="X140" s="463">
        <f>X122*ACT2FLO!Y51</f>
        <v>466.99960664611865</v>
      </c>
      <c r="Y140" s="463">
        <f>Y122*ACT2FLO!Z51</f>
        <v>274.53012020091319</v>
      </c>
      <c r="Z140" s="463">
        <f>Z122*ACT2FLO!AA51</f>
        <v>235.73782060730591</v>
      </c>
      <c r="AA140" s="463">
        <f>AA122*ACT2FLO!AB51</f>
        <v>223.80172842465751</v>
      </c>
      <c r="AB140" s="463">
        <f>AB122*ACT2FLO!AC51</f>
        <v>464.01558360045652</v>
      </c>
      <c r="AC140" s="463">
        <f>AC122*ACT2FLO!AD51</f>
        <v>161.13724446575341</v>
      </c>
    </row>
    <row r="141" spans="1:88" s="459" customFormat="1">
      <c r="A141" s="411"/>
      <c r="B141" s="411" t="s">
        <v>571</v>
      </c>
      <c r="C141" s="463">
        <f>C123*ACT2FLO!D52</f>
        <v>34742.98032064383</v>
      </c>
      <c r="D141" s="463">
        <f>D123*ACT2FLO!E52</f>
        <v>563.98035563013684</v>
      </c>
      <c r="E141" s="463">
        <f>E123*ACT2FLO!F52</f>
        <v>6097.851093810501</v>
      </c>
      <c r="F141" s="463">
        <f>F123*ACT2FLO!G52</f>
        <v>1772.5096891232874</v>
      </c>
      <c r="G141" s="463">
        <f>G123*ACT2FLO!H52</f>
        <v>865.366683242009</v>
      </c>
      <c r="H141" s="463">
        <f>H123*ACT2FLO!I52</f>
        <v>734.06966923287655</v>
      </c>
      <c r="I141" s="463">
        <f>I123*ACT2FLO!J52</f>
        <v>381.9549498447488</v>
      </c>
      <c r="J141" s="463">
        <f>J123*ACT2FLO!K52</f>
        <v>920.57110958675787</v>
      </c>
      <c r="K141" s="463">
        <f>K123*ACT2FLO!L52</f>
        <v>1657.6248018652966</v>
      </c>
      <c r="L141" s="463">
        <f>L123*ACT2FLO!M52</f>
        <v>716.16553095890401</v>
      </c>
      <c r="M141" s="463">
        <f>M123*ACT2FLO!N52</f>
        <v>857.90662562785371</v>
      </c>
      <c r="N141" s="463">
        <f>N123*ACT2FLO!O52</f>
        <v>1436.8070964863011</v>
      </c>
      <c r="O141" s="463">
        <f>O123*ACT2FLO!P52</f>
        <v>1041.424042936073</v>
      </c>
      <c r="P141" s="463">
        <f>P123*ACT2FLO!Q52</f>
        <v>1071.2642733926939</v>
      </c>
      <c r="Q141" s="463">
        <f>Q123*ACT2FLO!R52</f>
        <v>3961.2905931164378</v>
      </c>
      <c r="R141" s="463">
        <f>R123*ACT2FLO!S52</f>
        <v>1229.4174948127852</v>
      </c>
      <c r="S141" s="463">
        <f>S123*ACT2FLO!T52</f>
        <v>1526.3277878561642</v>
      </c>
      <c r="T141" s="463">
        <f>T123*ACT2FLO!U52</f>
        <v>1586.0082487694062</v>
      </c>
      <c r="U141" s="463">
        <f>U123*ACT2FLO!V52</f>
        <v>919.07909806392684</v>
      </c>
      <c r="V141" s="463">
        <f>V123*ACT2FLO!W52</f>
        <v>2117.1643508972597</v>
      </c>
      <c r="W141" s="463">
        <f>W123*ACT2FLO!X52</f>
        <v>314.81443131735153</v>
      </c>
      <c r="X141" s="463">
        <f>X123*ACT2FLO!Y52</f>
        <v>1215.9893911073057</v>
      </c>
      <c r="Y141" s="463">
        <f>Y123*ACT2FLO!Z52</f>
        <v>704.22943877625562</v>
      </c>
      <c r="Z141" s="463">
        <f>Z123*ACT2FLO!AA52</f>
        <v>540.10817126484005</v>
      </c>
      <c r="AA141" s="463">
        <f>AA123*ACT2FLO!AB52</f>
        <v>681.84926593378987</v>
      </c>
      <c r="AB141" s="463">
        <f>AB123*ACT2FLO!AC52</f>
        <v>1260.7497367922372</v>
      </c>
      <c r="AC141" s="463">
        <f>AC123*ACT2FLO!AD52</f>
        <v>568.45639019863006</v>
      </c>
    </row>
    <row r="142" spans="1:88" s="459" customFormat="1">
      <c r="A142" s="411"/>
      <c r="B142" s="411" t="s">
        <v>572</v>
      </c>
      <c r="C142" s="463">
        <f>C124*ACT2FLO!D53</f>
        <v>828.06639517123278</v>
      </c>
      <c r="D142" s="463">
        <f>D124*ACT2FLO!E53</f>
        <v>7.4600576141552501</v>
      </c>
      <c r="E142" s="463">
        <f>E124*ACT2FLO!F53</f>
        <v>334.21058111415522</v>
      </c>
      <c r="F142" s="463">
        <f>F124*ACT2FLO!G53</f>
        <v>44.760345684931501</v>
      </c>
      <c r="G142" s="463">
        <f>G124*ACT2FLO!H53</f>
        <v>11.9360921826484</v>
      </c>
      <c r="H142" s="463">
        <f>H124*ACT2FLO!I53</f>
        <v>8.9520691369862995</v>
      </c>
      <c r="I142" s="463">
        <f>I124*ACT2FLO!J53</f>
        <v>4.4760345684931497</v>
      </c>
      <c r="J142" s="463">
        <f>J124*ACT2FLO!K53</f>
        <v>17.904138273972599</v>
      </c>
      <c r="K142" s="463">
        <f>K124*ACT2FLO!L53</f>
        <v>35.808276547945198</v>
      </c>
      <c r="L142" s="463">
        <f>L124*ACT2FLO!M53</f>
        <v>8.9520691369862995</v>
      </c>
      <c r="M142" s="463">
        <f>M124*ACT2FLO!N53</f>
        <v>14.9201152283105</v>
      </c>
      <c r="N142" s="463">
        <f>N124*ACT2FLO!O53</f>
        <v>20.888161319634701</v>
      </c>
      <c r="O142" s="463">
        <f>O124*ACT2FLO!P53</f>
        <v>32.824253502283099</v>
      </c>
      <c r="P142" s="463">
        <f>P124*ACT2FLO!Q53</f>
        <v>16.41212675114155</v>
      </c>
      <c r="Q142" s="463">
        <f>Q124*ACT2FLO!R53</f>
        <v>88.028679847031952</v>
      </c>
      <c r="R142" s="463">
        <f>R124*ACT2FLO!S53</f>
        <v>19.396149796803648</v>
      </c>
      <c r="S142" s="463">
        <f>S124*ACT2FLO!T53</f>
        <v>23.8721843652968</v>
      </c>
      <c r="T142" s="463">
        <f>T124*ACT2FLO!U53</f>
        <v>16.41212675114155</v>
      </c>
      <c r="U142" s="463">
        <f>U124*ACT2FLO!V53</f>
        <v>16.41212675114155</v>
      </c>
      <c r="V142" s="463">
        <f>V124*ACT2FLO!W53</f>
        <v>44.760345684931501</v>
      </c>
      <c r="W142" s="463">
        <f>W124*ACT2FLO!X53</f>
        <v>2.9840230456621</v>
      </c>
      <c r="X142" s="463">
        <f>X124*ACT2FLO!Y53</f>
        <v>11.9360921826484</v>
      </c>
      <c r="Y142" s="463">
        <f>Y124*ACT2FLO!Z53</f>
        <v>7.4600576141552501</v>
      </c>
      <c r="Z142" s="463">
        <f>Z124*ACT2FLO!AA53</f>
        <v>7.4600576141552501</v>
      </c>
      <c r="AA142" s="463">
        <f>AA124*ACT2FLO!AB53</f>
        <v>8.9520691369862995</v>
      </c>
      <c r="AB142" s="463">
        <f>AB124*ACT2FLO!AC53</f>
        <v>16.41212675114155</v>
      </c>
      <c r="AC142" s="463">
        <f>AC124*ACT2FLO!AD53</f>
        <v>4.4760345684931497</v>
      </c>
    </row>
    <row r="143" spans="1:88" s="459" customFormat="1">
      <c r="A143" s="411"/>
      <c r="B143" s="39" t="s">
        <v>587</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7.25">
      <c r="A144" s="411" t="s">
        <v>582</v>
      </c>
      <c r="B144" s="411" t="s">
        <v>573</v>
      </c>
      <c r="C144" s="463">
        <f>C125*ACT2FLO!D60</f>
        <v>132.78902553196346</v>
      </c>
      <c r="D144" s="463">
        <f>D125*ACT2FLO!E60</f>
        <v>0</v>
      </c>
      <c r="E144" s="463">
        <f>E125*ACT2FLO!F60</f>
        <v>83.552645278538805</v>
      </c>
      <c r="F144" s="463">
        <f>F125*ACT2FLO!G60</f>
        <v>4.4760345684931497</v>
      </c>
      <c r="G144" s="463">
        <f>G125*ACT2FLO!H60</f>
        <v>0</v>
      </c>
      <c r="H144" s="463">
        <f>H125*ACT2FLO!I60</f>
        <v>0</v>
      </c>
      <c r="I144" s="463">
        <f>I125*ACT2FLO!J60</f>
        <v>0</v>
      </c>
      <c r="J144" s="463">
        <f>J125*ACT2FLO!K60</f>
        <v>2.9840230456621</v>
      </c>
      <c r="K144" s="463">
        <f>K125*ACT2FLO!L60</f>
        <v>5.9680460913241999</v>
      </c>
      <c r="L144" s="463">
        <f>L125*ACT2FLO!M60</f>
        <v>0</v>
      </c>
      <c r="M144" s="463">
        <f>M125*ACT2FLO!N60</f>
        <v>1.49201152283105</v>
      </c>
      <c r="N144" s="463">
        <f>N125*ACT2FLO!O60</f>
        <v>1.49201152283105</v>
      </c>
      <c r="O144" s="463">
        <f>O125*ACT2FLO!P60</f>
        <v>1.49201152283105</v>
      </c>
      <c r="P144" s="463">
        <f>P125*ACT2FLO!Q60</f>
        <v>2.9840230456621</v>
      </c>
      <c r="Q144" s="463">
        <f>Q125*ACT2FLO!R60</f>
        <v>8.9520691369862995</v>
      </c>
      <c r="R144" s="463">
        <f>R125*ACT2FLO!S60</f>
        <v>1.49201152283105</v>
      </c>
      <c r="S144" s="463">
        <f>S125*ACT2FLO!T60</f>
        <v>7.4600576141552501</v>
      </c>
      <c r="T144" s="463">
        <f>T125*ACT2FLO!U60</f>
        <v>0</v>
      </c>
      <c r="U144" s="463">
        <f>U125*ACT2FLO!V60</f>
        <v>1.49201152283105</v>
      </c>
      <c r="V144" s="463">
        <f>V125*ACT2FLO!W60</f>
        <v>5.9680460913241999</v>
      </c>
      <c r="W144" s="463">
        <f>W125*ACT2FLO!X60</f>
        <v>0</v>
      </c>
      <c r="X144" s="463">
        <f>X125*ACT2FLO!Y60</f>
        <v>1.49201152283105</v>
      </c>
      <c r="Y144" s="463">
        <f>Y125*ACT2FLO!Z60</f>
        <v>0</v>
      </c>
      <c r="Z144" s="463">
        <f>Z125*ACT2FLO!AA60</f>
        <v>0</v>
      </c>
      <c r="AA144" s="463">
        <f>AA125*ACT2FLO!AB60</f>
        <v>0</v>
      </c>
      <c r="AB144" s="463">
        <f>AB125*ACT2FLO!AC60</f>
        <v>1.49201152283105</v>
      </c>
      <c r="AC144" s="463">
        <f>AC125*ACT2FLO!AD60</f>
        <v>0</v>
      </c>
    </row>
    <row r="145" spans="1:29" s="459" customFormat="1">
      <c r="A145" s="411"/>
      <c r="B145" s="411" t="s">
        <v>574</v>
      </c>
      <c r="C145" s="463">
        <f>C126*ACT2FLO!D61</f>
        <v>1038.4400198904109</v>
      </c>
      <c r="D145" s="463">
        <f>D126*ACT2FLO!E61</f>
        <v>7.4600576141552501</v>
      </c>
      <c r="E145" s="463">
        <f>E126*ACT2FLO!F61</f>
        <v>493.85581405707757</v>
      </c>
      <c r="F145" s="463">
        <f>F126*ACT2FLO!G61</f>
        <v>44.760345684931501</v>
      </c>
      <c r="G145" s="463">
        <f>G126*ACT2FLO!H61</f>
        <v>13.428103705479449</v>
      </c>
      <c r="H145" s="463">
        <f>H126*ACT2FLO!I61</f>
        <v>11.9360921826484</v>
      </c>
      <c r="I145" s="463">
        <f>I126*ACT2FLO!J61</f>
        <v>5.9680460913241999</v>
      </c>
      <c r="J145" s="463">
        <f>J126*ACT2FLO!K61</f>
        <v>32.824253502283099</v>
      </c>
      <c r="K145" s="463">
        <f>K126*ACT2FLO!L61</f>
        <v>53.712414821917797</v>
      </c>
      <c r="L145" s="463">
        <f>L126*ACT2FLO!M61</f>
        <v>8.9520691369862995</v>
      </c>
      <c r="M145" s="463">
        <f>M126*ACT2FLO!N61</f>
        <v>16.41212675114155</v>
      </c>
      <c r="N145" s="463">
        <f>N126*ACT2FLO!O61</f>
        <v>14.9201152283105</v>
      </c>
      <c r="O145" s="463">
        <f>O126*ACT2FLO!P61</f>
        <v>17.904138273972599</v>
      </c>
      <c r="P145" s="463">
        <f>P126*ACT2FLO!Q61</f>
        <v>17.904138273972599</v>
      </c>
      <c r="Q145" s="463">
        <f>Q126*ACT2FLO!R61</f>
        <v>92.5047144155251</v>
      </c>
      <c r="R145" s="463">
        <f>R126*ACT2FLO!S61</f>
        <v>25.364195888127849</v>
      </c>
      <c r="S145" s="463">
        <f>S126*ACT2FLO!T61</f>
        <v>29.840230456621001</v>
      </c>
      <c r="T145" s="463">
        <f>T126*ACT2FLO!U61</f>
        <v>14.9201152283105</v>
      </c>
      <c r="U145" s="463">
        <f>U126*ACT2FLO!V61</f>
        <v>14.9201152283105</v>
      </c>
      <c r="V145" s="463">
        <f>V126*ACT2FLO!W61</f>
        <v>49.236380253424649</v>
      </c>
      <c r="W145" s="463">
        <f>W126*ACT2FLO!X61</f>
        <v>4.4760345684931497</v>
      </c>
      <c r="X145" s="463">
        <f>X126*ACT2FLO!Y61</f>
        <v>14.9201152283105</v>
      </c>
      <c r="Y145" s="463">
        <f>Y126*ACT2FLO!Z61</f>
        <v>7.4600576141552501</v>
      </c>
      <c r="Z145" s="463">
        <f>Z126*ACT2FLO!AA61</f>
        <v>8.9520691369862995</v>
      </c>
      <c r="AA145" s="463">
        <f>AA126*ACT2FLO!AB61</f>
        <v>10.444080659817351</v>
      </c>
      <c r="AB145" s="463">
        <f>AB126*ACT2FLO!AC61</f>
        <v>20.888161319634701</v>
      </c>
      <c r="AC145" s="463">
        <f>AC126*ACT2FLO!AD61</f>
        <v>4.4760345684931497</v>
      </c>
    </row>
    <row r="146" spans="1:29" s="459" customFormat="1">
      <c r="A146" s="411"/>
      <c r="B146" s="411" t="s">
        <v>575</v>
      </c>
      <c r="C146" s="463">
        <f>C127*ACT2FLO!D62</f>
        <v>82.060633755707755</v>
      </c>
      <c r="D146" s="463">
        <f>D127*ACT2FLO!E62</f>
        <v>0</v>
      </c>
      <c r="E146" s="463">
        <f>E127*ACT2FLO!F62</f>
        <v>64.156495481735149</v>
      </c>
      <c r="F146" s="463">
        <f>F127*ACT2FLO!G62</f>
        <v>2.9840230456621</v>
      </c>
      <c r="G146" s="463">
        <f>G127*ACT2FLO!H62</f>
        <v>0</v>
      </c>
      <c r="H146" s="463">
        <f>H127*ACT2FLO!I62</f>
        <v>1.49201152283105</v>
      </c>
      <c r="I146" s="463">
        <f>I127*ACT2FLO!J62</f>
        <v>0</v>
      </c>
      <c r="J146" s="463">
        <f>J127*ACT2FLO!K62</f>
        <v>1.49201152283105</v>
      </c>
      <c r="K146" s="463">
        <f>K127*ACT2FLO!L62</f>
        <v>2.9840230456621</v>
      </c>
      <c r="L146" s="463">
        <f>L127*ACT2FLO!M62</f>
        <v>0</v>
      </c>
      <c r="M146" s="463">
        <f>M127*ACT2FLO!N62</f>
        <v>0</v>
      </c>
      <c r="N146" s="463">
        <f>N127*ACT2FLO!O62</f>
        <v>0</v>
      </c>
      <c r="O146" s="463">
        <f>O127*ACT2FLO!P62</f>
        <v>1.49201152283105</v>
      </c>
      <c r="P146" s="463">
        <f>P127*ACT2FLO!Q62</f>
        <v>0</v>
      </c>
      <c r="Q146" s="463">
        <f>Q127*ACT2FLO!R62</f>
        <v>2.9840230456621</v>
      </c>
      <c r="R146" s="463">
        <f>R127*ACT2FLO!S62</f>
        <v>0</v>
      </c>
      <c r="S146" s="463">
        <f>S127*ACT2FLO!T62</f>
        <v>2.9840230456621</v>
      </c>
      <c r="T146" s="463">
        <f>T127*ACT2FLO!U62</f>
        <v>0</v>
      </c>
      <c r="U146" s="463">
        <f>U127*ACT2FLO!V62</f>
        <v>0</v>
      </c>
      <c r="V146" s="463">
        <f>V127*ACT2FLO!W62</f>
        <v>1.49201152283105</v>
      </c>
      <c r="W146" s="463">
        <f>W127*ACT2FLO!X62</f>
        <v>0</v>
      </c>
      <c r="X146" s="463">
        <f>X127*ACT2FLO!Y62</f>
        <v>0</v>
      </c>
      <c r="Y146" s="463">
        <f>Y127*ACT2FLO!Z62</f>
        <v>0</v>
      </c>
      <c r="Z146" s="463">
        <f>Z127*ACT2FLO!AA62</f>
        <v>0</v>
      </c>
      <c r="AA146" s="463">
        <f>AA127*ACT2FLO!AB62</f>
        <v>0</v>
      </c>
      <c r="AB146" s="463">
        <f>AB127*ACT2FLO!AC62</f>
        <v>0</v>
      </c>
      <c r="AC146" s="463">
        <f>AC127*ACT2FLO!AD62</f>
        <v>0</v>
      </c>
    </row>
    <row r="147" spans="1:29" s="459" customFormat="1">
      <c r="A147" s="411"/>
      <c r="B147" s="39" t="s">
        <v>588</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7.25">
      <c r="A148" s="411" t="s">
        <v>562</v>
      </c>
      <c r="B148" s="411" t="s">
        <v>584</v>
      </c>
      <c r="C148" s="402">
        <f>C128*ACT2FLO!D63</f>
        <v>9816.0585474308318</v>
      </c>
      <c r="D148" s="402">
        <f>D128*ACT2FLO!E63</f>
        <v>109</v>
      </c>
      <c r="E148" s="402">
        <f>E128*ACT2FLO!F63</f>
        <v>3542.5</v>
      </c>
      <c r="F148" s="402">
        <f>F128*ACT2FLO!G63</f>
        <v>463.25</v>
      </c>
      <c r="G148" s="402">
        <f>G128*ACT2FLO!H63</f>
        <v>299.75</v>
      </c>
      <c r="H148" s="402">
        <f>H128*ACT2FLO!I63</f>
        <v>136.25</v>
      </c>
      <c r="I148" s="402">
        <f>I128*ACT2FLO!J63</f>
        <v>81.75</v>
      </c>
      <c r="J148" s="402">
        <f>J128*ACT2FLO!K63</f>
        <v>218</v>
      </c>
      <c r="K148" s="402">
        <f>K128*ACT2FLO!L63</f>
        <v>299.75</v>
      </c>
      <c r="L148" s="402">
        <f>L128*ACT2FLO!M63</f>
        <v>190.75</v>
      </c>
      <c r="M148" s="402">
        <f>M128*ACT2FLO!N63</f>
        <v>136.25</v>
      </c>
      <c r="N148" s="402">
        <f>N128*ACT2FLO!O63</f>
        <v>272.5</v>
      </c>
      <c r="O148" s="402">
        <f>O128*ACT2FLO!P63</f>
        <v>245.25</v>
      </c>
      <c r="P148" s="402">
        <f>P128*ACT2FLO!Q63</f>
        <v>190.75</v>
      </c>
      <c r="Q148" s="402">
        <f>Q128*ACT2FLO!R63</f>
        <v>790.25</v>
      </c>
      <c r="R148" s="402">
        <f>R128*ACT2FLO!S63</f>
        <v>490.5</v>
      </c>
      <c r="S148" s="402">
        <f>S128*ACT2FLO!T63</f>
        <v>299.75</v>
      </c>
      <c r="T148" s="402">
        <f>T128*ACT2FLO!U63</f>
        <v>354.25</v>
      </c>
      <c r="U148" s="402">
        <f>U128*ACT2FLO!V63</f>
        <v>163.5</v>
      </c>
      <c r="V148" s="402">
        <f>V128*ACT2FLO!W63</f>
        <v>572.25</v>
      </c>
      <c r="W148" s="402">
        <f>W128*ACT2FLO!X63</f>
        <v>54.5</v>
      </c>
      <c r="X148" s="402">
        <f>X128*ACT2FLO!Y63</f>
        <v>354.25</v>
      </c>
      <c r="Y148" s="402">
        <f>Y128*ACT2FLO!Z63</f>
        <v>109</v>
      </c>
      <c r="Z148" s="402">
        <f>Z128*ACT2FLO!AA63</f>
        <v>109</v>
      </c>
      <c r="AA148" s="402">
        <f>AA128*ACT2FLO!AB63</f>
        <v>45.560276679842701</v>
      </c>
      <c r="AB148" s="402">
        <f>AB128*ACT2FLO!AC63</f>
        <v>14.998270750988439</v>
      </c>
      <c r="AC148" s="402">
        <f>AC128*ACT2FLO!AD63</f>
        <v>272.5</v>
      </c>
    </row>
    <row r="149" spans="1:29" s="459" customFormat="1" ht="17.25">
      <c r="A149" s="411"/>
      <c r="B149" s="411" t="s">
        <v>585</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7.25">
      <c r="A150" s="411"/>
      <c r="B150" s="500" t="s">
        <v>605</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827" t="s">
        <v>16</v>
      </c>
      <c r="B151" s="827"/>
      <c r="C151" s="400">
        <f>SUM(C137:C150)-C143-C147</f>
        <v>72964.257175651815</v>
      </c>
      <c r="D151" s="400">
        <f t="shared" ref="D151:AC151" si="86">SUM(D137:D150)-D143-D147</f>
        <v>999.84713352637891</v>
      </c>
      <c r="E151" s="400">
        <f t="shared" si="86"/>
        <v>18095.606357739016</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537.65138668891404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578</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583</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604</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586</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75">
      <c r="A159" s="401" t="s">
        <v>337</v>
      </c>
      <c r="B159" s="401"/>
      <c r="C159" s="401"/>
      <c r="D159" s="445"/>
      <c r="E159" s="445"/>
      <c r="F159" s="445"/>
      <c r="G159" s="401" t="s">
        <v>577</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554</v>
      </c>
      <c r="B161" s="478" t="s">
        <v>553</v>
      </c>
      <c r="C161" s="479" t="s">
        <v>552</v>
      </c>
      <c r="D161" s="445"/>
      <c r="E161" s="445"/>
      <c r="F161" s="445"/>
      <c r="G161" s="480" t="s">
        <v>21</v>
      </c>
      <c r="H161" s="474"/>
      <c r="I161" s="474"/>
      <c r="J161" s="474"/>
      <c r="K161" s="474"/>
      <c r="Z161" s="445"/>
      <c r="AA161" s="445"/>
      <c r="AB161" s="445"/>
    </row>
    <row r="162" spans="1:30" s="133" customFormat="1">
      <c r="A162" s="128" t="s">
        <v>551</v>
      </c>
      <c r="B162" s="479" t="s">
        <v>550</v>
      </c>
      <c r="C162" s="479" t="s">
        <v>549</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548</v>
      </c>
      <c r="B164" s="479" t="s">
        <v>547</v>
      </c>
      <c r="C164" s="479" t="s">
        <v>546</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545</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602</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3"/>
      <c r="E170" s="445"/>
      <c r="F170" s="445"/>
      <c r="G170" s="493" t="s">
        <v>802</v>
      </c>
      <c r="H170" s="493"/>
      <c r="I170" s="494"/>
      <c r="J170" s="494"/>
      <c r="Z170" s="445"/>
      <c r="AA170" s="445"/>
      <c r="AB170" s="445"/>
    </row>
    <row r="171" spans="1:30" s="133" customFormat="1">
      <c r="A171" s="128" t="s">
        <v>36</v>
      </c>
      <c r="B171" s="479">
        <v>7</v>
      </c>
      <c r="C171" s="479">
        <v>7</v>
      </c>
      <c r="D171" s="445"/>
      <c r="E171" s="445"/>
      <c r="F171" s="445"/>
      <c r="G171" s="829"/>
      <c r="H171" s="829"/>
      <c r="I171" s="495"/>
      <c r="J171" s="495"/>
      <c r="Z171" s="445"/>
      <c r="AA171" s="445"/>
      <c r="AB171" s="445"/>
    </row>
    <row r="172" spans="1:30" s="133" customFormat="1">
      <c r="A172" s="496" t="s">
        <v>37</v>
      </c>
      <c r="B172" s="497">
        <v>0.97050000000000003</v>
      </c>
      <c r="C172" s="497">
        <v>0.97640000000000005</v>
      </c>
      <c r="D172" s="445"/>
      <c r="E172" s="445"/>
      <c r="F172" s="445"/>
      <c r="G172" s="829"/>
      <c r="H172" s="829"/>
      <c r="I172" s="495"/>
      <c r="J172" s="495"/>
      <c r="Z172" s="445"/>
      <c r="AA172" s="445"/>
      <c r="AB172" s="445"/>
    </row>
    <row r="173" spans="1:30" s="133" customFormat="1">
      <c r="A173" s="498" t="s">
        <v>603</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75">
      <c r="A177" s="401" t="s">
        <v>433</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401</v>
      </c>
      <c r="AD178" s="459"/>
    </row>
    <row r="179" spans="1:30">
      <c r="A179" s="406" t="s">
        <v>399</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402</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403</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75">
      <c r="A185" s="401" t="s">
        <v>420</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417</v>
      </c>
      <c r="B186" s="130" t="s">
        <v>364</v>
      </c>
      <c r="C186" s="130" t="s">
        <v>361</v>
      </c>
      <c r="D186" s="130" t="s">
        <v>407</v>
      </c>
      <c r="E186" s="130" t="s">
        <v>408</v>
      </c>
      <c r="F186" s="130" t="s">
        <v>24</v>
      </c>
      <c r="G186" s="130" t="s">
        <v>409</v>
      </c>
      <c r="H186" s="130" t="s">
        <v>13</v>
      </c>
      <c r="I186" s="130" t="s">
        <v>1</v>
      </c>
      <c r="K186" s="409" t="s">
        <v>443</v>
      </c>
      <c r="L186" s="34"/>
      <c r="M186" s="408" t="s">
        <v>442</v>
      </c>
      <c r="O186" s="34"/>
      <c r="P186" s="34"/>
      <c r="Q186" s="34"/>
      <c r="R186" s="34"/>
      <c r="S186" s="34"/>
      <c r="T186" s="34"/>
      <c r="U186" s="34"/>
      <c r="V186" s="34"/>
      <c r="W186" s="34"/>
      <c r="X186" s="34"/>
      <c r="Y186" s="34"/>
      <c r="Z186" s="34"/>
      <c r="AA186" s="34"/>
      <c r="AB186" s="402"/>
    </row>
    <row r="187" spans="1:30" s="391" customFormat="1">
      <c r="A187" s="391" t="s">
        <v>400</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419</v>
      </c>
      <c r="O187" s="34"/>
      <c r="P187" s="34"/>
      <c r="Q187" s="34"/>
      <c r="R187" s="34"/>
      <c r="S187" s="34"/>
      <c r="T187" s="34"/>
      <c r="U187" s="34"/>
      <c r="V187" s="34"/>
      <c r="W187" s="34"/>
      <c r="X187" s="34"/>
      <c r="Y187" s="34"/>
      <c r="Z187" s="34"/>
      <c r="AA187" s="34"/>
      <c r="AB187" s="402"/>
    </row>
    <row r="188" spans="1:30" s="391" customFormat="1">
      <c r="A188" s="391" t="s">
        <v>404</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411</v>
      </c>
      <c r="O188" s="34"/>
      <c r="P188" s="34"/>
      <c r="Q188" s="34"/>
      <c r="R188" s="34"/>
      <c r="S188" s="34"/>
      <c r="T188" s="34"/>
      <c r="U188" s="34"/>
      <c r="V188" s="34"/>
      <c r="W188" s="34"/>
      <c r="X188" s="34"/>
      <c r="Y188" s="34"/>
      <c r="Z188" s="34"/>
      <c r="AA188" s="34"/>
      <c r="AB188" s="402"/>
    </row>
    <row r="189" spans="1:30" s="391" customFormat="1">
      <c r="A189" s="391" t="s">
        <v>410</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412</v>
      </c>
      <c r="O189" s="34"/>
      <c r="P189" s="34"/>
      <c r="Q189" s="34"/>
      <c r="R189" s="34"/>
      <c r="S189" s="34"/>
      <c r="T189" s="34"/>
      <c r="U189" s="34"/>
      <c r="V189" s="34"/>
      <c r="W189" s="34"/>
      <c r="X189" s="34"/>
      <c r="Y189" s="34"/>
      <c r="Z189" s="34"/>
      <c r="AA189" s="34"/>
      <c r="AB189" s="402"/>
    </row>
    <row r="190" spans="1:30" s="391" customFormat="1">
      <c r="A190" s="391" t="s">
        <v>405</v>
      </c>
      <c r="B190" s="4">
        <v>0.62</v>
      </c>
      <c r="C190" s="4">
        <v>0.27</v>
      </c>
      <c r="D190" s="4">
        <v>0.05</v>
      </c>
      <c r="E190" s="4">
        <v>0.05</v>
      </c>
      <c r="F190" s="4">
        <v>0</v>
      </c>
      <c r="G190" s="4">
        <v>8.9999999999999993E-3</v>
      </c>
      <c r="H190" s="4">
        <v>1E-3</v>
      </c>
      <c r="I190" s="404">
        <f t="shared" si="88"/>
        <v>1</v>
      </c>
      <c r="K190" s="388">
        <f>(S201+V201+X201+Y201)/$B$200</f>
        <v>7.9993447945290341E-2</v>
      </c>
      <c r="L190" s="34"/>
      <c r="M190" s="391" t="s">
        <v>413</v>
      </c>
      <c r="O190" s="34"/>
      <c r="P190" s="34"/>
      <c r="Q190" s="34"/>
      <c r="R190" s="34"/>
      <c r="S190" s="34"/>
      <c r="T190" s="34"/>
      <c r="U190" s="34"/>
      <c r="V190" s="34"/>
      <c r="W190" s="34"/>
      <c r="X190" s="34"/>
      <c r="Y190" s="34"/>
      <c r="Z190" s="34"/>
      <c r="AA190" s="34"/>
      <c r="AB190" s="402"/>
    </row>
    <row r="191" spans="1:30" s="391" customFormat="1">
      <c r="A191" s="391" t="s">
        <v>406</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421</v>
      </c>
      <c r="O191" s="34"/>
      <c r="P191" s="34"/>
      <c r="Q191" s="34"/>
      <c r="R191" s="34"/>
      <c r="S191" s="34"/>
      <c r="T191" s="34"/>
      <c r="U191" s="34"/>
      <c r="V191" s="34"/>
      <c r="W191" s="34"/>
      <c r="X191" s="34"/>
      <c r="Y191" s="34"/>
      <c r="Z191" s="34"/>
      <c r="AA191" s="34"/>
      <c r="AB191" s="402"/>
    </row>
    <row r="192" spans="1:30" s="391" customFormat="1">
      <c r="A192" s="391" t="s">
        <v>416</v>
      </c>
      <c r="B192" s="4">
        <v>0.64</v>
      </c>
      <c r="C192" s="4">
        <v>0.28999999999999998</v>
      </c>
      <c r="D192" s="4">
        <v>0.03</v>
      </c>
      <c r="E192" s="4">
        <v>0.02</v>
      </c>
      <c r="F192" s="4">
        <v>0</v>
      </c>
      <c r="G192" s="4">
        <v>0.01</v>
      </c>
      <c r="H192" s="4">
        <v>0.01</v>
      </c>
      <c r="I192" s="404">
        <f t="shared" si="88"/>
        <v>1</v>
      </c>
      <c r="K192" s="391">
        <v>0</v>
      </c>
      <c r="L192" s="34"/>
      <c r="M192" s="391" t="s">
        <v>414</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415</v>
      </c>
      <c r="O193" s="34"/>
      <c r="P193" s="34"/>
      <c r="Q193" s="34"/>
      <c r="R193" s="34"/>
      <c r="S193" s="34"/>
      <c r="T193" s="34"/>
      <c r="U193" s="34"/>
      <c r="V193" s="34"/>
      <c r="W193" s="34"/>
      <c r="X193" s="34"/>
      <c r="Y193" s="34"/>
      <c r="Z193" s="34"/>
      <c r="AA193" s="34"/>
      <c r="AB193" s="402"/>
    </row>
    <row r="194" spans="1:33" s="391" customFormat="1">
      <c r="A194" s="391" t="s">
        <v>418</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75">
      <c r="A198" s="401" t="s">
        <v>434</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400</v>
      </c>
      <c r="C199" s="132" t="s">
        <v>373</v>
      </c>
      <c r="D199" s="132" t="s">
        <v>422</v>
      </c>
      <c r="E199" s="132" t="s">
        <v>423</v>
      </c>
      <c r="F199" s="132" t="s">
        <v>424</v>
      </c>
      <c r="G199" s="132" t="s">
        <v>425</v>
      </c>
      <c r="H199" s="132" t="s">
        <v>375</v>
      </c>
      <c r="I199" s="132" t="s">
        <v>376</v>
      </c>
      <c r="J199" s="132" t="s">
        <v>377</v>
      </c>
      <c r="K199" s="132" t="s">
        <v>378</v>
      </c>
      <c r="L199" s="132" t="s">
        <v>379</v>
      </c>
      <c r="M199" s="132" t="s">
        <v>380</v>
      </c>
      <c r="N199" s="132" t="s">
        <v>381</v>
      </c>
      <c r="O199" s="132" t="s">
        <v>382</v>
      </c>
      <c r="P199" s="132" t="s">
        <v>383</v>
      </c>
      <c r="Q199" s="132" t="s">
        <v>384</v>
      </c>
      <c r="R199" s="132" t="s">
        <v>385</v>
      </c>
      <c r="S199" s="132" t="s">
        <v>426</v>
      </c>
      <c r="T199" s="132" t="s">
        <v>427</v>
      </c>
      <c r="U199" s="132" t="s">
        <v>387</v>
      </c>
      <c r="V199" s="132" t="s">
        <v>428</v>
      </c>
      <c r="W199" s="132" t="s">
        <v>389</v>
      </c>
      <c r="X199" s="132" t="s">
        <v>429</v>
      </c>
      <c r="Y199" s="132" t="s">
        <v>430</v>
      </c>
      <c r="Z199" s="132" t="s">
        <v>431</v>
      </c>
      <c r="AA199" s="132" t="s">
        <v>392</v>
      </c>
      <c r="AB199" s="132" t="s">
        <v>393</v>
      </c>
      <c r="AC199" s="132" t="s">
        <v>394</v>
      </c>
      <c r="AD199" s="132" t="s">
        <v>395</v>
      </c>
      <c r="AE199" s="132" t="s">
        <v>396</v>
      </c>
      <c r="AF199" s="132" t="s">
        <v>397</v>
      </c>
      <c r="AG199" s="132" t="s">
        <v>398</v>
      </c>
    </row>
    <row r="200" spans="1:33">
      <c r="A200" s="391" t="s">
        <v>432</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435</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436</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437</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438</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439</v>
      </c>
    </row>
    <row r="207" spans="1:33" s="391" customFormat="1">
      <c r="A207" s="133"/>
    </row>
    <row r="208" spans="1:33" s="459" customFormat="1">
      <c r="A208" s="133"/>
    </row>
    <row r="209" spans="1:30" s="391" customFormat="1">
      <c r="A209" s="133"/>
    </row>
    <row r="210" spans="1:30" s="391" customFormat="1" ht="15.75">
      <c r="A210" s="401" t="s">
        <v>440</v>
      </c>
      <c r="B210" s="401"/>
      <c r="C210" s="401"/>
    </row>
    <row r="211" spans="1:30" s="391" customFormat="1">
      <c r="A211" s="132" t="s">
        <v>417</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441</v>
      </c>
    </row>
    <row r="216" spans="1:30" s="391" customFormat="1">
      <c r="A216" s="133"/>
    </row>
    <row r="217" spans="1:30" s="391" customFormat="1"/>
    <row r="218" spans="1:30" s="391" customFormat="1">
      <c r="C218" s="459"/>
      <c r="AD218" s="5"/>
    </row>
    <row r="219" spans="1:30" s="391" customFormat="1">
      <c r="A219" s="391" t="s">
        <v>450</v>
      </c>
      <c r="C219" s="459"/>
      <c r="AD219" s="5"/>
    </row>
    <row r="220" spans="1:30" s="391" customFormat="1">
      <c r="A220" s="132" t="s">
        <v>449</v>
      </c>
      <c r="B220" s="132" t="s">
        <v>448</v>
      </c>
      <c r="C220" s="459"/>
      <c r="AD220" s="5"/>
    </row>
    <row r="221" spans="1:30" s="391" customFormat="1">
      <c r="A221" s="391" t="s">
        <v>451</v>
      </c>
      <c r="B221" s="391" t="s">
        <v>370</v>
      </c>
      <c r="C221" s="459"/>
      <c r="AD221" s="5"/>
    </row>
    <row r="222" spans="1:30" s="391" customFormat="1">
      <c r="A222" s="391" t="s">
        <v>452</v>
      </c>
      <c r="B222" s="391" t="s">
        <v>371</v>
      </c>
      <c r="C222" s="459"/>
      <c r="AD222" s="5"/>
    </row>
    <row r="223" spans="1:30" s="391" customFormat="1">
      <c r="A223" s="392" t="s">
        <v>453</v>
      </c>
      <c r="B223" s="392" t="s">
        <v>372</v>
      </c>
      <c r="C223" s="459"/>
      <c r="AD223" s="5"/>
    </row>
    <row r="224" spans="1:30" s="391" customFormat="1">
      <c r="A224" s="133" t="s">
        <v>465</v>
      </c>
      <c r="B224" s="1"/>
      <c r="C224" s="459"/>
      <c r="AD224" s="5"/>
    </row>
    <row r="225" spans="1:30" s="391" customFormat="1">
      <c r="A225" s="20" t="s">
        <v>466</v>
      </c>
      <c r="B225" s="1"/>
      <c r="AD225" s="5"/>
    </row>
    <row r="226" spans="1:30" s="391" customFormat="1">
      <c r="A226" s="20" t="s">
        <v>464</v>
      </c>
      <c r="B226" s="1"/>
      <c r="AD226" s="5"/>
    </row>
    <row r="227" spans="1:30" s="391" customFormat="1">
      <c r="A227" s="20" t="s">
        <v>467</v>
      </c>
      <c r="B227" s="1"/>
      <c r="AD227" s="5"/>
    </row>
    <row r="228" spans="1:30" s="391" customFormat="1">
      <c r="A228" s="20" t="s">
        <v>463</v>
      </c>
      <c r="B228" s="1"/>
      <c r="AD228" s="5"/>
    </row>
    <row r="229" spans="1:30" s="391" customFormat="1">
      <c r="A229" s="20" t="s">
        <v>544</v>
      </c>
      <c r="B229" s="1"/>
      <c r="AD229" s="5"/>
    </row>
    <row r="231" spans="1:30" s="391" customFormat="1">
      <c r="A231" s="1"/>
      <c r="B231" s="1"/>
      <c r="AD231" s="5"/>
    </row>
    <row r="233" spans="1:30" ht="15.75">
      <c r="A233" s="401" t="s">
        <v>444</v>
      </c>
      <c r="B233" s="401"/>
      <c r="C233" s="34"/>
      <c r="D233" s="34"/>
      <c r="G233" s="401" t="s">
        <v>420</v>
      </c>
      <c r="H233" s="401"/>
      <c r="I233" s="34"/>
      <c r="J233" s="34"/>
      <c r="K233" s="34"/>
      <c r="L233" s="34"/>
      <c r="M233" s="34"/>
      <c r="N233" s="34"/>
      <c r="O233" s="34"/>
    </row>
    <row r="234" spans="1:30">
      <c r="A234" s="132" t="s">
        <v>417</v>
      </c>
      <c r="B234" s="130" t="s">
        <v>445</v>
      </c>
      <c r="C234" s="130" t="s">
        <v>446</v>
      </c>
      <c r="D234" s="130" t="s">
        <v>447</v>
      </c>
      <c r="E234" s="130" t="s">
        <v>16</v>
      </c>
      <c r="G234" s="132" t="s">
        <v>417</v>
      </c>
      <c r="H234" s="130" t="s">
        <v>364</v>
      </c>
      <c r="I234" s="130" t="s">
        <v>361</v>
      </c>
      <c r="J234" s="130" t="s">
        <v>407</v>
      </c>
      <c r="K234" s="130" t="s">
        <v>408</v>
      </c>
      <c r="L234" s="130" t="s">
        <v>24</v>
      </c>
      <c r="M234" s="130" t="s">
        <v>409</v>
      </c>
      <c r="N234" s="130" t="s">
        <v>13</v>
      </c>
      <c r="O234" s="130" t="s">
        <v>1</v>
      </c>
    </row>
    <row r="235" spans="1:30">
      <c r="A235" s="391" t="s">
        <v>400</v>
      </c>
      <c r="B235" s="357">
        <v>0.5</v>
      </c>
      <c r="C235" s="357">
        <v>0.41</v>
      </c>
      <c r="D235" s="357">
        <v>0.09</v>
      </c>
      <c r="E235" s="357">
        <f>SUM(B235:D235)</f>
        <v>0.99999999999999989</v>
      </c>
      <c r="G235" s="391" t="s">
        <v>400</v>
      </c>
      <c r="H235" s="357">
        <v>0.71</v>
      </c>
      <c r="I235" s="357">
        <v>0.18</v>
      </c>
      <c r="J235" s="357">
        <v>0.05</v>
      </c>
      <c r="K235" s="357">
        <v>0.03</v>
      </c>
      <c r="L235" s="357">
        <v>0.01</v>
      </c>
      <c r="M235" s="357">
        <v>1.7999999999999999E-2</v>
      </c>
      <c r="N235" s="357">
        <v>4.0000000000000001E-3</v>
      </c>
      <c r="O235" s="4">
        <f>SUM(H235:N235)</f>
        <v>1.002</v>
      </c>
    </row>
    <row r="236" spans="1:30">
      <c r="A236" s="391" t="s">
        <v>404</v>
      </c>
      <c r="B236" s="4">
        <v>0.61</v>
      </c>
      <c r="C236" s="4">
        <v>0.35</v>
      </c>
      <c r="D236" s="4">
        <v>0.04</v>
      </c>
      <c r="E236" s="4">
        <f>SUM(B236:D236)</f>
        <v>1</v>
      </c>
      <c r="G236" s="391" t="s">
        <v>404</v>
      </c>
      <c r="H236" s="4">
        <v>0.42</v>
      </c>
      <c r="I236" s="4">
        <v>0.28999999999999998</v>
      </c>
      <c r="J236" s="4">
        <v>0.16</v>
      </c>
      <c r="K236" s="4">
        <v>0.09</v>
      </c>
      <c r="L236" s="4">
        <v>0.02</v>
      </c>
      <c r="M236" s="4">
        <v>0.01</v>
      </c>
      <c r="N236" s="4">
        <v>6.0000000000000001E-3</v>
      </c>
      <c r="O236" s="4">
        <f>SUM(H236:N236)</f>
        <v>0.996</v>
      </c>
    </row>
    <row r="237" spans="1:30">
      <c r="A237" s="391" t="s">
        <v>410</v>
      </c>
      <c r="B237" s="4">
        <v>0.52</v>
      </c>
      <c r="C237" s="4">
        <v>0.4</v>
      </c>
      <c r="D237" s="4">
        <v>0.08</v>
      </c>
      <c r="E237" s="4">
        <f>SUM(B237:D237)</f>
        <v>1</v>
      </c>
      <c r="G237" s="391" t="s">
        <v>410</v>
      </c>
      <c r="H237" s="4">
        <v>0.63</v>
      </c>
      <c r="I237" s="4">
        <v>0.2</v>
      </c>
      <c r="J237" s="4">
        <v>0.09</v>
      </c>
      <c r="K237" s="4">
        <v>0.05</v>
      </c>
      <c r="L237" s="4">
        <v>0.02</v>
      </c>
      <c r="M237" s="4">
        <v>8.9999999999999993E-3</v>
      </c>
      <c r="N237" s="4">
        <v>1E-3</v>
      </c>
      <c r="O237" s="4">
        <f t="shared" ref="O237:O240" si="108">SUM(H237:N237)</f>
        <v>1</v>
      </c>
    </row>
    <row r="238" spans="1:30">
      <c r="A238" s="391" t="s">
        <v>405</v>
      </c>
      <c r="B238" s="4">
        <v>0.71</v>
      </c>
      <c r="C238" s="4">
        <v>0.25</v>
      </c>
      <c r="D238" s="4">
        <v>0.04</v>
      </c>
      <c r="E238" s="4">
        <f t="shared" ref="E238:E241" si="109">SUM(B238:D238)</f>
        <v>1</v>
      </c>
      <c r="G238" s="391" t="s">
        <v>405</v>
      </c>
      <c r="H238" s="4">
        <v>0.62</v>
      </c>
      <c r="I238" s="4">
        <v>0.27</v>
      </c>
      <c r="J238" s="4">
        <v>0.05</v>
      </c>
      <c r="K238" s="4">
        <v>0.05</v>
      </c>
      <c r="L238" s="4">
        <v>0</v>
      </c>
      <c r="M238" s="4">
        <v>8.9999999999999993E-3</v>
      </c>
      <c r="N238" s="4">
        <v>1E-3</v>
      </c>
      <c r="O238" s="404">
        <f t="shared" si="108"/>
        <v>1</v>
      </c>
    </row>
    <row r="239" spans="1:30">
      <c r="A239" s="391" t="s">
        <v>406</v>
      </c>
      <c r="B239" s="4">
        <v>0.56000000000000005</v>
      </c>
      <c r="C239" s="4">
        <v>0.35</v>
      </c>
      <c r="D239" s="4">
        <v>0.09</v>
      </c>
      <c r="E239" s="4">
        <f t="shared" si="109"/>
        <v>1</v>
      </c>
      <c r="G239" s="391" t="s">
        <v>406</v>
      </c>
      <c r="H239" s="4">
        <v>0.76</v>
      </c>
      <c r="I239" s="4">
        <v>0.18</v>
      </c>
      <c r="J239" s="4">
        <v>0.03</v>
      </c>
      <c r="K239" s="4">
        <v>0.01</v>
      </c>
      <c r="L239" s="4">
        <v>0</v>
      </c>
      <c r="M239" s="4">
        <v>0.01</v>
      </c>
      <c r="N239" s="4">
        <v>0.01</v>
      </c>
      <c r="O239" s="404">
        <f t="shared" si="108"/>
        <v>1</v>
      </c>
    </row>
    <row r="240" spans="1:30">
      <c r="A240" s="1" t="s">
        <v>416</v>
      </c>
      <c r="B240" s="4">
        <v>0.7</v>
      </c>
      <c r="C240" s="4">
        <v>0.21</v>
      </c>
      <c r="D240" s="4">
        <v>0.09</v>
      </c>
      <c r="E240" s="4">
        <f t="shared" si="109"/>
        <v>0.99999999999999989</v>
      </c>
      <c r="G240" s="1" t="s">
        <v>416</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418</v>
      </c>
      <c r="B242" s="34"/>
      <c r="C242" s="34"/>
      <c r="D242" s="34"/>
      <c r="G242" s="459" t="s">
        <v>418</v>
      </c>
      <c r="L242" s="34"/>
      <c r="M242" s="34"/>
      <c r="N242" s="34"/>
      <c r="O242" s="34"/>
    </row>
    <row r="243" spans="1:28">
      <c r="A243" s="391" t="s">
        <v>606</v>
      </c>
    </row>
    <row r="244" spans="1:28" s="459" customFormat="1"/>
    <row r="245" spans="1:28" s="459" customFormat="1"/>
    <row r="246" spans="1:28" s="459" customFormat="1"/>
    <row r="247" spans="1:28" s="459" customFormat="1" ht="15.75">
      <c r="A247" s="401" t="s">
        <v>954</v>
      </c>
      <c r="B247" s="683"/>
      <c r="C247" s="683"/>
      <c r="I247" s="830" t="s">
        <v>949</v>
      </c>
      <c r="J247" s="830"/>
      <c r="K247" s="830"/>
      <c r="L247" s="830"/>
      <c r="M247" s="830"/>
      <c r="N247" s="830"/>
      <c r="O247" s="830"/>
      <c r="P247" s="830"/>
      <c r="Q247" s="830"/>
      <c r="R247" s="830"/>
      <c r="S247" s="830"/>
      <c r="T247" s="830"/>
      <c r="U247" s="830"/>
      <c r="V247" s="830"/>
      <c r="W247" s="830"/>
      <c r="X247" s="830"/>
      <c r="Y247" s="830"/>
      <c r="Z247" s="830"/>
      <c r="AA247" s="830"/>
      <c r="AB247" s="830"/>
    </row>
    <row r="248" spans="1:28" s="459" customFormat="1">
      <c r="A248" s="132" t="s">
        <v>917</v>
      </c>
      <c r="B248" s="132" t="s">
        <v>448</v>
      </c>
      <c r="C248" s="132" t="s">
        <v>918</v>
      </c>
      <c r="I248" s="831" t="s">
        <v>940</v>
      </c>
      <c r="J248" s="833" t="s">
        <v>322</v>
      </c>
      <c r="K248" s="833"/>
      <c r="L248" s="833"/>
      <c r="M248" s="13"/>
      <c r="N248" s="833" t="s">
        <v>671</v>
      </c>
      <c r="O248" s="833"/>
      <c r="P248" s="833"/>
      <c r="Q248" s="13"/>
      <c r="R248" s="833" t="s">
        <v>324</v>
      </c>
      <c r="S248" s="833"/>
      <c r="T248" s="833"/>
      <c r="U248" s="13"/>
      <c r="V248" s="833" t="s">
        <v>941</v>
      </c>
      <c r="W248" s="833"/>
      <c r="X248" s="833"/>
      <c r="Y248" s="13"/>
      <c r="Z248" s="833" t="s">
        <v>561</v>
      </c>
      <c r="AA248" s="833"/>
      <c r="AB248" s="833"/>
    </row>
    <row r="249" spans="1:28" s="459" customFormat="1" ht="23.25">
      <c r="A249" s="680"/>
      <c r="B249" s="684" t="s">
        <v>978</v>
      </c>
      <c r="C249" s="684" t="s">
        <v>919</v>
      </c>
      <c r="I249" s="832"/>
      <c r="J249" s="687" t="s">
        <v>942</v>
      </c>
      <c r="K249" s="688" t="s">
        <v>943</v>
      </c>
      <c r="L249" s="688" t="s">
        <v>944</v>
      </c>
      <c r="M249" s="689"/>
      <c r="N249" s="687" t="s">
        <v>942</v>
      </c>
      <c r="O249" s="688" t="s">
        <v>943</v>
      </c>
      <c r="P249" s="688" t="s">
        <v>944</v>
      </c>
      <c r="Q249" s="689"/>
      <c r="R249" s="687" t="s">
        <v>942</v>
      </c>
      <c r="S249" s="688" t="s">
        <v>943</v>
      </c>
      <c r="T249" s="688" t="s">
        <v>944</v>
      </c>
      <c r="U249" s="689"/>
      <c r="V249" s="687" t="s">
        <v>942</v>
      </c>
      <c r="W249" s="688" t="s">
        <v>943</v>
      </c>
      <c r="X249" s="688" t="s">
        <v>944</v>
      </c>
      <c r="Y249" s="690"/>
      <c r="Z249" s="687" t="s">
        <v>942</v>
      </c>
      <c r="AA249" s="688" t="s">
        <v>943</v>
      </c>
      <c r="AB249" s="688" t="s">
        <v>944</v>
      </c>
    </row>
    <row r="250" spans="1:28" s="459" customFormat="1">
      <c r="A250" s="459" t="s">
        <v>920</v>
      </c>
      <c r="B250" s="684">
        <v>13.6</v>
      </c>
      <c r="C250" s="684">
        <v>20.7</v>
      </c>
      <c r="I250" s="691" t="s">
        <v>373</v>
      </c>
      <c r="J250" s="692">
        <v>28512</v>
      </c>
      <c r="K250" s="692">
        <v>529</v>
      </c>
      <c r="L250" s="692">
        <v>18540</v>
      </c>
      <c r="M250" s="693"/>
      <c r="N250" s="692">
        <v>5809</v>
      </c>
      <c r="O250" s="692">
        <v>129</v>
      </c>
      <c r="P250" s="692">
        <v>22282</v>
      </c>
      <c r="Q250" s="693"/>
      <c r="R250" s="692">
        <v>563</v>
      </c>
      <c r="S250" s="692">
        <v>1</v>
      </c>
      <c r="T250" s="692">
        <v>2637</v>
      </c>
      <c r="U250" s="693"/>
      <c r="V250" s="692">
        <v>1948</v>
      </c>
      <c r="W250" s="692">
        <v>31</v>
      </c>
      <c r="X250" s="692">
        <v>16162</v>
      </c>
      <c r="Y250" s="693"/>
      <c r="Z250" s="692">
        <v>161</v>
      </c>
      <c r="AA250" s="692">
        <v>6</v>
      </c>
      <c r="AB250" s="692">
        <v>35951</v>
      </c>
    </row>
    <row r="251" spans="1:28" s="459" customFormat="1">
      <c r="A251" s="459" t="s">
        <v>921</v>
      </c>
      <c r="B251" s="684">
        <v>20.5</v>
      </c>
      <c r="C251" s="684">
        <v>26.5</v>
      </c>
      <c r="I251" s="691" t="s">
        <v>396</v>
      </c>
      <c r="J251" s="692">
        <v>31849</v>
      </c>
      <c r="K251" s="692">
        <v>613</v>
      </c>
      <c r="L251" s="692">
        <v>19246</v>
      </c>
      <c r="M251" s="693"/>
      <c r="N251" s="692">
        <v>8050</v>
      </c>
      <c r="O251" s="692">
        <v>178</v>
      </c>
      <c r="P251" s="692">
        <v>22174</v>
      </c>
      <c r="Q251" s="693"/>
      <c r="R251" s="692">
        <v>448</v>
      </c>
      <c r="S251" s="692">
        <v>1</v>
      </c>
      <c r="T251" s="692">
        <v>2711</v>
      </c>
      <c r="U251" s="693"/>
      <c r="V251" s="692">
        <v>2762</v>
      </c>
      <c r="W251" s="692">
        <v>47</v>
      </c>
      <c r="X251" s="692">
        <v>17159</v>
      </c>
      <c r="Y251" s="693"/>
      <c r="Z251" s="692">
        <v>166</v>
      </c>
      <c r="AA251" s="692">
        <v>7</v>
      </c>
      <c r="AB251" s="692">
        <v>43668</v>
      </c>
    </row>
    <row r="252" spans="1:28" s="459" customFormat="1">
      <c r="A252" s="459" t="s">
        <v>361</v>
      </c>
      <c r="B252" s="684">
        <v>2.7</v>
      </c>
      <c r="C252" s="684">
        <v>19.8</v>
      </c>
      <c r="I252" s="691" t="s">
        <v>385</v>
      </c>
      <c r="J252" s="692">
        <v>57429</v>
      </c>
      <c r="K252" s="692">
        <v>1070</v>
      </c>
      <c r="L252" s="692">
        <v>18635</v>
      </c>
      <c r="M252" s="693"/>
      <c r="N252" s="692">
        <v>9436</v>
      </c>
      <c r="O252" s="692">
        <v>198</v>
      </c>
      <c r="P252" s="692">
        <v>20976</v>
      </c>
      <c r="Q252" s="693"/>
      <c r="R252" s="692">
        <v>924</v>
      </c>
      <c r="S252" s="692">
        <v>3</v>
      </c>
      <c r="T252" s="692">
        <v>2726</v>
      </c>
      <c r="U252" s="693"/>
      <c r="V252" s="692">
        <v>3308</v>
      </c>
      <c r="W252" s="692">
        <v>60</v>
      </c>
      <c r="X252" s="692">
        <v>18027</v>
      </c>
      <c r="Y252" s="693"/>
      <c r="Z252" s="692">
        <v>353</v>
      </c>
      <c r="AA252" s="692">
        <v>14</v>
      </c>
      <c r="AB252" s="692">
        <v>39666</v>
      </c>
    </row>
    <row r="253" spans="1:28" s="459" customFormat="1">
      <c r="A253" s="459" t="s">
        <v>922</v>
      </c>
      <c r="B253" s="684">
        <v>16.3</v>
      </c>
      <c r="C253" s="684">
        <v>40</v>
      </c>
      <c r="I253" s="691" t="s">
        <v>386</v>
      </c>
      <c r="J253" s="692">
        <v>257933</v>
      </c>
      <c r="K253" s="692">
        <v>4298</v>
      </c>
      <c r="L253" s="692">
        <v>16665</v>
      </c>
      <c r="M253" s="693"/>
      <c r="N253" s="692">
        <v>41521</v>
      </c>
      <c r="O253" s="692">
        <v>879</v>
      </c>
      <c r="P253" s="692">
        <v>21168</v>
      </c>
      <c r="Q253" s="693"/>
      <c r="R253" s="692">
        <v>5452</v>
      </c>
      <c r="S253" s="692">
        <v>15</v>
      </c>
      <c r="T253" s="692">
        <v>2688</v>
      </c>
      <c r="U253" s="693"/>
      <c r="V253" s="692">
        <v>11801</v>
      </c>
      <c r="W253" s="692">
        <v>201</v>
      </c>
      <c r="X253" s="692">
        <v>16990</v>
      </c>
      <c r="Y253" s="693"/>
      <c r="Z253" s="692">
        <v>1752</v>
      </c>
      <c r="AA253" s="692">
        <v>70</v>
      </c>
      <c r="AB253" s="692">
        <v>39919</v>
      </c>
    </row>
    <row r="254" spans="1:28" s="459" customFormat="1">
      <c r="A254" s="459" t="s">
        <v>408</v>
      </c>
      <c r="B254" s="684">
        <v>5.7</v>
      </c>
      <c r="C254" s="684">
        <v>24.7</v>
      </c>
      <c r="I254" s="691" t="s">
        <v>397</v>
      </c>
      <c r="J254" s="692">
        <v>64284</v>
      </c>
      <c r="K254" s="692">
        <v>1167</v>
      </c>
      <c r="L254" s="692">
        <v>18151</v>
      </c>
      <c r="M254" s="693"/>
      <c r="N254" s="692">
        <v>14635</v>
      </c>
      <c r="O254" s="692">
        <v>289</v>
      </c>
      <c r="P254" s="692">
        <v>19749</v>
      </c>
      <c r="Q254" s="693"/>
      <c r="R254" s="692">
        <v>736</v>
      </c>
      <c r="S254" s="692">
        <v>2</v>
      </c>
      <c r="T254" s="692">
        <v>2793</v>
      </c>
      <c r="U254" s="693"/>
      <c r="V254" s="692">
        <v>3377</v>
      </c>
      <c r="W254" s="692">
        <v>64</v>
      </c>
      <c r="X254" s="692">
        <v>18812</v>
      </c>
      <c r="Y254" s="693"/>
      <c r="Z254" s="692">
        <v>365</v>
      </c>
      <c r="AA254" s="692">
        <v>15</v>
      </c>
      <c r="AB254" s="692">
        <v>40451</v>
      </c>
    </row>
    <row r="255" spans="1:28" s="459" customFormat="1">
      <c r="A255" s="459" t="s">
        <v>923</v>
      </c>
      <c r="B255" s="684">
        <v>32.299999999999997</v>
      </c>
      <c r="C255" s="684">
        <v>49.4</v>
      </c>
      <c r="I255" s="691" t="s">
        <v>374</v>
      </c>
      <c r="J255" s="692">
        <v>542534</v>
      </c>
      <c r="K255" s="692">
        <v>7610</v>
      </c>
      <c r="L255" s="692">
        <v>14027</v>
      </c>
      <c r="M255" s="693"/>
      <c r="N255" s="692">
        <v>74522</v>
      </c>
      <c r="O255" s="692">
        <v>1769</v>
      </c>
      <c r="P255" s="692">
        <v>23744</v>
      </c>
      <c r="Q255" s="693"/>
      <c r="R255" s="692">
        <v>12616</v>
      </c>
      <c r="S255" s="692">
        <v>35</v>
      </c>
      <c r="T255" s="692">
        <v>2798</v>
      </c>
      <c r="U255" s="693"/>
      <c r="V255" s="692">
        <v>1868</v>
      </c>
      <c r="W255" s="692">
        <v>30</v>
      </c>
      <c r="X255" s="692">
        <v>16155</v>
      </c>
      <c r="Y255" s="693"/>
      <c r="Z255" s="692">
        <v>11149</v>
      </c>
      <c r="AA255" s="692">
        <v>430</v>
      </c>
      <c r="AB255" s="692">
        <v>38571</v>
      </c>
    </row>
    <row r="256" spans="1:28" s="459" customFormat="1">
      <c r="A256" s="459" t="s">
        <v>924</v>
      </c>
      <c r="B256" s="684">
        <v>10.5</v>
      </c>
      <c r="C256" s="684">
        <v>17.8</v>
      </c>
      <c r="I256" s="691" t="s">
        <v>391</v>
      </c>
      <c r="J256" s="692">
        <v>114292</v>
      </c>
      <c r="K256" s="692">
        <v>2070</v>
      </c>
      <c r="L256" s="692">
        <v>18109</v>
      </c>
      <c r="M256" s="693"/>
      <c r="N256" s="692">
        <v>20357</v>
      </c>
      <c r="O256" s="692">
        <v>429</v>
      </c>
      <c r="P256" s="692">
        <v>21076</v>
      </c>
      <c r="Q256" s="693"/>
      <c r="R256" s="692">
        <v>1458</v>
      </c>
      <c r="S256" s="692">
        <v>4</v>
      </c>
      <c r="T256" s="692">
        <v>2701</v>
      </c>
      <c r="U256" s="693"/>
      <c r="V256" s="692">
        <v>5556</v>
      </c>
      <c r="W256" s="692">
        <v>99</v>
      </c>
      <c r="X256" s="692">
        <v>17765</v>
      </c>
      <c r="Y256" s="693"/>
      <c r="Z256" s="692">
        <v>962</v>
      </c>
      <c r="AA256" s="692">
        <v>39</v>
      </c>
      <c r="AB256" s="692">
        <v>40203</v>
      </c>
    </row>
    <row r="257" spans="1:28" s="459" customFormat="1">
      <c r="A257" s="459" t="s">
        <v>925</v>
      </c>
      <c r="B257" s="684">
        <v>13.7</v>
      </c>
      <c r="C257" s="684">
        <v>33.1</v>
      </c>
      <c r="I257" s="691" t="s">
        <v>387</v>
      </c>
      <c r="J257" s="692">
        <v>71897</v>
      </c>
      <c r="K257" s="692">
        <v>1277</v>
      </c>
      <c r="L257" s="692">
        <v>17764</v>
      </c>
      <c r="M257" s="693"/>
      <c r="N257" s="692">
        <v>11920</v>
      </c>
      <c r="O257" s="692">
        <v>245</v>
      </c>
      <c r="P257" s="692">
        <v>20525</v>
      </c>
      <c r="Q257" s="693"/>
      <c r="R257" s="692">
        <v>1062</v>
      </c>
      <c r="S257" s="692">
        <v>3</v>
      </c>
      <c r="T257" s="692">
        <v>2680</v>
      </c>
      <c r="U257" s="693"/>
      <c r="V257" s="692">
        <v>4371</v>
      </c>
      <c r="W257" s="692">
        <v>75</v>
      </c>
      <c r="X257" s="692">
        <v>17133</v>
      </c>
      <c r="Y257" s="693"/>
      <c r="Z257" s="692">
        <v>468</v>
      </c>
      <c r="AA257" s="692">
        <v>18</v>
      </c>
      <c r="AB257" s="692">
        <v>38700</v>
      </c>
    </row>
    <row r="258" spans="1:28" s="459" customFormat="1">
      <c r="A258" s="136" t="s">
        <v>926</v>
      </c>
      <c r="B258" s="136">
        <v>13.7</v>
      </c>
      <c r="C258" s="136">
        <v>23.3</v>
      </c>
      <c r="I258" s="691" t="s">
        <v>375</v>
      </c>
      <c r="J258" s="692">
        <v>103517</v>
      </c>
      <c r="K258" s="692">
        <v>1821</v>
      </c>
      <c r="L258" s="692">
        <v>17589</v>
      </c>
      <c r="M258" s="693"/>
      <c r="N258" s="692">
        <v>16092</v>
      </c>
      <c r="O258" s="692">
        <v>378</v>
      </c>
      <c r="P258" s="692">
        <v>23471</v>
      </c>
      <c r="Q258" s="693"/>
      <c r="R258" s="692">
        <v>2168</v>
      </c>
      <c r="S258" s="692">
        <v>6</v>
      </c>
      <c r="T258" s="692">
        <v>2728</v>
      </c>
      <c r="U258" s="693"/>
      <c r="V258" s="692">
        <v>2584</v>
      </c>
      <c r="W258" s="692">
        <v>43</v>
      </c>
      <c r="X258" s="692">
        <v>16821</v>
      </c>
      <c r="Y258" s="693"/>
      <c r="Z258" s="692">
        <v>824</v>
      </c>
      <c r="AA258" s="692">
        <v>35</v>
      </c>
      <c r="AB258" s="692">
        <v>42400</v>
      </c>
    </row>
    <row r="259" spans="1:28" s="459" customFormat="1">
      <c r="A259" s="682" t="s">
        <v>939</v>
      </c>
      <c r="I259" s="691" t="s">
        <v>376</v>
      </c>
      <c r="J259" s="692">
        <v>44549</v>
      </c>
      <c r="K259" s="692">
        <v>827</v>
      </c>
      <c r="L259" s="692">
        <v>18553</v>
      </c>
      <c r="M259" s="693"/>
      <c r="N259" s="692">
        <v>8221</v>
      </c>
      <c r="O259" s="692">
        <v>189</v>
      </c>
      <c r="P259" s="692">
        <v>23000</v>
      </c>
      <c r="Q259" s="693"/>
      <c r="R259" s="692">
        <v>872</v>
      </c>
      <c r="S259" s="692">
        <v>2</v>
      </c>
      <c r="T259" s="692">
        <v>2652</v>
      </c>
      <c r="U259" s="693"/>
      <c r="V259" s="692">
        <v>3877</v>
      </c>
      <c r="W259" s="692">
        <v>66</v>
      </c>
      <c r="X259" s="692">
        <v>16990</v>
      </c>
      <c r="Y259" s="693"/>
      <c r="Z259" s="692">
        <v>216</v>
      </c>
      <c r="AA259" s="692">
        <v>9</v>
      </c>
      <c r="AB259" s="692">
        <v>41699</v>
      </c>
    </row>
    <row r="260" spans="1:28" s="459" customFormat="1">
      <c r="I260" s="691" t="s">
        <v>377</v>
      </c>
      <c r="J260" s="692">
        <v>34880</v>
      </c>
      <c r="K260" s="692">
        <v>673</v>
      </c>
      <c r="L260" s="692">
        <v>19285</v>
      </c>
      <c r="M260" s="693"/>
      <c r="N260" s="692">
        <v>6035</v>
      </c>
      <c r="O260" s="692">
        <v>140</v>
      </c>
      <c r="P260" s="692">
        <v>23257</v>
      </c>
      <c r="Q260" s="693"/>
      <c r="R260" s="692">
        <v>513</v>
      </c>
      <c r="S260" s="692">
        <v>1</v>
      </c>
      <c r="T260" s="692">
        <v>2710</v>
      </c>
      <c r="U260" s="693"/>
      <c r="V260" s="692">
        <v>3011</v>
      </c>
      <c r="W260" s="692">
        <v>49</v>
      </c>
      <c r="X260" s="692">
        <v>16425</v>
      </c>
      <c r="Y260" s="693"/>
      <c r="Z260" s="692">
        <v>228</v>
      </c>
      <c r="AA260" s="692">
        <v>9</v>
      </c>
      <c r="AB260" s="692">
        <v>41149</v>
      </c>
    </row>
    <row r="261" spans="1:28" s="459" customFormat="1">
      <c r="I261" s="691" t="s">
        <v>392</v>
      </c>
      <c r="J261" s="692">
        <v>14548</v>
      </c>
      <c r="K261" s="692">
        <v>285</v>
      </c>
      <c r="L261" s="692">
        <v>19581</v>
      </c>
      <c r="M261" s="693"/>
      <c r="N261" s="692">
        <v>3403</v>
      </c>
      <c r="O261" s="692">
        <v>70</v>
      </c>
      <c r="P261" s="692">
        <v>20646</v>
      </c>
      <c r="Q261" s="693"/>
      <c r="R261" s="692">
        <v>160</v>
      </c>
      <c r="S261" s="692">
        <v>0</v>
      </c>
      <c r="T261" s="692">
        <v>2725</v>
      </c>
      <c r="U261" s="693"/>
      <c r="V261" s="692">
        <v>1007</v>
      </c>
      <c r="W261" s="692">
        <v>18</v>
      </c>
      <c r="X261" s="692">
        <v>18237</v>
      </c>
      <c r="Y261" s="693"/>
      <c r="Z261" s="692">
        <v>65</v>
      </c>
      <c r="AA261" s="692">
        <v>3</v>
      </c>
      <c r="AB261" s="692">
        <v>42878</v>
      </c>
    </row>
    <row r="262" spans="1:28" s="459" customFormat="1">
      <c r="I262" s="691" t="s">
        <v>388</v>
      </c>
      <c r="J262" s="692">
        <v>89182</v>
      </c>
      <c r="K262" s="692">
        <v>1580</v>
      </c>
      <c r="L262" s="692">
        <v>17715</v>
      </c>
      <c r="M262" s="693"/>
      <c r="N262" s="692">
        <v>13649</v>
      </c>
      <c r="O262" s="692">
        <v>322</v>
      </c>
      <c r="P262" s="692">
        <v>23592</v>
      </c>
      <c r="Q262" s="693"/>
      <c r="R262" s="692">
        <v>1489</v>
      </c>
      <c r="S262" s="692">
        <v>4</v>
      </c>
      <c r="T262" s="692">
        <v>2700</v>
      </c>
      <c r="U262" s="693"/>
      <c r="V262" s="692">
        <v>3915</v>
      </c>
      <c r="W262" s="692">
        <v>67</v>
      </c>
      <c r="X262" s="692">
        <v>17096</v>
      </c>
      <c r="Y262" s="693"/>
      <c r="Z262" s="692">
        <v>654</v>
      </c>
      <c r="AA262" s="692">
        <v>26</v>
      </c>
      <c r="AB262" s="692">
        <v>39988</v>
      </c>
    </row>
    <row r="263" spans="1:28" s="459" customFormat="1" ht="15.75">
      <c r="A263" s="401" t="s">
        <v>953</v>
      </c>
      <c r="B263" s="681"/>
      <c r="C263" s="681"/>
      <c r="D263" s="681"/>
      <c r="E263" s="681"/>
      <c r="F263" s="681"/>
      <c r="G263" s="681"/>
      <c r="I263" s="691" t="s">
        <v>378</v>
      </c>
      <c r="J263" s="692">
        <v>17299</v>
      </c>
      <c r="K263" s="692">
        <v>341</v>
      </c>
      <c r="L263" s="692">
        <v>19691</v>
      </c>
      <c r="M263" s="693"/>
      <c r="N263" s="692">
        <v>3939</v>
      </c>
      <c r="O263" s="692">
        <v>88</v>
      </c>
      <c r="P263" s="692">
        <v>22266</v>
      </c>
      <c r="Q263" s="693"/>
      <c r="R263" s="692">
        <v>213</v>
      </c>
      <c r="S263" s="692">
        <v>1</v>
      </c>
      <c r="T263" s="692">
        <v>2669</v>
      </c>
      <c r="U263" s="693"/>
      <c r="V263" s="692">
        <v>1329</v>
      </c>
      <c r="W263" s="692">
        <v>23</v>
      </c>
      <c r="X263" s="692">
        <v>17369</v>
      </c>
      <c r="Y263" s="693"/>
      <c r="Z263" s="692">
        <v>88</v>
      </c>
      <c r="AA263" s="692">
        <v>4</v>
      </c>
      <c r="AB263" s="692">
        <v>45372</v>
      </c>
    </row>
    <row r="264" spans="1:28" s="459" customFormat="1">
      <c r="A264" s="132" t="s">
        <v>917</v>
      </c>
      <c r="B264" s="132" t="s">
        <v>927</v>
      </c>
      <c r="C264" s="132" t="s">
        <v>928</v>
      </c>
      <c r="D264" s="132" t="s">
        <v>929</v>
      </c>
      <c r="E264" s="132" t="s">
        <v>930</v>
      </c>
      <c r="F264" s="132" t="s">
        <v>931</v>
      </c>
      <c r="G264" s="132" t="s">
        <v>1</v>
      </c>
      <c r="I264" s="691" t="s">
        <v>379</v>
      </c>
      <c r="J264" s="692">
        <v>51526</v>
      </c>
      <c r="K264" s="692">
        <v>902</v>
      </c>
      <c r="L264" s="692">
        <v>17505</v>
      </c>
      <c r="M264" s="693"/>
      <c r="N264" s="692">
        <v>8143</v>
      </c>
      <c r="O264" s="692">
        <v>188</v>
      </c>
      <c r="P264" s="692">
        <v>23094</v>
      </c>
      <c r="Q264" s="693"/>
      <c r="R264" s="692">
        <v>855</v>
      </c>
      <c r="S264" s="692">
        <v>2</v>
      </c>
      <c r="T264" s="692">
        <v>2758</v>
      </c>
      <c r="U264" s="693"/>
      <c r="V264" s="692">
        <v>1202</v>
      </c>
      <c r="W264" s="692">
        <v>21</v>
      </c>
      <c r="X264" s="692">
        <v>17116</v>
      </c>
      <c r="Y264" s="693"/>
      <c r="Z264" s="692">
        <v>580</v>
      </c>
      <c r="AA264" s="692">
        <v>24</v>
      </c>
      <c r="AB264" s="692">
        <v>42174</v>
      </c>
    </row>
    <row r="265" spans="1:28" s="459" customFormat="1">
      <c r="A265" s="459" t="s">
        <v>920</v>
      </c>
      <c r="B265" s="685">
        <v>51.5</v>
      </c>
      <c r="C265" s="685">
        <v>66.099999999999994</v>
      </c>
      <c r="D265" s="685">
        <v>70.5</v>
      </c>
      <c r="E265" s="685">
        <v>70.599999999999994</v>
      </c>
      <c r="F265" s="685">
        <v>71.900000000000006</v>
      </c>
      <c r="G265" s="685">
        <v>64.900000000000006</v>
      </c>
      <c r="I265" s="691" t="s">
        <v>393</v>
      </c>
      <c r="J265" s="692">
        <v>60960</v>
      </c>
      <c r="K265" s="692">
        <v>1136</v>
      </c>
      <c r="L265" s="692">
        <v>18636</v>
      </c>
      <c r="M265" s="693"/>
      <c r="N265" s="692">
        <v>13362</v>
      </c>
      <c r="O265" s="692">
        <v>271</v>
      </c>
      <c r="P265" s="692">
        <v>20262</v>
      </c>
      <c r="Q265" s="693"/>
      <c r="R265" s="692">
        <v>605</v>
      </c>
      <c r="S265" s="692">
        <v>2</v>
      </c>
      <c r="T265" s="692">
        <v>2718</v>
      </c>
      <c r="U265" s="693"/>
      <c r="V265" s="692">
        <v>5011</v>
      </c>
      <c r="W265" s="692">
        <v>87</v>
      </c>
      <c r="X265" s="692">
        <v>17458</v>
      </c>
      <c r="Y265" s="693"/>
      <c r="Z265" s="692">
        <v>293</v>
      </c>
      <c r="AA265" s="692">
        <v>11</v>
      </c>
      <c r="AB265" s="692">
        <v>38084</v>
      </c>
    </row>
    <row r="266" spans="1:28" s="459" customFormat="1">
      <c r="A266" s="459" t="s">
        <v>921</v>
      </c>
      <c r="B266" s="685">
        <v>5.4</v>
      </c>
      <c r="C266" s="685">
        <v>6.5</v>
      </c>
      <c r="D266" s="685">
        <v>8.5</v>
      </c>
      <c r="E266" s="685">
        <v>7</v>
      </c>
      <c r="F266" s="685">
        <v>12.7</v>
      </c>
      <c r="G266" s="685">
        <v>8.8000000000000007</v>
      </c>
      <c r="I266" s="691" t="s">
        <v>380</v>
      </c>
      <c r="J266" s="692">
        <v>88359</v>
      </c>
      <c r="K266" s="692">
        <v>1612</v>
      </c>
      <c r="L266" s="692">
        <v>18249</v>
      </c>
      <c r="M266" s="693"/>
      <c r="N266" s="692">
        <v>14783</v>
      </c>
      <c r="O266" s="692">
        <v>357</v>
      </c>
      <c r="P266" s="692">
        <v>24156</v>
      </c>
      <c r="Q266" s="693"/>
      <c r="R266" s="692">
        <v>1684</v>
      </c>
      <c r="S266" s="692">
        <v>5</v>
      </c>
      <c r="T266" s="692">
        <v>2722</v>
      </c>
      <c r="U266" s="693"/>
      <c r="V266" s="692">
        <v>3068</v>
      </c>
      <c r="W266" s="692">
        <v>53</v>
      </c>
      <c r="X266" s="692">
        <v>17195</v>
      </c>
      <c r="Y266" s="693"/>
      <c r="Z266" s="692">
        <v>978</v>
      </c>
      <c r="AA266" s="692">
        <v>42</v>
      </c>
      <c r="AB266" s="692">
        <v>43398</v>
      </c>
    </row>
    <row r="267" spans="1:28" s="459" customFormat="1">
      <c r="A267" s="459" t="s">
        <v>361</v>
      </c>
      <c r="B267" s="685">
        <v>36.1</v>
      </c>
      <c r="C267" s="685">
        <v>12.6</v>
      </c>
      <c r="D267" s="685">
        <v>5.5</v>
      </c>
      <c r="E267" s="685">
        <v>4.9000000000000004</v>
      </c>
      <c r="F267" s="685">
        <v>0.7</v>
      </c>
      <c r="G267" s="685">
        <v>13.5</v>
      </c>
      <c r="I267" s="691" t="s">
        <v>398</v>
      </c>
      <c r="J267" s="692">
        <v>25718</v>
      </c>
      <c r="K267" s="692">
        <v>492</v>
      </c>
      <c r="L267" s="692">
        <v>19132</v>
      </c>
      <c r="M267" s="693"/>
      <c r="N267" s="692">
        <v>7968</v>
      </c>
      <c r="O267" s="692">
        <v>199</v>
      </c>
      <c r="P267" s="692">
        <v>25034</v>
      </c>
      <c r="Q267" s="693"/>
      <c r="R267" s="692">
        <v>301</v>
      </c>
      <c r="S267" s="692">
        <v>1</v>
      </c>
      <c r="T267" s="692">
        <v>2780</v>
      </c>
      <c r="U267" s="693"/>
      <c r="V267" s="692">
        <v>1890</v>
      </c>
      <c r="W267" s="692">
        <v>34</v>
      </c>
      <c r="X267" s="692">
        <v>18227</v>
      </c>
      <c r="Y267" s="693"/>
      <c r="Z267" s="692">
        <v>79</v>
      </c>
      <c r="AA267" s="692">
        <v>3</v>
      </c>
      <c r="AB267" s="692">
        <v>41055</v>
      </c>
    </row>
    <row r="268" spans="1:28" s="459" customFormat="1">
      <c r="A268" s="459" t="s">
        <v>922</v>
      </c>
      <c r="B268" s="685">
        <v>1.7</v>
      </c>
      <c r="C268" s="685">
        <v>8.1</v>
      </c>
      <c r="D268" s="685">
        <v>6.7</v>
      </c>
      <c r="E268" s="685">
        <v>7.8</v>
      </c>
      <c r="F268" s="685">
        <v>4.7</v>
      </c>
      <c r="G268" s="685">
        <v>4.8</v>
      </c>
      <c r="I268" s="691" t="s">
        <v>381</v>
      </c>
      <c r="J268" s="692">
        <v>34485</v>
      </c>
      <c r="K268" s="692">
        <v>660</v>
      </c>
      <c r="L268" s="692">
        <v>19141</v>
      </c>
      <c r="M268" s="693"/>
      <c r="N268" s="692">
        <v>6525</v>
      </c>
      <c r="O268" s="692">
        <v>139</v>
      </c>
      <c r="P268" s="692">
        <v>21360</v>
      </c>
      <c r="Q268" s="693"/>
      <c r="R268" s="692">
        <v>669</v>
      </c>
      <c r="S268" s="692">
        <v>2</v>
      </c>
      <c r="T268" s="692">
        <v>2656</v>
      </c>
      <c r="U268" s="693"/>
      <c r="V268" s="692">
        <v>2620</v>
      </c>
      <c r="W268" s="692">
        <v>47</v>
      </c>
      <c r="X268" s="692">
        <v>17800</v>
      </c>
      <c r="Y268" s="693"/>
      <c r="Z268" s="692">
        <v>167</v>
      </c>
      <c r="AA268" s="692">
        <v>6</v>
      </c>
      <c r="AB268" s="692">
        <v>37758</v>
      </c>
    </row>
    <row r="269" spans="1:28" s="459" customFormat="1">
      <c r="A269" s="459" t="s">
        <v>408</v>
      </c>
      <c r="B269" s="685">
        <v>2</v>
      </c>
      <c r="C269" s="685">
        <v>2.2999999999999998</v>
      </c>
      <c r="D269" s="685">
        <v>1.6</v>
      </c>
      <c r="E269" s="685">
        <v>2.2999999999999998</v>
      </c>
      <c r="F269" s="685">
        <v>0.7</v>
      </c>
      <c r="G269" s="685">
        <v>1.5</v>
      </c>
      <c r="I269" s="691" t="s">
        <v>394</v>
      </c>
      <c r="J269" s="692">
        <v>32566</v>
      </c>
      <c r="K269" s="692">
        <v>661</v>
      </c>
      <c r="L269" s="692">
        <v>20301</v>
      </c>
      <c r="M269" s="693"/>
      <c r="N269" s="692">
        <v>6384</v>
      </c>
      <c r="O269" s="692">
        <v>138</v>
      </c>
      <c r="P269" s="692">
        <v>21565</v>
      </c>
      <c r="Q269" s="693"/>
      <c r="R269" s="692">
        <v>295</v>
      </c>
      <c r="S269" s="692">
        <v>1</v>
      </c>
      <c r="T269" s="692">
        <v>2729</v>
      </c>
      <c r="U269" s="693"/>
      <c r="V269" s="692">
        <v>2509</v>
      </c>
      <c r="W269" s="692">
        <v>45</v>
      </c>
      <c r="X269" s="692">
        <v>18122</v>
      </c>
      <c r="Y269" s="693"/>
      <c r="Z269" s="692">
        <v>132</v>
      </c>
      <c r="AA269" s="692">
        <v>5</v>
      </c>
      <c r="AB269" s="692">
        <v>38818</v>
      </c>
    </row>
    <row r="270" spans="1:28" s="459" customFormat="1">
      <c r="A270" s="459" t="s">
        <v>923</v>
      </c>
      <c r="B270" s="685">
        <v>0.2</v>
      </c>
      <c r="C270" s="685">
        <v>1.2</v>
      </c>
      <c r="D270" s="685">
        <v>2.1</v>
      </c>
      <c r="E270" s="685">
        <v>3.3</v>
      </c>
      <c r="F270" s="685">
        <v>2.9</v>
      </c>
      <c r="G270" s="685">
        <v>1.8</v>
      </c>
      <c r="I270" s="691" t="s">
        <v>395</v>
      </c>
      <c r="J270" s="692">
        <v>29107</v>
      </c>
      <c r="K270" s="692">
        <v>525</v>
      </c>
      <c r="L270" s="692">
        <v>18042</v>
      </c>
      <c r="M270" s="693"/>
      <c r="N270" s="692">
        <v>6045</v>
      </c>
      <c r="O270" s="692">
        <v>121</v>
      </c>
      <c r="P270" s="692">
        <v>20073</v>
      </c>
      <c r="Q270" s="693"/>
      <c r="R270" s="692">
        <v>400</v>
      </c>
      <c r="S270" s="692">
        <v>1</v>
      </c>
      <c r="T270" s="692">
        <v>2648</v>
      </c>
      <c r="U270" s="693"/>
      <c r="V270" s="692">
        <v>1706</v>
      </c>
      <c r="W270" s="692">
        <v>30</v>
      </c>
      <c r="X270" s="692">
        <v>17755</v>
      </c>
      <c r="Y270" s="693"/>
      <c r="Z270" s="692">
        <v>169</v>
      </c>
      <c r="AA270" s="692">
        <v>7</v>
      </c>
      <c r="AB270" s="692">
        <v>39241</v>
      </c>
    </row>
    <row r="271" spans="1:28" s="459" customFormat="1">
      <c r="A271" s="459" t="s">
        <v>932</v>
      </c>
      <c r="B271" s="685">
        <v>0</v>
      </c>
      <c r="C271" s="685">
        <v>0.1</v>
      </c>
      <c r="D271" s="685">
        <v>0.4</v>
      </c>
      <c r="E271" s="685">
        <v>0.8</v>
      </c>
      <c r="F271" s="685">
        <v>1.6</v>
      </c>
      <c r="G271" s="685">
        <v>0.7</v>
      </c>
      <c r="I271" s="691" t="s">
        <v>945</v>
      </c>
      <c r="J271" s="692">
        <v>79392</v>
      </c>
      <c r="K271" s="692">
        <v>1513</v>
      </c>
      <c r="L271" s="692">
        <v>19060</v>
      </c>
      <c r="M271" s="693"/>
      <c r="N271" s="692">
        <v>13961</v>
      </c>
      <c r="O271" s="692">
        <v>302</v>
      </c>
      <c r="P271" s="692">
        <v>21661</v>
      </c>
      <c r="Q271" s="693"/>
      <c r="R271" s="692">
        <v>1412</v>
      </c>
      <c r="S271" s="692">
        <v>4</v>
      </c>
      <c r="T271" s="692">
        <v>2694</v>
      </c>
      <c r="U271" s="693"/>
      <c r="V271" s="692">
        <v>5782</v>
      </c>
      <c r="W271" s="692">
        <v>101</v>
      </c>
      <c r="X271" s="692">
        <v>17386</v>
      </c>
      <c r="Y271" s="693"/>
      <c r="Z271" s="692">
        <v>256</v>
      </c>
      <c r="AA271" s="692">
        <v>10</v>
      </c>
      <c r="AB271" s="692">
        <v>39967</v>
      </c>
    </row>
    <row r="272" spans="1:28" s="459" customFormat="1">
      <c r="A272" s="459" t="s">
        <v>933</v>
      </c>
      <c r="B272" s="685">
        <v>0.2</v>
      </c>
      <c r="C272" s="685">
        <v>1.1000000000000001</v>
      </c>
      <c r="D272" s="685">
        <v>1.7</v>
      </c>
      <c r="E272" s="685">
        <v>2.5</v>
      </c>
      <c r="F272" s="685">
        <v>1.3</v>
      </c>
      <c r="G272" s="685">
        <v>1.1000000000000001</v>
      </c>
      <c r="I272" s="691" t="s">
        <v>390</v>
      </c>
      <c r="J272" s="692">
        <v>57594</v>
      </c>
      <c r="K272" s="692">
        <v>984</v>
      </c>
      <c r="L272" s="692">
        <v>17082</v>
      </c>
      <c r="M272" s="693"/>
      <c r="N272" s="692">
        <v>8161</v>
      </c>
      <c r="O272" s="692">
        <v>163</v>
      </c>
      <c r="P272" s="692">
        <v>19962</v>
      </c>
      <c r="Q272" s="693"/>
      <c r="R272" s="692">
        <v>1293</v>
      </c>
      <c r="S272" s="692">
        <v>3</v>
      </c>
      <c r="T272" s="692">
        <v>2648</v>
      </c>
      <c r="U272" s="693"/>
      <c r="V272" s="692">
        <v>2474</v>
      </c>
      <c r="W272" s="692">
        <v>42</v>
      </c>
      <c r="X272" s="692">
        <v>16991</v>
      </c>
      <c r="Y272" s="693"/>
      <c r="Z272" s="692">
        <v>308</v>
      </c>
      <c r="AA272" s="692">
        <v>12</v>
      </c>
      <c r="AB272" s="692">
        <v>38377</v>
      </c>
    </row>
    <row r="273" spans="1:28" s="459" customFormat="1">
      <c r="A273" s="459" t="s">
        <v>924</v>
      </c>
      <c r="B273" s="685">
        <v>0.8</v>
      </c>
      <c r="C273" s="685">
        <v>1.7</v>
      </c>
      <c r="D273" s="685">
        <v>1.4</v>
      </c>
      <c r="E273" s="685">
        <v>1.4</v>
      </c>
      <c r="F273" s="685">
        <v>0.5</v>
      </c>
      <c r="G273" s="685">
        <v>0.9</v>
      </c>
      <c r="I273" s="691" t="s">
        <v>382</v>
      </c>
      <c r="J273" s="692">
        <v>41252</v>
      </c>
      <c r="K273" s="692">
        <v>786</v>
      </c>
      <c r="L273" s="692">
        <v>19053</v>
      </c>
      <c r="M273" s="693"/>
      <c r="N273" s="692">
        <v>8110</v>
      </c>
      <c r="O273" s="692">
        <v>174</v>
      </c>
      <c r="P273" s="692">
        <v>21429</v>
      </c>
      <c r="Q273" s="693"/>
      <c r="R273" s="692">
        <v>604</v>
      </c>
      <c r="S273" s="692">
        <v>2</v>
      </c>
      <c r="T273" s="692">
        <v>2706</v>
      </c>
      <c r="U273" s="693"/>
      <c r="V273" s="692">
        <v>2353</v>
      </c>
      <c r="W273" s="692">
        <v>41</v>
      </c>
      <c r="X273" s="692">
        <v>17421</v>
      </c>
      <c r="Y273" s="693"/>
      <c r="Z273" s="692">
        <v>280</v>
      </c>
      <c r="AA273" s="692">
        <v>12</v>
      </c>
      <c r="AB273" s="692">
        <v>42203</v>
      </c>
    </row>
    <row r="274" spans="1:28" s="459" customFormat="1">
      <c r="A274" s="459" t="s">
        <v>934</v>
      </c>
      <c r="B274" s="685">
        <v>2.4</v>
      </c>
      <c r="C274" s="685">
        <v>1.6</v>
      </c>
      <c r="D274" s="685">
        <v>3.5</v>
      </c>
      <c r="E274" s="685">
        <v>2.7</v>
      </c>
      <c r="F274" s="685">
        <v>6</v>
      </c>
      <c r="G274" s="685">
        <v>3.7</v>
      </c>
      <c r="I274" s="691" t="s">
        <v>383</v>
      </c>
      <c r="J274" s="692">
        <v>75184</v>
      </c>
      <c r="K274" s="692">
        <v>1384</v>
      </c>
      <c r="L274" s="692">
        <v>18409</v>
      </c>
      <c r="M274" s="693"/>
      <c r="N274" s="692">
        <v>13989</v>
      </c>
      <c r="O274" s="692">
        <v>334</v>
      </c>
      <c r="P274" s="692">
        <v>23897</v>
      </c>
      <c r="Q274" s="693"/>
      <c r="R274" s="692">
        <v>1506</v>
      </c>
      <c r="S274" s="692">
        <v>4</v>
      </c>
      <c r="T274" s="692">
        <v>2657</v>
      </c>
      <c r="U274" s="693"/>
      <c r="V274" s="692">
        <v>4572</v>
      </c>
      <c r="W274" s="692">
        <v>78</v>
      </c>
      <c r="X274" s="692">
        <v>17114</v>
      </c>
      <c r="Y274" s="693"/>
      <c r="Z274" s="692">
        <v>270</v>
      </c>
      <c r="AA274" s="692">
        <v>10</v>
      </c>
      <c r="AB274" s="692">
        <v>38521</v>
      </c>
    </row>
    <row r="275" spans="1:28" s="459" customFormat="1">
      <c r="A275" s="459" t="s">
        <v>935</v>
      </c>
      <c r="B275" s="685">
        <v>0.1</v>
      </c>
      <c r="C275" s="685">
        <v>0.1</v>
      </c>
      <c r="D275" s="685">
        <v>0.1</v>
      </c>
      <c r="E275" s="685">
        <v>0</v>
      </c>
      <c r="F275" s="685">
        <v>0.5</v>
      </c>
      <c r="G275" s="685">
        <v>0.2</v>
      </c>
      <c r="I275" s="691" t="s">
        <v>384</v>
      </c>
      <c r="J275" s="692">
        <v>68616</v>
      </c>
      <c r="K275" s="692">
        <v>1160</v>
      </c>
      <c r="L275" s="692">
        <v>16906</v>
      </c>
      <c r="M275" s="693"/>
      <c r="N275" s="692">
        <v>9437</v>
      </c>
      <c r="O275" s="692">
        <v>200</v>
      </c>
      <c r="P275" s="692">
        <v>21192</v>
      </c>
      <c r="Q275" s="693"/>
      <c r="R275" s="692">
        <v>1554</v>
      </c>
      <c r="S275" s="692">
        <v>4</v>
      </c>
      <c r="T275" s="692">
        <v>2720</v>
      </c>
      <c r="U275" s="693"/>
      <c r="V275" s="692">
        <v>1917</v>
      </c>
      <c r="W275" s="692">
        <v>32</v>
      </c>
      <c r="X275" s="692">
        <v>16560</v>
      </c>
      <c r="Y275" s="693"/>
      <c r="Z275" s="692">
        <v>358</v>
      </c>
      <c r="AA275" s="692">
        <v>14</v>
      </c>
      <c r="AB275" s="692">
        <v>38367</v>
      </c>
    </row>
    <row r="276" spans="1:28" s="459" customFormat="1">
      <c r="A276" s="459" t="s">
        <v>936</v>
      </c>
      <c r="B276" s="685">
        <v>1.3</v>
      </c>
      <c r="C276" s="685">
        <v>1</v>
      </c>
      <c r="D276" s="685">
        <v>3.1</v>
      </c>
      <c r="E276" s="685">
        <v>2.1</v>
      </c>
      <c r="F276" s="685">
        <v>4.8</v>
      </c>
      <c r="G276" s="685">
        <v>2.8</v>
      </c>
      <c r="I276" s="694" t="s">
        <v>1</v>
      </c>
      <c r="J276" s="695">
        <v>2117463</v>
      </c>
      <c r="K276" s="695">
        <v>35975</v>
      </c>
      <c r="L276" s="695">
        <v>16990</v>
      </c>
      <c r="M276" s="695"/>
      <c r="N276" s="695">
        <v>354458</v>
      </c>
      <c r="O276" s="695">
        <v>7891</v>
      </c>
      <c r="P276" s="695">
        <v>22263</v>
      </c>
      <c r="Q276" s="695"/>
      <c r="R276" s="695">
        <v>39851</v>
      </c>
      <c r="S276" s="695">
        <v>109</v>
      </c>
      <c r="T276" s="695">
        <v>2731</v>
      </c>
      <c r="U276" s="695"/>
      <c r="V276" s="695">
        <v>85820</v>
      </c>
      <c r="W276" s="695">
        <v>1485</v>
      </c>
      <c r="X276" s="695">
        <v>17300</v>
      </c>
      <c r="Y276" s="695"/>
      <c r="Z276" s="695">
        <v>21319</v>
      </c>
      <c r="AA276" s="695">
        <v>842</v>
      </c>
      <c r="AB276" s="695">
        <v>39501</v>
      </c>
    </row>
    <row r="277" spans="1:28" s="459" customFormat="1">
      <c r="A277" s="459" t="s">
        <v>937</v>
      </c>
      <c r="B277" s="685">
        <v>1</v>
      </c>
      <c r="C277" s="685">
        <v>0.4</v>
      </c>
      <c r="D277" s="685">
        <v>0.3</v>
      </c>
      <c r="E277" s="685">
        <v>0.6</v>
      </c>
      <c r="F277" s="685">
        <v>0.7</v>
      </c>
      <c r="G277" s="685">
        <v>0.7</v>
      </c>
      <c r="I277" s="691" t="s">
        <v>950</v>
      </c>
    </row>
    <row r="278" spans="1:28" s="459" customFormat="1">
      <c r="A278" s="136" t="s">
        <v>926</v>
      </c>
      <c r="B278" s="686">
        <v>100</v>
      </c>
      <c r="C278" s="686">
        <v>100</v>
      </c>
      <c r="D278" s="686">
        <v>100</v>
      </c>
      <c r="E278" s="686">
        <v>100</v>
      </c>
      <c r="F278" s="686">
        <v>100</v>
      </c>
      <c r="G278" s="686">
        <v>100</v>
      </c>
    </row>
    <row r="279" spans="1:28" s="459" customFormat="1">
      <c r="A279" s="682" t="s">
        <v>938</v>
      </c>
    </row>
    <row r="280" spans="1:28" s="459" customFormat="1"/>
    <row r="281" spans="1:28" s="459" customFormat="1"/>
    <row r="282" spans="1:28" s="459" customFormat="1">
      <c r="F282" s="6"/>
    </row>
    <row r="283" spans="1:28" s="459" customFormat="1">
      <c r="A283" s="459" t="s">
        <v>957</v>
      </c>
      <c r="F283" s="6"/>
    </row>
    <row r="284" spans="1:28" s="459" customFormat="1">
      <c r="A284" s="132" t="s">
        <v>946</v>
      </c>
      <c r="B284" s="130" t="s">
        <v>951</v>
      </c>
      <c r="C284" s="130" t="s">
        <v>952</v>
      </c>
      <c r="D284" s="130" t="s">
        <v>947</v>
      </c>
      <c r="E284" s="130" t="s">
        <v>958</v>
      </c>
      <c r="F284" s="130" t="s">
        <v>533</v>
      </c>
    </row>
    <row r="285" spans="1:28" s="459" customFormat="1">
      <c r="A285" s="459" t="s">
        <v>948</v>
      </c>
      <c r="B285" s="39">
        <v>4</v>
      </c>
      <c r="C285" s="579">
        <f>B235</f>
        <v>0.5</v>
      </c>
      <c r="D285" s="698">
        <f>B285/$B$288</f>
        <v>0.27889325272494597</v>
      </c>
      <c r="E285" s="396">
        <f>$E$288*C285*D285</f>
        <v>7485.229753311015</v>
      </c>
      <c r="F285" s="579">
        <f>E285/$E$288</f>
        <v>0.13944662636247299</v>
      </c>
    </row>
    <row r="286" spans="1:28" s="459" customFormat="1">
      <c r="A286" s="459" t="s">
        <v>956</v>
      </c>
      <c r="B286" s="39">
        <v>17</v>
      </c>
      <c r="C286" s="579">
        <f>C235</f>
        <v>0.41</v>
      </c>
      <c r="D286" s="698">
        <f>B286/$B$288</f>
        <v>1.1852963240810204</v>
      </c>
      <c r="E286" s="396">
        <f>$E$288*C286*D286</f>
        <v>26086.025690288883</v>
      </c>
      <c r="F286" s="579">
        <f>E286/$E$288</f>
        <v>0.48597149287321834</v>
      </c>
      <c r="I286" s="135"/>
    </row>
    <row r="287" spans="1:28" s="459" customFormat="1">
      <c r="A287" s="459" t="s">
        <v>955</v>
      </c>
      <c r="B287" s="578">
        <f>((B288-(B285*C285)-(B286*C286)))/C287</f>
        <v>59.693389592123772</v>
      </c>
      <c r="C287" s="579">
        <f>D235</f>
        <v>0.09</v>
      </c>
      <c r="D287" s="698">
        <f>B287/$B$288</f>
        <v>4.1620208973812085</v>
      </c>
      <c r="E287" s="396">
        <f>$E$288*C287*D287</f>
        <v>20106.843113292791</v>
      </c>
      <c r="F287" s="579">
        <f>E287/$E$288</f>
        <v>0.37458188076430876</v>
      </c>
    </row>
    <row r="288" spans="1:28" s="459" customFormat="1">
      <c r="A288" s="136" t="s">
        <v>1</v>
      </c>
      <c r="B288" s="696">
        <f>(B250*D265/(SUM(D265:D266)))+(B251*D266/(SUM(D265:D266)))</f>
        <v>14.342405063291139</v>
      </c>
      <c r="C288" s="523" t="s">
        <v>17</v>
      </c>
      <c r="D288" s="697" t="s">
        <v>17</v>
      </c>
      <c r="E288" s="699">
        <f>C143</f>
        <v>53678.098556892684</v>
      </c>
      <c r="F288" s="699">
        <f>SUM(F285:F287)</f>
        <v>1</v>
      </c>
      <c r="I288" s="35"/>
    </row>
    <row r="289" spans="1:6" s="459" customFormat="1">
      <c r="A289" s="459" t="s">
        <v>963</v>
      </c>
    </row>
    <row r="290" spans="1:6" s="459" customFormat="1"/>
    <row r="291" spans="1:6" s="459" customFormat="1"/>
    <row r="292" spans="1:6" s="459" customFormat="1"/>
    <row r="293" spans="1:6" s="459" customFormat="1">
      <c r="A293" s="459" t="s">
        <v>961</v>
      </c>
      <c r="F293" s="6"/>
    </row>
    <row r="294" spans="1:6" s="459" customFormat="1">
      <c r="A294" s="132" t="s">
        <v>946</v>
      </c>
      <c r="B294" s="130" t="s">
        <v>951</v>
      </c>
      <c r="C294" s="130" t="s">
        <v>952</v>
      </c>
      <c r="D294" s="130" t="s">
        <v>947</v>
      </c>
      <c r="E294" s="130" t="s">
        <v>958</v>
      </c>
      <c r="F294" s="130" t="s">
        <v>533</v>
      </c>
    </row>
    <row r="295" spans="1:6" s="459" customFormat="1">
      <c r="A295" s="459" t="s">
        <v>948</v>
      </c>
      <c r="B295" s="39">
        <v>4</v>
      </c>
      <c r="C295" s="579">
        <f>B235</f>
        <v>0.5</v>
      </c>
      <c r="D295" s="698">
        <f>B295/$B$298</f>
        <v>0.38095238095238093</v>
      </c>
      <c r="E295" s="578">
        <f>$E$298*C295*D295</f>
        <v>238.72184365296803</v>
      </c>
      <c r="F295" s="579">
        <f>E295/$E$298</f>
        <v>0.19047619047619047</v>
      </c>
    </row>
    <row r="296" spans="1:6" s="459" customFormat="1">
      <c r="A296" s="459" t="s">
        <v>956</v>
      </c>
      <c r="B296" s="39">
        <v>14</v>
      </c>
      <c r="C296" s="579">
        <f>C235</f>
        <v>0.41</v>
      </c>
      <c r="D296" s="698">
        <f>B296/$B$298</f>
        <v>1.3333333333333333</v>
      </c>
      <c r="E296" s="578">
        <f>$E$298*C296*D296</f>
        <v>685.13169128401819</v>
      </c>
      <c r="F296" s="579">
        <f>E296/$E$298</f>
        <v>0.54666666666666663</v>
      </c>
    </row>
    <row r="297" spans="1:6" s="459" customFormat="1">
      <c r="A297" s="459" t="s">
        <v>955</v>
      </c>
      <c r="B297" s="578">
        <f>((B298-(B295*C295)-(B296*C296)))/C297</f>
        <v>30.666666666666675</v>
      </c>
      <c r="C297" s="579">
        <f>D235</f>
        <v>0.09</v>
      </c>
      <c r="D297" s="698">
        <f>B297/$B$298</f>
        <v>2.9206349206349214</v>
      </c>
      <c r="E297" s="578">
        <f>$E$298*C297*D297</f>
        <v>329.43614424109597</v>
      </c>
      <c r="F297" s="579">
        <f>E297/$E$298</f>
        <v>0.2628571428571429</v>
      </c>
    </row>
    <row r="298" spans="1:6" s="459" customFormat="1">
      <c r="A298" s="136" t="s">
        <v>1</v>
      </c>
      <c r="B298" s="696">
        <f>B256</f>
        <v>10.5</v>
      </c>
      <c r="C298" s="523" t="s">
        <v>17</v>
      </c>
      <c r="D298" s="697" t="s">
        <v>17</v>
      </c>
      <c r="E298" s="699">
        <f>C147</f>
        <v>1253.2896791780822</v>
      </c>
      <c r="F298" s="699">
        <f>SUM(F295:F297)</f>
        <v>1</v>
      </c>
    </row>
    <row r="299" spans="1:6" s="459" customFormat="1">
      <c r="A299" s="700"/>
      <c r="B299" s="701"/>
      <c r="C299" s="702"/>
      <c r="D299" s="703"/>
      <c r="E299" s="704"/>
      <c r="F299" s="704"/>
    </row>
    <row r="300" spans="1:6" s="459" customFormat="1">
      <c r="A300" s="700"/>
      <c r="B300" s="701"/>
      <c r="C300" s="702"/>
      <c r="D300" s="703"/>
      <c r="E300" s="704"/>
      <c r="F300" s="704"/>
    </row>
    <row r="301" spans="1:6" s="459" customFormat="1">
      <c r="A301" s="700"/>
      <c r="B301" s="701"/>
      <c r="C301" s="702"/>
      <c r="D301" s="703"/>
      <c r="E301" s="704"/>
      <c r="F301" s="704"/>
    </row>
    <row r="302" spans="1:6" s="459" customFormat="1">
      <c r="A302" s="459" t="s">
        <v>967</v>
      </c>
      <c r="F302" s="6"/>
    </row>
    <row r="303" spans="1:6" s="459" customFormat="1">
      <c r="A303" s="132" t="s">
        <v>946</v>
      </c>
      <c r="B303" s="130" t="s">
        <v>951</v>
      </c>
      <c r="C303" s="130" t="s">
        <v>952</v>
      </c>
      <c r="D303" s="130" t="s">
        <v>947</v>
      </c>
      <c r="E303" s="130" t="s">
        <v>958</v>
      </c>
      <c r="F303" s="130" t="s">
        <v>533</v>
      </c>
    </row>
    <row r="304" spans="1:6" s="459" customFormat="1">
      <c r="A304" s="459" t="s">
        <v>948</v>
      </c>
      <c r="B304" s="39">
        <v>4</v>
      </c>
      <c r="C304" s="579">
        <f>B235</f>
        <v>0.5</v>
      </c>
      <c r="D304" s="698">
        <f>B304/$B$307</f>
        <v>0.24539877300613497</v>
      </c>
      <c r="E304" s="578">
        <f>$E$307*C304*D304</f>
        <v>1204.4243616479548</v>
      </c>
      <c r="F304" s="579">
        <f>E304/$E$307</f>
        <v>0.12269938650306748</v>
      </c>
    </row>
    <row r="305" spans="1:29" s="459" customFormat="1">
      <c r="A305" s="459" t="s">
        <v>956</v>
      </c>
      <c r="B305" s="39">
        <v>17</v>
      </c>
      <c r="C305" s="579">
        <f>C235</f>
        <v>0.41</v>
      </c>
      <c r="D305" s="698">
        <f>B305/$B$307</f>
        <v>1.0429447852760736</v>
      </c>
      <c r="E305" s="578">
        <f>$E$307*C305*D305</f>
        <v>4197.418900343122</v>
      </c>
      <c r="F305" s="579">
        <f>E305/$E$307</f>
        <v>0.4276073619631901</v>
      </c>
    </row>
    <row r="306" spans="1:29" s="459" customFormat="1">
      <c r="A306" s="459" t="s">
        <v>955</v>
      </c>
      <c r="B306" s="578">
        <f>((B307-(B304*C304)-(B305*C305)))/C306</f>
        <v>81.444444444444457</v>
      </c>
      <c r="C306" s="579">
        <f>D235</f>
        <v>0.09</v>
      </c>
      <c r="D306" s="698">
        <f>B306/$B$307</f>
        <v>4.9965916837082487</v>
      </c>
      <c r="E306" s="578">
        <f>$E$307*C306*D306</f>
        <v>4414.2152854397546</v>
      </c>
      <c r="F306" s="579">
        <f>E306/$E$307</f>
        <v>0.44969325153374234</v>
      </c>
    </row>
    <row r="307" spans="1:29" s="459" customFormat="1">
      <c r="A307" s="136" t="s">
        <v>1</v>
      </c>
      <c r="B307" s="696">
        <f>B253</f>
        <v>16.3</v>
      </c>
      <c r="C307" s="523" t="s">
        <v>17</v>
      </c>
      <c r="D307" s="697" t="s">
        <v>17</v>
      </c>
      <c r="E307" s="699">
        <f>C148</f>
        <v>9816.0585474308318</v>
      </c>
      <c r="F307" s="699">
        <f>SUM(F304:F306)</f>
        <v>1</v>
      </c>
    </row>
    <row r="308" spans="1:29" s="459" customFormat="1"/>
    <row r="309" spans="1:29" s="459" customFormat="1"/>
    <row r="310" spans="1:29" s="459" customFormat="1"/>
    <row r="311" spans="1:29" s="459" customFormat="1">
      <c r="A311" s="459" t="s">
        <v>962</v>
      </c>
      <c r="F311" s="6"/>
    </row>
    <row r="312" spans="1:29" s="459" customFormat="1">
      <c r="A312" s="132" t="s">
        <v>946</v>
      </c>
      <c r="B312" s="130" t="s">
        <v>951</v>
      </c>
      <c r="C312" s="130" t="s">
        <v>952</v>
      </c>
      <c r="D312" s="130" t="s">
        <v>947</v>
      </c>
      <c r="E312" s="130" t="s">
        <v>958</v>
      </c>
      <c r="F312" s="130" t="s">
        <v>533</v>
      </c>
    </row>
    <row r="313" spans="1:29" s="459" customFormat="1">
      <c r="A313" s="459" t="s">
        <v>948</v>
      </c>
      <c r="B313" s="39">
        <v>4</v>
      </c>
      <c r="C313" s="579">
        <f>C295</f>
        <v>0.5</v>
      </c>
      <c r="D313" s="698">
        <f>B313/$B$315</f>
        <v>0.29197080291970806</v>
      </c>
      <c r="E313" s="578">
        <f>$E$315*C313*D313</f>
        <v>17.503649635036499</v>
      </c>
      <c r="F313" s="579">
        <f>E313/$E$315</f>
        <v>0.14598540145985403</v>
      </c>
    </row>
    <row r="314" spans="1:29" s="459" customFormat="1">
      <c r="A314" s="459" t="s">
        <v>956</v>
      </c>
      <c r="B314" s="39">
        <f>(B315-(B313*C314))/C313</f>
        <v>23.4</v>
      </c>
      <c r="C314" s="579">
        <v>0.5</v>
      </c>
      <c r="D314" s="698">
        <f>B314/$B$315</f>
        <v>1.7080291970802919</v>
      </c>
      <c r="E314" s="578">
        <f>$E$315*C314*D314</f>
        <v>102.39635036496351</v>
      </c>
      <c r="F314" s="579">
        <f>E314/$E$315</f>
        <v>0.85401459854014605</v>
      </c>
    </row>
    <row r="315" spans="1:29" s="459" customFormat="1">
      <c r="A315" s="136" t="s">
        <v>1</v>
      </c>
      <c r="B315" s="696">
        <f>B257</f>
        <v>13.7</v>
      </c>
      <c r="C315" s="523" t="s">
        <v>17</v>
      </c>
      <c r="D315" s="697" t="s">
        <v>17</v>
      </c>
      <c r="E315" s="699">
        <f>C139</f>
        <v>119.9</v>
      </c>
      <c r="F315" s="699">
        <f>SUM(F313:F314)</f>
        <v>1</v>
      </c>
    </row>
    <row r="316" spans="1:29" s="459" customFormat="1">
      <c r="A316" s="700"/>
      <c r="B316" s="701"/>
      <c r="C316" s="702"/>
      <c r="D316" s="703"/>
      <c r="E316" s="704"/>
      <c r="F316" s="704"/>
    </row>
    <row r="317" spans="1:29" s="459" customFormat="1">
      <c r="A317" s="700"/>
      <c r="B317" s="701"/>
      <c r="C317" s="702"/>
      <c r="D317" s="703"/>
      <c r="E317" s="704"/>
      <c r="F317" s="704"/>
    </row>
    <row r="318" spans="1:29" s="459" customFormat="1">
      <c r="A318" s="700"/>
      <c r="B318" s="701"/>
      <c r="C318" s="702"/>
      <c r="D318" s="703"/>
      <c r="E318" s="704"/>
      <c r="F318" s="704"/>
    </row>
    <row r="319" spans="1:29" s="459" customFormat="1">
      <c r="A319" s="128" t="s">
        <v>960</v>
      </c>
    </row>
    <row r="320" spans="1:29" s="459" customFormat="1">
      <c r="A320" s="132" t="s">
        <v>946</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948</v>
      </c>
      <c r="B321" s="459" t="s">
        <v>959</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956</v>
      </c>
      <c r="B322" s="459" t="s">
        <v>959</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955</v>
      </c>
      <c r="B323" s="459" t="s">
        <v>959</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959</v>
      </c>
      <c r="C324" s="603">
        <f>SUM(C321:C323)</f>
        <v>53678.098556892684</v>
      </c>
      <c r="D324" s="603">
        <f t="shared" ref="D324:AC324" si="114">SUM(D321:D323)</f>
        <v>789.27409557762553</v>
      </c>
      <c r="E324" s="603">
        <f t="shared" si="114"/>
        <v>11355.699700267121</v>
      </c>
      <c r="F324" s="603">
        <f t="shared" si="114"/>
        <v>2715.4609715525116</v>
      </c>
      <c r="G324" s="603">
        <f t="shared" si="114"/>
        <v>1233.8935293812788</v>
      </c>
      <c r="H324" s="603">
        <f t="shared" si="114"/>
        <v>1004.1237548652966</v>
      </c>
      <c r="I324" s="603">
        <f t="shared" si="114"/>
        <v>507.28391776255705</v>
      </c>
      <c r="J324" s="603">
        <f t="shared" si="114"/>
        <v>1345.7943935936071</v>
      </c>
      <c r="K324" s="603">
        <f t="shared" si="114"/>
        <v>2405.1225748036527</v>
      </c>
      <c r="L324" s="603">
        <f t="shared" si="114"/>
        <v>983.23559354566203</v>
      </c>
      <c r="M324" s="603">
        <f t="shared" si="114"/>
        <v>1171.2290454223742</v>
      </c>
      <c r="N324" s="603">
        <f t="shared" si="114"/>
        <v>2066.4359591210041</v>
      </c>
      <c r="O324" s="603">
        <f t="shared" si="114"/>
        <v>1732.225378006849</v>
      </c>
      <c r="P324" s="603">
        <f t="shared" si="114"/>
        <v>1597.944340952055</v>
      </c>
      <c r="Q324" s="603">
        <f t="shared" si="114"/>
        <v>6412.6655251278535</v>
      </c>
      <c r="R324" s="603">
        <f t="shared" si="114"/>
        <v>1906.790726178082</v>
      </c>
      <c r="S324" s="603">
        <f t="shared" si="114"/>
        <v>2357.3782060730591</v>
      </c>
      <c r="T324" s="603">
        <f t="shared" si="114"/>
        <v>2257.4134340433784</v>
      </c>
      <c r="U324" s="603">
        <f t="shared" si="114"/>
        <v>1468.1393384657533</v>
      </c>
      <c r="V324" s="603">
        <f t="shared" si="114"/>
        <v>3088.4638522602736</v>
      </c>
      <c r="W324" s="603">
        <f t="shared" si="114"/>
        <v>425.22328400684933</v>
      </c>
      <c r="X324" s="603">
        <f t="shared" si="114"/>
        <v>1694.9250899360732</v>
      </c>
      <c r="Y324" s="603">
        <f t="shared" si="114"/>
        <v>986.2196165913241</v>
      </c>
      <c r="Z324" s="603">
        <f t="shared" si="114"/>
        <v>783.30604948630139</v>
      </c>
      <c r="AA324" s="603">
        <f t="shared" si="114"/>
        <v>914.60306349543373</v>
      </c>
      <c r="AB324" s="603">
        <f t="shared" si="114"/>
        <v>1741.1774471438353</v>
      </c>
      <c r="AC324" s="603">
        <f t="shared" si="114"/>
        <v>734.06966923287655</v>
      </c>
    </row>
    <row r="325" spans="1:29" s="459" customFormat="1">
      <c r="A325" s="700"/>
      <c r="B325" s="701"/>
      <c r="C325" s="702"/>
      <c r="D325" s="703"/>
      <c r="E325" s="704"/>
      <c r="F325" s="704"/>
    </row>
    <row r="326" spans="1:29" s="459" customFormat="1">
      <c r="A326" s="700"/>
      <c r="B326" s="701"/>
      <c r="C326" s="702"/>
      <c r="D326" s="703"/>
      <c r="E326" s="704"/>
      <c r="F326" s="704"/>
    </row>
    <row r="327" spans="1:29" s="459" customFormat="1">
      <c r="A327" s="700"/>
      <c r="B327" s="701"/>
      <c r="C327" s="702"/>
      <c r="D327" s="703"/>
      <c r="E327" s="704"/>
      <c r="F327" s="704"/>
    </row>
    <row r="328" spans="1:29" s="459" customFormat="1">
      <c r="A328" s="128" t="s">
        <v>964</v>
      </c>
    </row>
    <row r="329" spans="1:29" s="459" customFormat="1">
      <c r="A329" s="132" t="s">
        <v>946</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948</v>
      </c>
      <c r="B330" s="459" t="s">
        <v>959</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956</v>
      </c>
      <c r="B331" s="459" t="s">
        <v>959</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955</v>
      </c>
      <c r="B332" s="459" t="s">
        <v>959</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959</v>
      </c>
      <c r="C333" s="603">
        <f>SUM(C330:C332)</f>
        <v>1253.2896791780822</v>
      </c>
      <c r="D333" s="603">
        <f>SUM(D330:D332)</f>
        <v>7.4600576141552493</v>
      </c>
      <c r="E333" s="603">
        <f t="shared" ref="E333:AC333" si="119">SUM(E330:E332)</f>
        <v>641.56495481735158</v>
      </c>
      <c r="F333" s="603">
        <f t="shared" si="119"/>
        <v>52.22040329908674</v>
      </c>
      <c r="G333" s="603">
        <f t="shared" si="119"/>
        <v>13.428103705479447</v>
      </c>
      <c r="H333" s="603">
        <f t="shared" si="119"/>
        <v>13.428103705479447</v>
      </c>
      <c r="I333" s="603">
        <f t="shared" si="119"/>
        <v>5.9680460913241991</v>
      </c>
      <c r="J333" s="603">
        <f t="shared" si="119"/>
        <v>37.300288070776247</v>
      </c>
      <c r="K333" s="603">
        <f t="shared" si="119"/>
        <v>62.6644839589041</v>
      </c>
      <c r="L333" s="603">
        <f t="shared" si="119"/>
        <v>8.9520691369862995</v>
      </c>
      <c r="M333" s="603">
        <f t="shared" si="119"/>
        <v>17.904138273972599</v>
      </c>
      <c r="N333" s="603">
        <f t="shared" si="119"/>
        <v>16.41212675114155</v>
      </c>
      <c r="O333" s="603">
        <f t="shared" si="119"/>
        <v>20.888161319634698</v>
      </c>
      <c r="P333" s="603">
        <f t="shared" si="119"/>
        <v>20.888161319634698</v>
      </c>
      <c r="Q333" s="603">
        <f t="shared" si="119"/>
        <v>104.44080659817348</v>
      </c>
      <c r="R333" s="603">
        <f t="shared" si="119"/>
        <v>26.856207410958895</v>
      </c>
      <c r="S333" s="603">
        <f t="shared" si="119"/>
        <v>40.284311116438346</v>
      </c>
      <c r="T333" s="603">
        <f t="shared" si="119"/>
        <v>14.920115228310499</v>
      </c>
      <c r="U333" s="603">
        <f t="shared" si="119"/>
        <v>16.41212675114155</v>
      </c>
      <c r="V333" s="603">
        <f t="shared" si="119"/>
        <v>56.696437867579895</v>
      </c>
      <c r="W333" s="603">
        <f t="shared" si="119"/>
        <v>4.4760345684931497</v>
      </c>
      <c r="X333" s="603">
        <f t="shared" si="119"/>
        <v>16.41212675114155</v>
      </c>
      <c r="Y333" s="603">
        <f t="shared" si="119"/>
        <v>7.4600576141552493</v>
      </c>
      <c r="Z333" s="603">
        <f t="shared" si="119"/>
        <v>8.9520691369862995</v>
      </c>
      <c r="AA333" s="603">
        <f t="shared" si="119"/>
        <v>10.444080659817351</v>
      </c>
      <c r="AB333" s="603">
        <f t="shared" si="119"/>
        <v>22.380172842465747</v>
      </c>
      <c r="AC333" s="603">
        <f t="shared" si="119"/>
        <v>4.4760345684931497</v>
      </c>
    </row>
    <row r="334" spans="1:29" s="459" customFormat="1">
      <c r="A334" s="700"/>
      <c r="B334" s="701"/>
      <c r="C334" s="702"/>
      <c r="D334" s="703"/>
      <c r="E334" s="704"/>
      <c r="F334" s="704"/>
    </row>
    <row r="335" spans="1:29" s="459" customFormat="1">
      <c r="A335" s="700"/>
      <c r="B335" s="701"/>
      <c r="C335" s="702"/>
      <c r="D335" s="703"/>
      <c r="E335" s="704"/>
      <c r="F335" s="704"/>
    </row>
    <row r="336" spans="1:29" s="459" customFormat="1">
      <c r="A336" s="700"/>
      <c r="B336" s="701"/>
      <c r="C336" s="702"/>
      <c r="D336" s="703"/>
      <c r="E336" s="704"/>
      <c r="F336" s="704"/>
    </row>
    <row r="337" spans="1:29" s="459" customFormat="1">
      <c r="A337" s="128" t="s">
        <v>965</v>
      </c>
    </row>
    <row r="338" spans="1:29" s="459" customFormat="1">
      <c r="A338" s="132" t="s">
        <v>946</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948</v>
      </c>
      <c r="B339" s="459" t="s">
        <v>959</v>
      </c>
      <c r="C339" s="9">
        <f>E313</f>
        <v>17.503649635036499</v>
      </c>
      <c r="D339" s="398">
        <f t="shared" ref="D339:AC339" si="120">$C$339*D139/$C$139</f>
        <v>0.16058394160583947</v>
      </c>
      <c r="E339" s="398">
        <f t="shared" si="120"/>
        <v>5.4598540145985419</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$C$339*W139/$C$139</f>
        <v>0.16058394160583947</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956</v>
      </c>
      <c r="B340" s="459" t="s">
        <v>959</v>
      </c>
      <c r="C340" s="9">
        <f>E314</f>
        <v>102.39635036496351</v>
      </c>
      <c r="D340" s="398">
        <f t="shared" ref="D340:AC340" si="121">$C$340*D139/$C$139</f>
        <v>0.93941605839416076</v>
      </c>
      <c r="E340" s="398">
        <f t="shared" si="121"/>
        <v>31.940145985401465</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0.93941605839416076</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959</v>
      </c>
      <c r="C341" s="603">
        <f t="shared" ref="C341:AC341" si="122">SUM(C339:C340)</f>
        <v>119.9</v>
      </c>
      <c r="D341" s="603">
        <f t="shared" si="122"/>
        <v>1.1000000000000003</v>
      </c>
      <c r="E341" s="603">
        <f t="shared" si="122"/>
        <v>37.400000000000006</v>
      </c>
      <c r="F341" s="603">
        <f t="shared" si="122"/>
        <v>6.6000000000000005</v>
      </c>
      <c r="G341" s="603">
        <f t="shared" si="122"/>
        <v>2.2000000000000006</v>
      </c>
      <c r="H341" s="603">
        <f t="shared" si="122"/>
        <v>1.1000000000000003</v>
      </c>
      <c r="I341" s="603">
        <f t="shared" si="122"/>
        <v>1.1000000000000003</v>
      </c>
      <c r="J341" s="603">
        <f t="shared" si="122"/>
        <v>2.2000000000000006</v>
      </c>
      <c r="K341" s="603">
        <f t="shared" si="122"/>
        <v>5.5</v>
      </c>
      <c r="L341" s="603">
        <f t="shared" si="122"/>
        <v>2.2000000000000006</v>
      </c>
      <c r="M341" s="603">
        <f t="shared" si="122"/>
        <v>2.2000000000000006</v>
      </c>
      <c r="N341" s="603">
        <f t="shared" si="122"/>
        <v>4.4000000000000012</v>
      </c>
      <c r="O341" s="603">
        <f t="shared" si="122"/>
        <v>4.4000000000000012</v>
      </c>
      <c r="P341" s="603">
        <f t="shared" si="122"/>
        <v>3.3000000000000003</v>
      </c>
      <c r="Q341" s="603">
        <f t="shared" si="122"/>
        <v>16.5</v>
      </c>
      <c r="R341" s="603">
        <f t="shared" si="122"/>
        <v>3.3000000000000003</v>
      </c>
      <c r="S341" s="603">
        <f t="shared" si="122"/>
        <v>4.4000000000000012</v>
      </c>
      <c r="T341" s="603">
        <f t="shared" si="122"/>
        <v>4.4000000000000012</v>
      </c>
      <c r="U341" s="603">
        <f t="shared" si="122"/>
        <v>3.3000000000000003</v>
      </c>
      <c r="V341" s="603">
        <f t="shared" si="122"/>
        <v>4.4000000000000012</v>
      </c>
      <c r="W341" s="603">
        <f t="shared" si="122"/>
        <v>1.1000000000000003</v>
      </c>
      <c r="X341" s="603">
        <f t="shared" si="122"/>
        <v>2.2000000000000006</v>
      </c>
      <c r="Y341" s="603">
        <f t="shared" si="122"/>
        <v>1.1000000000000003</v>
      </c>
      <c r="Z341" s="603">
        <f t="shared" si="122"/>
        <v>1.1000000000000003</v>
      </c>
      <c r="AA341" s="603">
        <f t="shared" si="122"/>
        <v>1.1000000000000003</v>
      </c>
      <c r="AB341" s="603">
        <f t="shared" si="122"/>
        <v>2.2000000000000006</v>
      </c>
      <c r="AC341" s="603">
        <f t="shared" si="122"/>
        <v>1.1000000000000003</v>
      </c>
    </row>
    <row r="342" spans="1:29" s="459" customFormat="1">
      <c r="A342" s="700"/>
      <c r="B342" s="701"/>
      <c r="C342" s="702"/>
      <c r="D342" s="703"/>
      <c r="E342" s="704"/>
      <c r="F342" s="704"/>
    </row>
    <row r="343" spans="1:29" s="459" customFormat="1">
      <c r="A343" s="700"/>
      <c r="B343" s="701"/>
      <c r="C343" s="702"/>
      <c r="D343" s="703"/>
      <c r="E343" s="704"/>
      <c r="F343" s="704"/>
    </row>
    <row r="344" spans="1:29" s="459" customFormat="1">
      <c r="A344" s="700"/>
      <c r="B344" s="701"/>
      <c r="C344" s="702"/>
      <c r="D344" s="703"/>
      <c r="E344" s="704"/>
      <c r="F344" s="704"/>
    </row>
    <row r="345" spans="1:29" s="459" customFormat="1">
      <c r="A345" s="128" t="s">
        <v>966</v>
      </c>
    </row>
    <row r="346" spans="1:29" s="459" customFormat="1">
      <c r="A346" s="132" t="s">
        <v>946</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948</v>
      </c>
      <c r="B347" s="459" t="s">
        <v>959</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956</v>
      </c>
      <c r="B348" s="459" t="s">
        <v>959</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955</v>
      </c>
      <c r="B349" s="459" t="s">
        <v>959</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959</v>
      </c>
      <c r="C350" s="603">
        <f>SUM(C347:C349)</f>
        <v>9816.0585474308318</v>
      </c>
      <c r="D350" s="603">
        <f>SUM(D347:D349)</f>
        <v>109</v>
      </c>
      <c r="E350" s="603">
        <f t="shared" ref="E350" si="127">SUM(E347:E349)</f>
        <v>3542.5</v>
      </c>
      <c r="F350" s="603">
        <f t="shared" ref="F350" si="128">SUM(F347:F349)</f>
        <v>463.25</v>
      </c>
      <c r="G350" s="603">
        <f t="shared" ref="G350" si="129">SUM(G347:G349)</f>
        <v>299.74999999999994</v>
      </c>
      <c r="H350" s="603">
        <f t="shared" ref="H350" si="130">SUM(H347:H349)</f>
        <v>136.25</v>
      </c>
      <c r="I350" s="603">
        <f t="shared" ref="I350" si="131">SUM(I347:I349)</f>
        <v>81.75</v>
      </c>
      <c r="J350" s="603">
        <f t="shared" ref="J350" si="132">SUM(J347:J349)</f>
        <v>218</v>
      </c>
      <c r="K350" s="603">
        <f t="shared" ref="K350" si="133">SUM(K347:K349)</f>
        <v>299.74999999999994</v>
      </c>
      <c r="L350" s="603">
        <f t="shared" ref="L350" si="134">SUM(L347:L349)</f>
        <v>190.75</v>
      </c>
      <c r="M350" s="603">
        <f t="shared" ref="M350" si="135">SUM(M347:M349)</f>
        <v>136.25</v>
      </c>
      <c r="N350" s="603">
        <f t="shared" ref="N350" si="136">SUM(N347:N349)</f>
        <v>272.5</v>
      </c>
      <c r="O350" s="603">
        <f t="shared" ref="O350" si="137">SUM(O347:O349)</f>
        <v>245.25</v>
      </c>
      <c r="P350" s="603">
        <f t="shared" ref="P350" si="138">SUM(P347:P349)</f>
        <v>190.75</v>
      </c>
      <c r="Q350" s="603">
        <f t="shared" ref="Q350" si="139">SUM(Q347:Q349)</f>
        <v>790.25</v>
      </c>
      <c r="R350" s="603">
        <f t="shared" ref="R350" si="140">SUM(R347:R349)</f>
        <v>490.5</v>
      </c>
      <c r="S350" s="603">
        <f t="shared" ref="S350" si="141">SUM(S347:S349)</f>
        <v>299.74999999999994</v>
      </c>
      <c r="T350" s="603">
        <f t="shared" ref="T350" si="142">SUM(T347:T349)</f>
        <v>354.25</v>
      </c>
      <c r="U350" s="603">
        <f t="shared" ref="U350" si="143">SUM(U347:U349)</f>
        <v>163.5</v>
      </c>
      <c r="V350" s="603">
        <f t="shared" ref="V350" si="144">SUM(V347:V349)</f>
        <v>572.25</v>
      </c>
      <c r="W350" s="603">
        <f t="shared" ref="W350" si="145">SUM(W347:W349)</f>
        <v>54.5</v>
      </c>
      <c r="X350" s="603">
        <f t="shared" ref="X350" si="146">SUM(X347:X349)</f>
        <v>354.25</v>
      </c>
      <c r="Y350" s="603">
        <f t="shared" ref="Y350" si="147">SUM(Y347:Y349)</f>
        <v>109</v>
      </c>
      <c r="Z350" s="603">
        <f t="shared" ref="Z350" si="148">SUM(Z347:Z349)</f>
        <v>109</v>
      </c>
      <c r="AA350" s="603">
        <f t="shared" ref="AA350" si="149">SUM(AA347:AA349)</f>
        <v>45.560276679842701</v>
      </c>
      <c r="AB350" s="603">
        <f t="shared" ref="AB350" si="150">SUM(AB347:AB349)</f>
        <v>14.998270750988439</v>
      </c>
      <c r="AC350" s="603">
        <f t="shared" ref="AC350" si="151">SUM(AC347:AC349)</f>
        <v>272.5</v>
      </c>
    </row>
    <row r="351" spans="1:29" s="459" customFormat="1">
      <c r="A351" s="700"/>
      <c r="B351" s="701"/>
      <c r="C351" s="702"/>
      <c r="D351" s="703"/>
      <c r="E351" s="704"/>
      <c r="F351" s="704"/>
    </row>
    <row r="352" spans="1:29" s="459" customFormat="1">
      <c r="A352" s="700"/>
      <c r="B352" s="701"/>
      <c r="C352" s="702"/>
      <c r="D352" s="703"/>
      <c r="E352" s="704"/>
      <c r="F352" s="704"/>
    </row>
    <row r="353" spans="1:30" s="459" customFormat="1">
      <c r="A353" s="700"/>
      <c r="B353" s="701"/>
      <c r="C353" s="702"/>
      <c r="D353" s="703"/>
      <c r="E353" s="704"/>
      <c r="F353" s="704"/>
    </row>
    <row r="354" spans="1:30" ht="15.75">
      <c r="A354" s="401" t="s">
        <v>460</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359</v>
      </c>
      <c r="B355" s="132" t="s">
        <v>360</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366</v>
      </c>
      <c r="B356" s="391" t="s">
        <v>361</v>
      </c>
      <c r="C356" s="707">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362</v>
      </c>
      <c r="C357" s="707">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363</v>
      </c>
      <c r="B358" s="391" t="s">
        <v>369</v>
      </c>
      <c r="C358" s="707">
        <f>C339</f>
        <v>17.503649635036499</v>
      </c>
      <c r="D358" s="706">
        <f t="shared" ref="D358:AC358" si="154">D339</f>
        <v>0.16058394160583947</v>
      </c>
      <c r="E358" s="706">
        <f t="shared" si="154"/>
        <v>5.4598540145985419</v>
      </c>
      <c r="F358" s="706">
        <f t="shared" si="154"/>
        <v>0.96350364963503665</v>
      </c>
      <c r="G358" s="706">
        <f t="shared" si="154"/>
        <v>0.32116788321167894</v>
      </c>
      <c r="H358" s="706">
        <f t="shared" si="154"/>
        <v>0.16058394160583947</v>
      </c>
      <c r="I358" s="706">
        <f t="shared" si="154"/>
        <v>0.16058394160583947</v>
      </c>
      <c r="J358" s="706">
        <f t="shared" si="154"/>
        <v>0.32116788321167894</v>
      </c>
      <c r="K358" s="706">
        <f t="shared" si="154"/>
        <v>0.80291970802919721</v>
      </c>
      <c r="L358" s="706">
        <f t="shared" si="154"/>
        <v>0.32116788321167894</v>
      </c>
      <c r="M358" s="706">
        <f t="shared" si="154"/>
        <v>0.32116788321167894</v>
      </c>
      <c r="N358" s="706">
        <f t="shared" si="154"/>
        <v>0.64233576642335788</v>
      </c>
      <c r="O358" s="706">
        <f t="shared" si="154"/>
        <v>0.64233576642335788</v>
      </c>
      <c r="P358" s="706">
        <f t="shared" si="154"/>
        <v>0.48175182481751833</v>
      </c>
      <c r="Q358" s="706">
        <f t="shared" si="154"/>
        <v>2.4087591240875916</v>
      </c>
      <c r="R358" s="706">
        <f t="shared" si="154"/>
        <v>0.48175182481751833</v>
      </c>
      <c r="S358" s="706">
        <f t="shared" si="154"/>
        <v>0.64233576642335788</v>
      </c>
      <c r="T358" s="706">
        <f t="shared" si="154"/>
        <v>0.64233576642335788</v>
      </c>
      <c r="U358" s="706">
        <f t="shared" si="154"/>
        <v>0.48175182481751833</v>
      </c>
      <c r="V358" s="706">
        <f t="shared" si="154"/>
        <v>0.64233576642335788</v>
      </c>
      <c r="W358" s="706">
        <f>W339</f>
        <v>0.16058394160583947</v>
      </c>
      <c r="X358" s="706">
        <f t="shared" si="154"/>
        <v>0.32116788321167894</v>
      </c>
      <c r="Y358" s="706">
        <f t="shared" si="154"/>
        <v>0.16058394160583947</v>
      </c>
      <c r="Z358" s="706">
        <f t="shared" si="154"/>
        <v>0.16058394160583947</v>
      </c>
      <c r="AA358" s="706">
        <f t="shared" si="154"/>
        <v>0.16058394160583947</v>
      </c>
      <c r="AB358" s="706">
        <f t="shared" si="154"/>
        <v>0.32116788321167894</v>
      </c>
      <c r="AC358" s="706">
        <f t="shared" si="154"/>
        <v>0.16058394160583947</v>
      </c>
      <c r="AD358" s="5"/>
    </row>
    <row r="359" spans="1:30">
      <c r="A359" s="391"/>
      <c r="B359" s="391" t="s">
        <v>368</v>
      </c>
      <c r="C359" s="707">
        <f>C321</f>
        <v>7485.229753311015</v>
      </c>
      <c r="D359" s="615">
        <f t="shared" ref="D359:AC359" si="155">D321</f>
        <v>110.06160990359193</v>
      </c>
      <c r="E359" s="615">
        <f t="shared" si="155"/>
        <v>1583.5140131875958</v>
      </c>
      <c r="F359" s="615">
        <f t="shared" si="155"/>
        <v>378.66187150196095</v>
      </c>
      <c r="G359" s="615">
        <f t="shared" si="155"/>
        <v>172.06228996270426</v>
      </c>
      <c r="H359" s="615">
        <f t="shared" si="155"/>
        <v>140.02167006638444</v>
      </c>
      <c r="I359" s="615">
        <f t="shared" si="155"/>
        <v>70.739030939926764</v>
      </c>
      <c r="J359" s="615">
        <f t="shared" si="155"/>
        <v>187.66648796415862</v>
      </c>
      <c r="K359" s="615">
        <f t="shared" si="155"/>
        <v>335.38622904459396</v>
      </c>
      <c r="L359" s="615">
        <f t="shared" si="155"/>
        <v>137.10888643944631</v>
      </c>
      <c r="M359" s="615">
        <f t="shared" si="155"/>
        <v>163.3239390818897</v>
      </c>
      <c r="N359" s="615">
        <f t="shared" si="155"/>
        <v>288.15752309352519</v>
      </c>
      <c r="O359" s="615">
        <f t="shared" si="155"/>
        <v>241.55298506251461</v>
      </c>
      <c r="P359" s="615">
        <f t="shared" si="155"/>
        <v>222.82794746076934</v>
      </c>
      <c r="Q359" s="615">
        <f t="shared" si="155"/>
        <v>894.22457347001534</v>
      </c>
      <c r="R359" s="615">
        <f t="shared" si="155"/>
        <v>265.89553394478355</v>
      </c>
      <c r="S359" s="615">
        <f t="shared" si="155"/>
        <v>328.72843789730672</v>
      </c>
      <c r="T359" s="615">
        <f t="shared" si="155"/>
        <v>314.78868768267404</v>
      </c>
      <c r="U359" s="615">
        <f t="shared" si="155"/>
        <v>204.72707777908218</v>
      </c>
      <c r="V359" s="615">
        <f t="shared" si="155"/>
        <v>430.67586484014231</v>
      </c>
      <c r="W359" s="615">
        <f t="shared" si="155"/>
        <v>59.295952405526855</v>
      </c>
      <c r="X359" s="615">
        <f t="shared" si="155"/>
        <v>236.35158572869651</v>
      </c>
      <c r="Y359" s="615">
        <f t="shared" si="155"/>
        <v>137.52499838615176</v>
      </c>
      <c r="Z359" s="615">
        <f t="shared" si="155"/>
        <v>109.22938601018103</v>
      </c>
      <c r="AA359" s="615">
        <f t="shared" si="155"/>
        <v>127.5383116652209</v>
      </c>
      <c r="AB359" s="615">
        <f t="shared" si="155"/>
        <v>242.80132090263095</v>
      </c>
      <c r="AC359" s="615">
        <f t="shared" si="155"/>
        <v>102.36353888954106</v>
      </c>
      <c r="AD359" s="5"/>
    </row>
    <row r="360" spans="1:30">
      <c r="A360" s="391" t="s">
        <v>326</v>
      </c>
      <c r="B360" s="391" t="s">
        <v>365</v>
      </c>
      <c r="C360" s="707">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589</v>
      </c>
      <c r="C361" s="707">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576</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367</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3813.7077787050948</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103.99821589805379</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75">
      <c r="A368" s="401" t="s">
        <v>461</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359</v>
      </c>
      <c r="B369" s="132" t="s">
        <v>360</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366</v>
      </c>
      <c r="B370" s="459" t="s">
        <v>361</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362</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363</v>
      </c>
      <c r="B372" s="459" t="s">
        <v>369</v>
      </c>
      <c r="C372" s="707">
        <f>C340</f>
        <v>102.39635036496351</v>
      </c>
      <c r="D372" s="36">
        <f t="shared" ref="D372:AC372" si="159">D340</f>
        <v>0.93941605839416076</v>
      </c>
      <c r="E372" s="36">
        <f t="shared" si="159"/>
        <v>31.940145985401465</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0.93941605839416076</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368</v>
      </c>
      <c r="C373" s="707">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365</v>
      </c>
      <c r="C374" s="707">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589</v>
      </c>
      <c r="C375" s="707">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576</v>
      </c>
      <c r="C376" s="707">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367</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7621.1536449989253</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233.33731031609199</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75">
      <c r="A382" s="401" t="s">
        <v>468</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359</v>
      </c>
      <c r="B383" s="132" t="s">
        <v>360</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366</v>
      </c>
      <c r="B384" s="459" t="s">
        <v>361</v>
      </c>
      <c r="C384" s="615">
        <v>0</v>
      </c>
      <c r="D384" s="615">
        <v>0</v>
      </c>
      <c r="E384" s="615">
        <v>0</v>
      </c>
      <c r="F384" s="615">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362</v>
      </c>
      <c r="C385" s="615">
        <v>0</v>
      </c>
      <c r="D385" s="615">
        <v>0</v>
      </c>
      <c r="E385" s="615">
        <v>0</v>
      </c>
      <c r="F385" s="615">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363</v>
      </c>
      <c r="B386" s="459" t="s">
        <v>369</v>
      </c>
      <c r="C386" s="615">
        <v>0</v>
      </c>
      <c r="D386" s="615">
        <v>0</v>
      </c>
      <c r="E386" s="615">
        <v>0</v>
      </c>
      <c r="F386" s="615">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368</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365</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589</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576</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 customHeight="1">
      <c r="A391" s="391"/>
      <c r="B391" s="459" t="s">
        <v>367</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75">
      <c r="A396" s="522" t="s">
        <v>670</v>
      </c>
    </row>
    <row r="398" spans="1:30" s="459" customFormat="1" ht="15.75">
      <c r="A398" s="401" t="s">
        <v>680</v>
      </c>
    </row>
    <row r="399" spans="1:30" s="459" customFormat="1">
      <c r="A399" s="132" t="s">
        <v>713</v>
      </c>
      <c r="B399" s="132" t="s">
        <v>482</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716</v>
      </c>
    </row>
    <row r="407" spans="1:29" ht="15.75">
      <c r="A407" s="401" t="s">
        <v>680</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8">
      <c r="A408" s="132"/>
      <c r="B408" s="132" t="s">
        <v>678</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672</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673</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674</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675</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676</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677</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679</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75">
      <c r="A420" s="401" t="s">
        <v>681</v>
      </c>
    </row>
    <row r="421" spans="1:29" ht="18">
      <c r="A421" s="132"/>
      <c r="B421" s="132" t="s">
        <v>678</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672</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673</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674</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675</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676</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677</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679</v>
      </c>
    </row>
    <row r="433" spans="1:12" ht="15.75">
      <c r="A433" s="401" t="s">
        <v>698</v>
      </c>
      <c r="B433" s="459"/>
      <c r="C433" s="459"/>
      <c r="D433" s="459"/>
      <c r="E433" s="459"/>
      <c r="F433" s="459"/>
      <c r="G433" s="459"/>
      <c r="H433" s="459"/>
      <c r="I433" s="459"/>
      <c r="J433" s="459"/>
      <c r="K433" s="459"/>
      <c r="L433" s="459"/>
    </row>
    <row r="434" spans="1:12" ht="15.75">
      <c r="A434" s="132" t="s">
        <v>345</v>
      </c>
      <c r="B434" s="825" t="s">
        <v>695</v>
      </c>
      <c r="C434" s="825"/>
      <c r="D434" s="825"/>
      <c r="E434" s="825"/>
      <c r="F434" s="825"/>
      <c r="G434" s="825"/>
      <c r="H434" s="825"/>
      <c r="I434" s="825"/>
      <c r="J434" s="825"/>
      <c r="K434" s="825"/>
      <c r="L434" s="825"/>
    </row>
    <row r="435" spans="1:12">
      <c r="A435" s="459"/>
      <c r="B435" s="526" t="s">
        <v>682</v>
      </c>
      <c r="C435" s="529" t="s">
        <v>683</v>
      </c>
      <c r="D435" s="532" t="s">
        <v>684</v>
      </c>
      <c r="E435" s="534" t="s">
        <v>685</v>
      </c>
      <c r="F435" s="43" t="s">
        <v>686</v>
      </c>
      <c r="G435" s="537" t="s">
        <v>687</v>
      </c>
      <c r="H435" s="459" t="s">
        <v>374</v>
      </c>
      <c r="I435" s="539" t="s">
        <v>688</v>
      </c>
      <c r="J435" s="540" t="s">
        <v>689</v>
      </c>
      <c r="K435" s="526" t="s">
        <v>690</v>
      </c>
      <c r="L435" s="526" t="s">
        <v>691</v>
      </c>
    </row>
    <row r="436" spans="1:12" ht="15.75">
      <c r="A436" s="528" t="s">
        <v>694</v>
      </c>
    </row>
    <row r="437" spans="1:12">
      <c r="A437" s="525" t="s">
        <v>692</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683</v>
      </c>
      <c r="B438" s="459">
        <v>1006</v>
      </c>
      <c r="C438" s="459">
        <v>302</v>
      </c>
      <c r="D438" s="459">
        <v>62</v>
      </c>
      <c r="E438" s="459">
        <v>34</v>
      </c>
      <c r="F438" s="459">
        <v>50</v>
      </c>
      <c r="G438" s="459">
        <v>65</v>
      </c>
      <c r="H438" s="459">
        <v>165</v>
      </c>
      <c r="I438" s="459">
        <v>110</v>
      </c>
      <c r="J438" s="459">
        <v>47</v>
      </c>
      <c r="K438" s="459">
        <v>77</v>
      </c>
      <c r="L438" s="459">
        <v>95</v>
      </c>
    </row>
    <row r="439" spans="1:12">
      <c r="A439" s="525" t="s">
        <v>684</v>
      </c>
      <c r="B439" s="459">
        <v>812</v>
      </c>
      <c r="C439" s="459">
        <v>44</v>
      </c>
      <c r="D439" s="459">
        <v>296</v>
      </c>
      <c r="E439" s="459">
        <v>62</v>
      </c>
      <c r="F439" s="459">
        <v>44</v>
      </c>
      <c r="G439" s="459">
        <v>53</v>
      </c>
      <c r="H439" s="459">
        <v>171</v>
      </c>
      <c r="I439" s="459">
        <v>41</v>
      </c>
      <c r="J439" s="459">
        <v>42</v>
      </c>
      <c r="K439" s="459">
        <v>14</v>
      </c>
      <c r="L439" s="459">
        <v>44</v>
      </c>
    </row>
    <row r="440" spans="1:12">
      <c r="A440" s="525" t="s">
        <v>685</v>
      </c>
      <c r="B440" s="459">
        <v>1086</v>
      </c>
      <c r="C440" s="459">
        <v>33</v>
      </c>
      <c r="D440" s="459">
        <v>83</v>
      </c>
      <c r="E440" s="459">
        <v>376</v>
      </c>
      <c r="F440" s="459">
        <v>106</v>
      </c>
      <c r="G440" s="459">
        <v>192</v>
      </c>
      <c r="H440" s="459">
        <v>147</v>
      </c>
      <c r="I440" s="459">
        <v>48</v>
      </c>
      <c r="J440" s="459">
        <v>47</v>
      </c>
      <c r="K440" s="459">
        <v>11</v>
      </c>
      <c r="L440" s="459">
        <v>42</v>
      </c>
    </row>
    <row r="441" spans="1:12">
      <c r="A441" s="525" t="s">
        <v>686</v>
      </c>
      <c r="B441" s="459">
        <v>1010</v>
      </c>
      <c r="C441" s="459">
        <v>25</v>
      </c>
      <c r="D441" s="459">
        <v>47</v>
      </c>
      <c r="E441" s="459">
        <v>66</v>
      </c>
      <c r="F441" s="459">
        <v>360</v>
      </c>
      <c r="G441" s="459">
        <v>113</v>
      </c>
      <c r="H441" s="459">
        <v>136</v>
      </c>
      <c r="I441" s="459">
        <v>90</v>
      </c>
      <c r="J441" s="459">
        <v>56</v>
      </c>
      <c r="K441" s="459">
        <v>37</v>
      </c>
      <c r="L441" s="459">
        <v>80</v>
      </c>
    </row>
    <row r="442" spans="1:12">
      <c r="A442" s="525" t="s">
        <v>687</v>
      </c>
      <c r="B442" s="459">
        <v>1518</v>
      </c>
      <c r="C442" s="459">
        <v>16</v>
      </c>
      <c r="D442" s="459">
        <v>30</v>
      </c>
      <c r="E442" s="459">
        <v>174</v>
      </c>
      <c r="F442" s="459">
        <v>156</v>
      </c>
      <c r="G442" s="459">
        <v>712</v>
      </c>
      <c r="H442" s="459">
        <v>249</v>
      </c>
      <c r="I442" s="459">
        <v>60</v>
      </c>
      <c r="J442" s="459">
        <v>53</v>
      </c>
      <c r="K442" s="459">
        <v>26</v>
      </c>
      <c r="L442" s="459">
        <v>43</v>
      </c>
    </row>
    <row r="443" spans="1:12">
      <c r="A443" s="525" t="s">
        <v>374</v>
      </c>
      <c r="B443" s="459">
        <v>2741</v>
      </c>
      <c r="C443" s="459">
        <v>190</v>
      </c>
      <c r="D443" s="459">
        <v>238</v>
      </c>
      <c r="E443" s="459">
        <v>228</v>
      </c>
      <c r="F443" s="459">
        <v>235</v>
      </c>
      <c r="G443" s="459">
        <v>490</v>
      </c>
      <c r="H443" s="459">
        <v>614</v>
      </c>
      <c r="I443" s="459">
        <v>374</v>
      </c>
      <c r="J443" s="459">
        <v>178</v>
      </c>
      <c r="K443" s="459">
        <v>108</v>
      </c>
      <c r="L443" s="459">
        <v>86</v>
      </c>
    </row>
    <row r="444" spans="1:12">
      <c r="A444" s="525" t="s">
        <v>688</v>
      </c>
      <c r="B444" s="459">
        <v>1308</v>
      </c>
      <c r="C444" s="459">
        <v>107</v>
      </c>
      <c r="D444" s="459">
        <v>48</v>
      </c>
      <c r="E444" s="459">
        <v>49</v>
      </c>
      <c r="F444" s="459">
        <v>120</v>
      </c>
      <c r="G444" s="459">
        <v>91</v>
      </c>
      <c r="H444" s="459">
        <v>300</v>
      </c>
      <c r="I444" s="459">
        <v>421</v>
      </c>
      <c r="J444" s="459">
        <v>73</v>
      </c>
      <c r="K444" s="459">
        <v>48</v>
      </c>
      <c r="L444" s="459">
        <v>51</v>
      </c>
    </row>
    <row r="445" spans="1:12">
      <c r="A445" s="525" t="s">
        <v>689</v>
      </c>
      <c r="B445" s="459">
        <v>697</v>
      </c>
      <c r="C445" s="459">
        <v>58</v>
      </c>
      <c r="D445" s="459">
        <v>73</v>
      </c>
      <c r="E445" s="459">
        <v>45</v>
      </c>
      <c r="F445" s="459">
        <v>64</v>
      </c>
      <c r="G445" s="459">
        <v>48</v>
      </c>
      <c r="H445" s="459">
        <v>122</v>
      </c>
      <c r="I445" s="459">
        <v>62</v>
      </c>
      <c r="J445" s="459">
        <v>156</v>
      </c>
      <c r="K445" s="459">
        <v>37</v>
      </c>
      <c r="L445" s="459">
        <v>31</v>
      </c>
    </row>
    <row r="446" spans="1:12">
      <c r="A446" s="525" t="s">
        <v>690</v>
      </c>
      <c r="B446" s="459">
        <v>231</v>
      </c>
      <c r="C446" s="459">
        <v>55</v>
      </c>
      <c r="D446" s="459">
        <v>12</v>
      </c>
      <c r="E446" s="459">
        <v>3</v>
      </c>
      <c r="F446" s="459">
        <v>12</v>
      </c>
      <c r="G446" s="459">
        <v>26</v>
      </c>
      <c r="H446" s="459">
        <v>51</v>
      </c>
      <c r="I446" s="459">
        <v>25</v>
      </c>
      <c r="J446" s="459">
        <v>5</v>
      </c>
      <c r="K446" s="459">
        <v>27</v>
      </c>
      <c r="L446" s="459">
        <v>15</v>
      </c>
    </row>
    <row r="447" spans="1:12">
      <c r="A447" s="527" t="s">
        <v>691</v>
      </c>
      <c r="B447" s="458">
        <v>1128</v>
      </c>
      <c r="C447" s="458">
        <v>32</v>
      </c>
      <c r="D447" s="458">
        <v>23</v>
      </c>
      <c r="E447" s="458">
        <v>18</v>
      </c>
      <c r="F447" s="458">
        <v>32</v>
      </c>
      <c r="G447" s="458">
        <v>50</v>
      </c>
      <c r="H447" s="458">
        <v>231</v>
      </c>
      <c r="I447" s="458">
        <v>35</v>
      </c>
      <c r="J447" s="458">
        <v>10</v>
      </c>
      <c r="K447" s="458">
        <v>15</v>
      </c>
      <c r="L447" s="458">
        <v>682</v>
      </c>
    </row>
    <row r="448" spans="1:12">
      <c r="A448" s="459" t="s">
        <v>693</v>
      </c>
      <c r="B448" s="448"/>
      <c r="C448" s="448"/>
      <c r="D448" s="448"/>
      <c r="E448" s="448"/>
      <c r="F448" s="448"/>
      <c r="G448" s="448"/>
      <c r="H448" s="448"/>
    </row>
    <row r="449" spans="1:30" s="459" customFormat="1"/>
    <row r="450" spans="1:30" s="459" customFormat="1"/>
    <row r="451" spans="1:30" s="459" customFormat="1"/>
    <row r="452" spans="1:30" s="459" customFormat="1">
      <c r="A452" s="132" t="s">
        <v>699</v>
      </c>
      <c r="B452" s="826" t="s">
        <v>700</v>
      </c>
      <c r="C452" s="826"/>
      <c r="D452" s="826"/>
      <c r="E452" s="826"/>
      <c r="F452" s="826"/>
      <c r="G452"/>
      <c r="H452"/>
      <c r="I452"/>
      <c r="J452"/>
      <c r="K452"/>
      <c r="L452"/>
      <c r="M452"/>
      <c r="N452"/>
      <c r="O452"/>
      <c r="P452"/>
      <c r="Q452"/>
      <c r="R452"/>
      <c r="S452"/>
      <c r="T452"/>
      <c r="U452"/>
      <c r="V452"/>
      <c r="W452"/>
      <c r="X452"/>
      <c r="Y452"/>
      <c r="Z452"/>
      <c r="AA452"/>
      <c r="AB452" s="42"/>
      <c r="AC452"/>
      <c r="AD452"/>
    </row>
    <row r="453" spans="1:30" s="459" customFormat="1">
      <c r="A453" s="529" t="s">
        <v>683</v>
      </c>
      <c r="B453" s="459" t="s">
        <v>397</v>
      </c>
      <c r="C453" t="s">
        <v>396</v>
      </c>
      <c r="D453" s="459" t="s">
        <v>398</v>
      </c>
      <c r="E453" s="459" t="s">
        <v>395</v>
      </c>
      <c r="F453" s="459" t="s">
        <v>392</v>
      </c>
      <c r="G453"/>
      <c r="H453"/>
      <c r="I453"/>
      <c r="J453"/>
      <c r="K453"/>
      <c r="L453"/>
      <c r="M453"/>
      <c r="N453"/>
      <c r="O453"/>
      <c r="P453"/>
      <c r="Q453"/>
      <c r="R453"/>
      <c r="S453"/>
      <c r="T453"/>
      <c r="U453"/>
      <c r="V453"/>
      <c r="W453"/>
      <c r="X453"/>
      <c r="Y453"/>
      <c r="Z453"/>
      <c r="AA453"/>
      <c r="AB453" s="42"/>
      <c r="AC453"/>
      <c r="AD453"/>
    </row>
    <row r="454" spans="1:30" s="459" customFormat="1">
      <c r="A454" s="532" t="s">
        <v>684</v>
      </c>
      <c r="B454" s="459" t="s">
        <v>393</v>
      </c>
      <c r="C454" t="s">
        <v>394</v>
      </c>
      <c r="D454" s="459" t="s">
        <v>391</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685</v>
      </c>
      <c r="B455" t="s">
        <v>385</v>
      </c>
      <c r="C455" s="459" t="s">
        <v>389</v>
      </c>
      <c r="D455" s="459" t="s">
        <v>388</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686</v>
      </c>
      <c r="B456" s="459" t="s">
        <v>373</v>
      </c>
      <c r="C456" t="s">
        <v>376</v>
      </c>
      <c r="D456" s="459" t="s">
        <v>383</v>
      </c>
      <c r="E456" s="459" t="s">
        <v>390</v>
      </c>
      <c r="F456"/>
      <c r="G456"/>
      <c r="H456"/>
      <c r="I456"/>
      <c r="J456"/>
      <c r="K456"/>
      <c r="L456"/>
      <c r="M456"/>
      <c r="N456"/>
      <c r="O456"/>
      <c r="P456"/>
      <c r="Q456"/>
      <c r="R456"/>
      <c r="S456"/>
      <c r="T456"/>
      <c r="U456"/>
      <c r="V456"/>
      <c r="W456"/>
      <c r="X456"/>
      <c r="Y456"/>
      <c r="Z456"/>
      <c r="AA456"/>
      <c r="AB456" s="42"/>
      <c r="AC456"/>
      <c r="AD456"/>
    </row>
    <row r="457" spans="1:30" s="459" customFormat="1">
      <c r="A457" s="537" t="s">
        <v>687</v>
      </c>
      <c r="B457" s="459" t="s">
        <v>387</v>
      </c>
      <c r="C457" t="s">
        <v>386</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374</v>
      </c>
      <c r="B458" t="s">
        <v>374</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688</v>
      </c>
      <c r="B459" s="459" t="s">
        <v>375</v>
      </c>
      <c r="C459" s="459" t="s">
        <v>380</v>
      </c>
      <c r="D459" s="459" t="s">
        <v>701</v>
      </c>
      <c r="E459" s="24" t="s">
        <v>379</v>
      </c>
      <c r="F459"/>
      <c r="G459"/>
      <c r="H459"/>
      <c r="I459"/>
      <c r="J459"/>
      <c r="K459"/>
      <c r="L459"/>
      <c r="M459"/>
      <c r="N459"/>
      <c r="O459"/>
      <c r="P459"/>
      <c r="Q459"/>
      <c r="R459"/>
      <c r="S459"/>
      <c r="T459"/>
      <c r="U459"/>
      <c r="V459"/>
      <c r="W459"/>
      <c r="X459"/>
      <c r="Y459"/>
      <c r="Z459"/>
      <c r="AA459"/>
      <c r="AB459" s="42"/>
      <c r="AC459"/>
      <c r="AD459"/>
    </row>
    <row r="460" spans="1:30" s="459" customFormat="1">
      <c r="A460" s="540" t="s">
        <v>689</v>
      </c>
      <c r="B460" s="458" t="s">
        <v>377</v>
      </c>
      <c r="C460" s="458" t="s">
        <v>381</v>
      </c>
      <c r="D460" s="458" t="s">
        <v>702</v>
      </c>
      <c r="E460" s="458" t="s">
        <v>382</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75">
      <c r="A465" s="401" t="s">
        <v>703</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399</v>
      </c>
      <c r="B467" s="459" t="s">
        <v>705</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706</v>
      </c>
      <c r="B468" t="s">
        <v>704</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707</v>
      </c>
      <c r="B469" s="459" t="s">
        <v>704</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708</v>
      </c>
      <c r="B470" s="1" t="s">
        <v>704</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710</v>
      </c>
      <c r="B471" s="21" t="s">
        <v>611</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711</v>
      </c>
      <c r="B472" s="458" t="s">
        <v>611</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709</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75">
      <c r="A477" s="401" t="s">
        <v>696</v>
      </c>
    </row>
    <row r="478" spans="1:30" s="459" customFormat="1" ht="15.75">
      <c r="A478" s="132" t="s">
        <v>345</v>
      </c>
      <c r="B478" s="825" t="s">
        <v>695</v>
      </c>
      <c r="C478" s="825"/>
      <c r="D478" s="825"/>
      <c r="E478" s="825"/>
      <c r="F478" s="825"/>
      <c r="G478" s="825"/>
      <c r="H478" s="825"/>
      <c r="I478" s="825"/>
      <c r="J478" s="825"/>
      <c r="K478" s="825"/>
      <c r="L478" s="825"/>
    </row>
    <row r="479" spans="1:30" s="459" customFormat="1">
      <c r="B479" s="526" t="s">
        <v>682</v>
      </c>
      <c r="C479" s="526" t="s">
        <v>683</v>
      </c>
      <c r="D479" s="526" t="s">
        <v>684</v>
      </c>
      <c r="E479" s="526" t="s">
        <v>685</v>
      </c>
      <c r="F479" s="526" t="s">
        <v>686</v>
      </c>
      <c r="G479" s="526" t="s">
        <v>687</v>
      </c>
      <c r="H479" s="526" t="s">
        <v>374</v>
      </c>
      <c r="I479" s="526" t="s">
        <v>688</v>
      </c>
      <c r="J479" s="526" t="s">
        <v>689</v>
      </c>
      <c r="K479" s="526" t="s">
        <v>690</v>
      </c>
      <c r="L479" s="526" t="s">
        <v>691</v>
      </c>
    </row>
    <row r="480" spans="1:30" s="459" customFormat="1" ht="15.75">
      <c r="A480" s="528" t="s">
        <v>694</v>
      </c>
    </row>
    <row r="481" spans="1:12" s="459" customFormat="1">
      <c r="A481" s="525" t="s">
        <v>692</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683</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684</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685</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686</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687</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374</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688</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689</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690</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691</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693</v>
      </c>
    </row>
    <row r="493" spans="1:12" s="459" customFormat="1"/>
    <row r="494" spans="1:12" s="459" customFormat="1"/>
    <row r="495" spans="1:12" s="459" customFormat="1"/>
    <row r="496" spans="1:12" s="459" customFormat="1" ht="15.75">
      <c r="A496" s="401" t="s">
        <v>697</v>
      </c>
    </row>
    <row r="497" spans="1:12" s="459" customFormat="1" ht="15.75">
      <c r="A497" s="132" t="s">
        <v>345</v>
      </c>
      <c r="B497" s="825" t="s">
        <v>695</v>
      </c>
      <c r="C497" s="825"/>
      <c r="D497" s="825"/>
      <c r="E497" s="825"/>
      <c r="F497" s="825"/>
      <c r="G497" s="825"/>
      <c r="H497" s="825"/>
      <c r="I497" s="825"/>
      <c r="J497" s="825"/>
      <c r="K497" s="825"/>
      <c r="L497" s="825"/>
    </row>
    <row r="498" spans="1:12" s="459" customFormat="1">
      <c r="B498" s="526" t="s">
        <v>682</v>
      </c>
      <c r="C498" s="526" t="s">
        <v>683</v>
      </c>
      <c r="D498" s="526" t="s">
        <v>684</v>
      </c>
      <c r="E498" s="526" t="s">
        <v>685</v>
      </c>
      <c r="F498" s="526" t="s">
        <v>686</v>
      </c>
      <c r="G498" s="526" t="s">
        <v>687</v>
      </c>
      <c r="H498" s="526" t="s">
        <v>374</v>
      </c>
      <c r="I498" s="526" t="s">
        <v>688</v>
      </c>
      <c r="J498" s="526" t="s">
        <v>689</v>
      </c>
      <c r="K498" s="526" t="s">
        <v>690</v>
      </c>
      <c r="L498" s="526" t="s">
        <v>691</v>
      </c>
    </row>
    <row r="499" spans="1:12" s="459" customFormat="1" ht="15.75">
      <c r="A499" s="528" t="s">
        <v>694</v>
      </c>
    </row>
    <row r="500" spans="1:12" s="459" customFormat="1">
      <c r="A500" s="525" t="s">
        <v>692</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683</v>
      </c>
      <c r="B501" s="459">
        <v>136</v>
      </c>
      <c r="C501" s="459">
        <v>51</v>
      </c>
      <c r="D501" s="459">
        <v>11</v>
      </c>
      <c r="E501" s="459">
        <v>4</v>
      </c>
      <c r="F501" s="459">
        <v>4</v>
      </c>
      <c r="G501" s="459">
        <v>5</v>
      </c>
      <c r="H501" s="459">
        <v>25</v>
      </c>
      <c r="I501" s="459">
        <v>14</v>
      </c>
      <c r="J501" s="459">
        <v>9</v>
      </c>
      <c r="K501" s="459">
        <v>7</v>
      </c>
      <c r="L501" s="459">
        <v>6</v>
      </c>
    </row>
    <row r="502" spans="1:12" s="459" customFormat="1">
      <c r="A502" s="525" t="s">
        <v>684</v>
      </c>
      <c r="B502" s="459">
        <v>140</v>
      </c>
      <c r="C502" s="459">
        <v>10</v>
      </c>
      <c r="D502" s="459">
        <v>65</v>
      </c>
      <c r="E502" s="459">
        <v>10</v>
      </c>
      <c r="F502" s="459">
        <v>4</v>
      </c>
      <c r="G502" s="459">
        <v>5</v>
      </c>
      <c r="H502" s="459">
        <v>24</v>
      </c>
      <c r="I502" s="459">
        <v>6</v>
      </c>
      <c r="J502" s="459">
        <v>12</v>
      </c>
      <c r="K502" s="459">
        <v>1</v>
      </c>
      <c r="L502" s="459">
        <v>3</v>
      </c>
    </row>
    <row r="503" spans="1:12" s="459" customFormat="1">
      <c r="A503" s="525" t="s">
        <v>685</v>
      </c>
      <c r="B503" s="459">
        <v>159</v>
      </c>
      <c r="C503" s="459">
        <v>5</v>
      </c>
      <c r="D503" s="459">
        <v>10</v>
      </c>
      <c r="E503" s="459">
        <v>66</v>
      </c>
      <c r="F503" s="459">
        <v>10</v>
      </c>
      <c r="G503" s="459">
        <v>30</v>
      </c>
      <c r="H503" s="459">
        <v>21</v>
      </c>
      <c r="I503" s="459">
        <v>6</v>
      </c>
      <c r="J503" s="459">
        <v>6</v>
      </c>
      <c r="K503" s="459">
        <v>1</v>
      </c>
      <c r="L503" s="459">
        <v>4</v>
      </c>
    </row>
    <row r="504" spans="1:12" s="459" customFormat="1">
      <c r="A504" s="525" t="s">
        <v>686</v>
      </c>
      <c r="B504" s="459">
        <v>156</v>
      </c>
      <c r="C504" s="459">
        <v>3</v>
      </c>
      <c r="D504" s="459">
        <v>5</v>
      </c>
      <c r="E504" s="459">
        <v>10</v>
      </c>
      <c r="F504" s="459">
        <v>68</v>
      </c>
      <c r="G504" s="459">
        <v>15</v>
      </c>
      <c r="H504" s="459">
        <v>25</v>
      </c>
      <c r="I504" s="459">
        <v>14</v>
      </c>
      <c r="J504" s="459">
        <v>7</v>
      </c>
      <c r="K504" s="459">
        <v>2</v>
      </c>
      <c r="L504" s="459">
        <v>6</v>
      </c>
    </row>
    <row r="505" spans="1:12" s="459" customFormat="1">
      <c r="A505" s="525" t="s">
        <v>687</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374</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688</v>
      </c>
      <c r="B507" s="459">
        <v>193</v>
      </c>
      <c r="C507" s="459">
        <v>14</v>
      </c>
      <c r="D507" s="459">
        <v>6</v>
      </c>
      <c r="E507" s="459">
        <v>7</v>
      </c>
      <c r="F507" s="459">
        <v>15</v>
      </c>
      <c r="G507" s="459">
        <v>9</v>
      </c>
      <c r="H507" s="459">
        <v>55</v>
      </c>
      <c r="I507" s="459">
        <v>68</v>
      </c>
      <c r="J507" s="459">
        <v>12</v>
      </c>
      <c r="K507" s="459">
        <v>5</v>
      </c>
      <c r="L507" s="459">
        <v>3</v>
      </c>
    </row>
    <row r="508" spans="1:12" s="459" customFormat="1">
      <c r="A508" s="525" t="s">
        <v>689</v>
      </c>
      <c r="B508" s="459">
        <v>111</v>
      </c>
      <c r="C508" s="459">
        <v>9</v>
      </c>
      <c r="D508" s="459">
        <v>14</v>
      </c>
      <c r="E508" s="459">
        <v>7</v>
      </c>
      <c r="F508" s="459">
        <v>7</v>
      </c>
      <c r="G508" s="459">
        <v>7</v>
      </c>
      <c r="H508" s="459">
        <v>22</v>
      </c>
      <c r="I508" s="459">
        <v>12</v>
      </c>
      <c r="J508" s="459">
        <v>29</v>
      </c>
      <c r="K508" s="459">
        <v>3</v>
      </c>
      <c r="L508" s="459">
        <v>2</v>
      </c>
    </row>
    <row r="509" spans="1:12">
      <c r="A509" s="525" t="s">
        <v>690</v>
      </c>
      <c r="B509" s="459">
        <v>29</v>
      </c>
      <c r="C509" s="459">
        <v>6</v>
      </c>
      <c r="D509" s="459">
        <v>1</v>
      </c>
      <c r="E509" s="459">
        <v>1</v>
      </c>
      <c r="F509" s="459">
        <v>2</v>
      </c>
      <c r="G509" s="459">
        <v>3</v>
      </c>
      <c r="H509" s="459">
        <v>8</v>
      </c>
      <c r="I509" s="459">
        <v>4</v>
      </c>
      <c r="J509" s="459">
        <v>2</v>
      </c>
      <c r="K509" s="459">
        <v>2</v>
      </c>
      <c r="L509" s="459">
        <v>1</v>
      </c>
    </row>
    <row r="510" spans="1:12">
      <c r="A510" s="527" t="s">
        <v>691</v>
      </c>
      <c r="B510" s="458">
        <v>82</v>
      </c>
      <c r="C510" s="458">
        <v>2</v>
      </c>
      <c r="D510" s="458">
        <v>2</v>
      </c>
      <c r="E510" s="458">
        <v>2</v>
      </c>
      <c r="F510" s="458">
        <v>2</v>
      </c>
      <c r="G510" s="458">
        <v>3</v>
      </c>
      <c r="H510" s="458">
        <v>15</v>
      </c>
      <c r="I510" s="458">
        <v>3</v>
      </c>
      <c r="J510" s="458">
        <v>1</v>
      </c>
      <c r="K510" s="458">
        <v>1</v>
      </c>
      <c r="L510" s="458">
        <v>50</v>
      </c>
    </row>
    <row r="511" spans="1:12">
      <c r="A511" s="459" t="s">
        <v>693</v>
      </c>
      <c r="B511" s="459"/>
      <c r="C511" s="459"/>
      <c r="D511" s="459"/>
      <c r="E511" s="459"/>
      <c r="F511" s="459"/>
      <c r="G511" s="459"/>
      <c r="H511" s="459"/>
      <c r="I511" s="459"/>
      <c r="J511" s="459"/>
      <c r="K511" s="459"/>
      <c r="L511" s="459"/>
    </row>
    <row r="513" spans="1:7" s="459" customFormat="1"/>
    <row r="514" spans="1:7">
      <c r="A514" s="459"/>
    </row>
    <row r="515" spans="1:7">
      <c r="A515" s="807" t="s">
        <v>721</v>
      </c>
      <c r="B515" s="807"/>
      <c r="C515" s="807"/>
      <c r="D515" s="807"/>
      <c r="E515" s="807"/>
      <c r="F515" s="807"/>
      <c r="G515" s="807"/>
    </row>
    <row r="516" spans="1:7">
      <c r="A516" s="518"/>
      <c r="B516" s="518"/>
      <c r="C516" s="518"/>
      <c r="D516" s="518"/>
      <c r="E516" s="518"/>
      <c r="F516" s="518"/>
      <c r="G516" s="543" t="s">
        <v>718</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719</v>
      </c>
      <c r="B526" s="551">
        <v>98845</v>
      </c>
      <c r="C526" s="551">
        <v>99827</v>
      </c>
      <c r="D526" s="551">
        <v>96406</v>
      </c>
      <c r="E526" s="551">
        <v>101480</v>
      </c>
      <c r="F526" s="551">
        <v>100399</v>
      </c>
      <c r="G526" s="551">
        <v>88551</v>
      </c>
    </row>
    <row r="527" spans="1:7">
      <c r="A527" s="834" t="s">
        <v>720</v>
      </c>
      <c r="B527" s="834"/>
      <c r="C527" s="834"/>
      <c r="D527" s="834"/>
      <c r="E527" s="834"/>
      <c r="F527" s="834"/>
      <c r="G527" s="834"/>
    </row>
    <row r="528" spans="1:7">
      <c r="A528" s="835" t="s">
        <v>722</v>
      </c>
      <c r="B528" s="835"/>
      <c r="C528" s="835"/>
      <c r="D528" s="835"/>
      <c r="E528" s="835"/>
      <c r="F528" s="835"/>
      <c r="G528" s="835"/>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75">
      <c r="A535" s="401" t="s">
        <v>740</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75">
      <c r="A536" s="132" t="s">
        <v>345</v>
      </c>
      <c r="B536" s="825" t="s">
        <v>695</v>
      </c>
      <c r="C536" s="825"/>
      <c r="D536" s="825"/>
      <c r="E536" s="825"/>
      <c r="F536" s="825"/>
      <c r="G536" s="825"/>
      <c r="H536" s="825"/>
      <c r="I536" s="825"/>
      <c r="J536" s="825"/>
      <c r="K536" s="825"/>
      <c r="L536" s="825"/>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682</v>
      </c>
      <c r="C537" s="529" t="s">
        <v>683</v>
      </c>
      <c r="D537" s="532" t="s">
        <v>684</v>
      </c>
      <c r="E537" s="534" t="s">
        <v>685</v>
      </c>
      <c r="F537" s="43" t="s">
        <v>686</v>
      </c>
      <c r="G537" s="537" t="s">
        <v>687</v>
      </c>
      <c r="H537" s="459" t="s">
        <v>374</v>
      </c>
      <c r="I537" s="539" t="s">
        <v>688</v>
      </c>
      <c r="J537" s="540" t="s">
        <v>689</v>
      </c>
      <c r="K537" s="526" t="s">
        <v>690</v>
      </c>
      <c r="L537" s="526" t="s">
        <v>691</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75">
      <c r="A538" s="528" t="s">
        <v>694</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692</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683</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684</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685</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686</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687</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374</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688</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689</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690</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691</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742</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699</v>
      </c>
      <c r="B554" s="826" t="s">
        <v>700</v>
      </c>
      <c r="C554" s="826"/>
      <c r="D554" s="826"/>
      <c r="E554" s="826"/>
      <c r="F554" s="826"/>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683</v>
      </c>
      <c r="B555" s="459" t="s">
        <v>397</v>
      </c>
      <c r="C555" s="459" t="s">
        <v>396</v>
      </c>
      <c r="D555" s="459" t="s">
        <v>398</v>
      </c>
      <c r="E555" s="459" t="s">
        <v>395</v>
      </c>
      <c r="F555" s="459" t="s">
        <v>392</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684</v>
      </c>
      <c r="B556" s="459" t="s">
        <v>393</v>
      </c>
      <c r="C556" s="459" t="s">
        <v>394</v>
      </c>
      <c r="D556" s="459" t="s">
        <v>391</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685</v>
      </c>
      <c r="B557" s="459" t="s">
        <v>385</v>
      </c>
      <c r="C557" s="459" t="s">
        <v>389</v>
      </c>
      <c r="D557" s="459" t="s">
        <v>388</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686</v>
      </c>
      <c r="B558" s="459" t="s">
        <v>373</v>
      </c>
      <c r="C558" s="459" t="s">
        <v>376</v>
      </c>
      <c r="D558" s="459" t="s">
        <v>383</v>
      </c>
      <c r="E558" s="459" t="s">
        <v>390</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687</v>
      </c>
      <c r="B559" s="459" t="s">
        <v>387</v>
      </c>
      <c r="C559" s="459" t="s">
        <v>386</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374</v>
      </c>
      <c r="B560" s="459" t="s">
        <v>374</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688</v>
      </c>
      <c r="B561" s="459" t="s">
        <v>375</v>
      </c>
      <c r="C561" s="459" t="s">
        <v>380</v>
      </c>
      <c r="D561" s="459" t="s">
        <v>701</v>
      </c>
      <c r="E561" s="459" t="s">
        <v>379</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689</v>
      </c>
      <c r="B562" s="458" t="s">
        <v>377</v>
      </c>
      <c r="C562" s="458" t="s">
        <v>381</v>
      </c>
      <c r="D562" s="458" t="s">
        <v>702</v>
      </c>
      <c r="E562" s="458" t="s">
        <v>382</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75">
      <c r="A567" s="401" t="s">
        <v>740</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399</v>
      </c>
      <c r="B569" s="459" t="s">
        <v>705</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706</v>
      </c>
      <c r="B570" s="1" t="s">
        <v>741</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707</v>
      </c>
      <c r="B571" s="1" t="s">
        <v>741</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708</v>
      </c>
      <c r="B572" s="458" t="s">
        <v>741</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709</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75">
      <c r="A577" s="401" t="s">
        <v>794</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795</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796</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793</v>
      </c>
      <c r="B581" s="458" t="s">
        <v>741</v>
      </c>
      <c r="C581" s="601">
        <f>C580/C579</f>
        <v>1.4620453681409198</v>
      </c>
      <c r="D581" s="601">
        <f t="shared" ref="D581:AC581" si="213">D580/D579</f>
        <v>1.3793875658298416</v>
      </c>
      <c r="E581" s="601">
        <f t="shared" si="213"/>
        <v>1.4862792377634615</v>
      </c>
      <c r="F581" s="601">
        <f t="shared" si="213"/>
        <v>1.2758837094916566</v>
      </c>
      <c r="G581" s="601">
        <f t="shared" si="213"/>
        <v>1.6410035358512787</v>
      </c>
      <c r="H581" s="601">
        <f t="shared" si="213"/>
        <v>1.5778905727849575</v>
      </c>
      <c r="I581" s="601">
        <f t="shared" si="213"/>
        <v>1.2114088232975861</v>
      </c>
      <c r="J581" s="601">
        <f t="shared" si="213"/>
        <v>1.4859569460606008</v>
      </c>
      <c r="K581" s="601">
        <f t="shared" si="213"/>
        <v>1.1842119745669166</v>
      </c>
      <c r="L581" s="601">
        <f t="shared" si="213"/>
        <v>1.4628489701532177</v>
      </c>
      <c r="M581" s="601">
        <f t="shared" si="213"/>
        <v>1.3306194305662751</v>
      </c>
      <c r="N581" s="601">
        <f t="shared" si="213"/>
        <v>1.401066436749296</v>
      </c>
      <c r="O581" s="601">
        <f t="shared" si="213"/>
        <v>1.5435521318404162</v>
      </c>
      <c r="P581" s="601">
        <f t="shared" si="213"/>
        <v>1.5342791255930024</v>
      </c>
      <c r="Q581" s="601">
        <f t="shared" si="213"/>
        <v>1.8491782767532252</v>
      </c>
      <c r="R581" s="601">
        <f t="shared" si="213"/>
        <v>1.80512968734413</v>
      </c>
      <c r="S581" s="601">
        <f t="shared" si="213"/>
        <v>1.5475501190957266</v>
      </c>
      <c r="T581" s="601">
        <f t="shared" si="213"/>
        <v>1.3507936655689778</v>
      </c>
      <c r="U581" s="601">
        <f t="shared" si="213"/>
        <v>2.2276573570679252</v>
      </c>
      <c r="V581" s="601">
        <f t="shared" si="213"/>
        <v>1.4103985268170536</v>
      </c>
      <c r="W581" s="601">
        <f t="shared" si="213"/>
        <v>1.1527638598529673</v>
      </c>
      <c r="X581" s="601">
        <f t="shared" si="213"/>
        <v>1.1291361879453536</v>
      </c>
      <c r="Y581" s="601">
        <f t="shared" si="213"/>
        <v>1.0966261578226115</v>
      </c>
      <c r="Z581" s="601">
        <f t="shared" si="213"/>
        <v>1.3638908094558242</v>
      </c>
      <c r="AA581" s="601">
        <f t="shared" si="213"/>
        <v>1.0776800202339714</v>
      </c>
      <c r="AB581" s="601">
        <f t="shared" si="213"/>
        <v>1.387123296561513</v>
      </c>
      <c r="AC581" s="601">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75">
      <c r="A585" s="522" t="s">
        <v>745</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75">
      <c r="A588" s="401" t="s">
        <v>746</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Commodities!C27</f>
        <v xml:space="preserve">Transport Demand: Turism fuel </v>
      </c>
      <c r="B590" s="459" t="s">
        <v>88</v>
      </c>
      <c r="C590" s="571">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Commodities!C28</f>
        <v xml:space="preserve">Transport Demand: Navigation fuel </v>
      </c>
      <c r="B591" s="459" t="s">
        <v>88</v>
      </c>
      <c r="C591" s="571">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Commodities!C29</f>
        <v>Transport Demand: Unspecified fuel</v>
      </c>
      <c r="B592" s="458" t="s">
        <v>88</v>
      </c>
      <c r="C592" s="575">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6" t="s">
        <v>757</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75">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75">
      <c r="A601" s="401" t="s">
        <v>746</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Commodities!C30</f>
        <v>Transport Demand: Aviation domestic</v>
      </c>
      <c r="B603" s="459" t="s">
        <v>88</v>
      </c>
      <c r="C603" s="585">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Commodities!C31</f>
        <v>Transport Demand: Aviation international</v>
      </c>
      <c r="B604" s="458" t="s">
        <v>88</v>
      </c>
      <c r="C604" s="575">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6" t="s">
        <v>773</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6"/>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764</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765</v>
      </c>
      <c r="B610" s="132" t="s">
        <v>758</v>
      </c>
      <c r="C610" s="132" t="s">
        <v>386</v>
      </c>
      <c r="D610" s="132" t="s">
        <v>374</v>
      </c>
      <c r="E610" s="132" t="s">
        <v>387</v>
      </c>
      <c r="F610" s="132" t="s">
        <v>759</v>
      </c>
      <c r="G610" s="132" t="s">
        <v>760</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761</v>
      </c>
      <c r="B611" s="39">
        <v>165.4</v>
      </c>
      <c r="C611" s="578">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762</v>
      </c>
      <c r="B612" s="39">
        <v>10.1</v>
      </c>
      <c r="C612" s="39">
        <v>0</v>
      </c>
      <c r="D612" s="39">
        <v>5.2</v>
      </c>
      <c r="E612" s="39">
        <v>0</v>
      </c>
      <c r="F612" s="577">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763</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766</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769</v>
      </c>
    </row>
    <row r="619" spans="1:32" s="459" customFormat="1">
      <c r="A619" s="132" t="s">
        <v>765</v>
      </c>
      <c r="B619" s="132" t="s">
        <v>758</v>
      </c>
      <c r="C619" s="132" t="s">
        <v>386</v>
      </c>
      <c r="D619" s="132" t="s">
        <v>374</v>
      </c>
      <c r="E619" s="132" t="s">
        <v>387</v>
      </c>
      <c r="F619" s="132" t="s">
        <v>759</v>
      </c>
      <c r="G619" s="132" t="s">
        <v>760</v>
      </c>
    </row>
    <row r="620" spans="1:32" s="459" customFormat="1">
      <c r="A620" s="459" t="s">
        <v>761</v>
      </c>
      <c r="B620" s="579">
        <f>B611/$B611</f>
        <v>1</v>
      </c>
      <c r="C620" s="579">
        <f>C611/$B611</f>
        <v>6.0459492140266021E-3</v>
      </c>
      <c r="D620" s="579">
        <f t="shared" ref="D620:G620" si="219">D611/$B611</f>
        <v>0.60278113663845223</v>
      </c>
      <c r="E620" s="579">
        <f t="shared" si="219"/>
        <v>0.34764207980652961</v>
      </c>
      <c r="F620" s="581">
        <f t="shared" si="219"/>
        <v>1.2091898428053204E-3</v>
      </c>
      <c r="G620" s="579">
        <f t="shared" si="219"/>
        <v>4.2321644498186213E-2</v>
      </c>
    </row>
    <row r="621" spans="1:32" s="459" customFormat="1">
      <c r="A621" s="459" t="s">
        <v>762</v>
      </c>
      <c r="B621" s="579">
        <f t="shared" ref="B621" si="220">B612/$B612</f>
        <v>1</v>
      </c>
      <c r="C621" s="579">
        <f t="shared" ref="C621:G621" si="221">C612/$B612</f>
        <v>0</v>
      </c>
      <c r="D621" s="579">
        <f t="shared" si="221"/>
        <v>0.51485148514851486</v>
      </c>
      <c r="E621" s="579">
        <f t="shared" si="221"/>
        <v>0</v>
      </c>
      <c r="F621" s="579">
        <f t="shared" si="221"/>
        <v>0</v>
      </c>
      <c r="G621" s="579">
        <f t="shared" si="221"/>
        <v>0.47524752475247523</v>
      </c>
    </row>
    <row r="622" spans="1:32" s="459" customFormat="1">
      <c r="A622" s="1" t="s">
        <v>763</v>
      </c>
      <c r="B622" s="584">
        <f t="shared" ref="B622" si="222">B613/$B613</f>
        <v>1</v>
      </c>
      <c r="C622" s="584">
        <f t="shared" ref="C622:G622" si="223">C613/$B613</f>
        <v>0</v>
      </c>
      <c r="D622" s="584">
        <f>D613/$B613</f>
        <v>0.62962962962962954</v>
      </c>
      <c r="E622" s="584">
        <f t="shared" si="223"/>
        <v>0.25925925925925924</v>
      </c>
      <c r="F622" s="584">
        <f t="shared" si="223"/>
        <v>0</v>
      </c>
      <c r="G622" s="584">
        <f t="shared" si="223"/>
        <v>9.2592592592592587E-2</v>
      </c>
    </row>
    <row r="623" spans="1:32" s="459" customFormat="1">
      <c r="A623" s="458" t="s">
        <v>772</v>
      </c>
      <c r="B623" s="580"/>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770</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767</v>
      </c>
      <c r="B628" s="459"/>
      <c r="C628" s="459"/>
      <c r="D628" s="459"/>
      <c r="E628" s="459"/>
      <c r="F628" s="459"/>
      <c r="G628" s="459"/>
    </row>
    <row r="629" spans="1:7">
      <c r="A629" s="132" t="s">
        <v>765</v>
      </c>
      <c r="B629" s="132" t="s">
        <v>758</v>
      </c>
      <c r="C629" s="132" t="s">
        <v>386</v>
      </c>
      <c r="D629" s="132" t="s">
        <v>374</v>
      </c>
      <c r="E629" s="132" t="s">
        <v>387</v>
      </c>
      <c r="F629" s="132" t="s">
        <v>759</v>
      </c>
      <c r="G629" s="132" t="s">
        <v>760</v>
      </c>
    </row>
    <row r="630" spans="1:7">
      <c r="A630" s="459" t="s">
        <v>761</v>
      </c>
      <c r="B630" s="459">
        <v>36521.1</v>
      </c>
      <c r="C630" s="459">
        <v>2387.8000000000002</v>
      </c>
      <c r="D630" s="459">
        <v>31319.4</v>
      </c>
      <c r="E630" s="459">
        <v>365.3</v>
      </c>
      <c r="F630" s="459">
        <v>770.9</v>
      </c>
      <c r="G630" s="459">
        <v>1677.7</v>
      </c>
    </row>
    <row r="631" spans="1:7">
      <c r="A631" s="459" t="s">
        <v>762</v>
      </c>
      <c r="B631" s="459">
        <v>157.4</v>
      </c>
      <c r="C631" s="459">
        <v>0.1</v>
      </c>
      <c r="D631" s="459">
        <v>143.69999999999999</v>
      </c>
      <c r="E631" s="459">
        <v>0</v>
      </c>
      <c r="F631" s="459">
        <v>0</v>
      </c>
      <c r="G631" s="459">
        <v>13.6</v>
      </c>
    </row>
    <row r="632" spans="1:7">
      <c r="A632" s="458" t="s">
        <v>763</v>
      </c>
      <c r="B632" s="458">
        <v>266.39999999999998</v>
      </c>
      <c r="C632" s="458">
        <v>20.399999999999999</v>
      </c>
      <c r="D632" s="458">
        <v>222.7</v>
      </c>
      <c r="E632" s="458">
        <v>3.3</v>
      </c>
      <c r="F632" s="458">
        <v>6.2</v>
      </c>
      <c r="G632" s="458">
        <v>13.7</v>
      </c>
    </row>
    <row r="633" spans="1:7">
      <c r="A633" s="21" t="s">
        <v>766</v>
      </c>
      <c r="B633" s="459"/>
      <c r="C633" s="459"/>
      <c r="D633" s="459"/>
      <c r="E633" s="459"/>
      <c r="F633" s="459"/>
      <c r="G633" s="459"/>
    </row>
    <row r="637" spans="1:7">
      <c r="A637" s="459" t="s">
        <v>768</v>
      </c>
      <c r="B637" s="459"/>
      <c r="C637" s="459"/>
      <c r="D637" s="459"/>
      <c r="E637" s="459"/>
      <c r="F637" s="459"/>
      <c r="G637" s="459"/>
    </row>
    <row r="638" spans="1:7">
      <c r="A638" s="132" t="s">
        <v>765</v>
      </c>
      <c r="B638" s="132" t="s">
        <v>758</v>
      </c>
      <c r="C638" s="132" t="s">
        <v>386</v>
      </c>
      <c r="D638" s="132" t="s">
        <v>374</v>
      </c>
      <c r="E638" s="132" t="s">
        <v>387</v>
      </c>
      <c r="F638" s="132" t="s">
        <v>759</v>
      </c>
      <c r="G638" s="132" t="s">
        <v>760</v>
      </c>
    </row>
    <row r="639" spans="1:7">
      <c r="A639" s="459" t="s">
        <v>761</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762</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763</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766</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771</v>
      </c>
      <c r="B646" s="459"/>
      <c r="C646" s="459"/>
      <c r="D646" s="459"/>
      <c r="E646" s="459"/>
      <c r="F646" s="459"/>
      <c r="G646" s="459"/>
    </row>
    <row r="647" spans="1:7">
      <c r="A647" s="132" t="s">
        <v>765</v>
      </c>
      <c r="B647" s="132" t="s">
        <v>758</v>
      </c>
      <c r="C647" s="132" t="s">
        <v>386</v>
      </c>
      <c r="D647" s="132" t="s">
        <v>374</v>
      </c>
      <c r="E647" s="132" t="s">
        <v>387</v>
      </c>
      <c r="F647" s="132" t="s">
        <v>759</v>
      </c>
      <c r="G647" s="132" t="s">
        <v>760</v>
      </c>
    </row>
    <row r="648" spans="1:7">
      <c r="A648" s="459" t="s">
        <v>761</v>
      </c>
      <c r="B648" s="579">
        <f>B639/$B639</f>
        <v>1</v>
      </c>
      <c r="C648" s="579">
        <f>C639/$B639</f>
        <v>6.5651328402423839E-2</v>
      </c>
      <c r="D648" s="579">
        <f t="shared" ref="D648:G648" si="227">D639/$B639</f>
        <v>0.85872916764083773</v>
      </c>
      <c r="E648" s="579">
        <f t="shared" si="227"/>
        <v>8.4663477804030746E-3</v>
      </c>
      <c r="F648" s="579">
        <f t="shared" si="227"/>
        <v>2.1198876654829918E-2</v>
      </c>
      <c r="G648" s="579">
        <f t="shared" si="227"/>
        <v>4.5954279521505575E-2</v>
      </c>
    </row>
    <row r="649" spans="1:7">
      <c r="A649" s="1" t="s">
        <v>762</v>
      </c>
      <c r="B649" s="584">
        <f t="shared" ref="B649" si="228">B640/$B640</f>
        <v>1</v>
      </c>
      <c r="C649" s="584">
        <f t="shared" ref="C649:G649" si="229">C640/$B640</f>
        <v>6.7888662593346908E-4</v>
      </c>
      <c r="D649" s="584">
        <f>D640/$B640</f>
        <v>0.94025797691785462</v>
      </c>
      <c r="E649" s="584">
        <f t="shared" si="229"/>
        <v>0</v>
      </c>
      <c r="F649" s="584">
        <f t="shared" si="229"/>
        <v>0</v>
      </c>
      <c r="G649" s="584">
        <f t="shared" si="229"/>
        <v>5.9742023082145282E-2</v>
      </c>
    </row>
    <row r="650" spans="1:7">
      <c r="A650" s="1" t="s">
        <v>763</v>
      </c>
      <c r="B650" s="584">
        <f t="shared" ref="B650" si="230">B641/$B641</f>
        <v>1</v>
      </c>
      <c r="C650" s="584">
        <f>C641/$B641</f>
        <v>7.8160919540229884E-2</v>
      </c>
      <c r="D650" s="584">
        <f>D641/$B641</f>
        <v>0.8402298850574712</v>
      </c>
      <c r="E650" s="584">
        <f t="shared" ref="E650:G650" si="231">E641/$B641</f>
        <v>7.2796934865900376E-3</v>
      </c>
      <c r="F650" s="584">
        <f t="shared" si="231"/>
        <v>2.3754789272030653E-2</v>
      </c>
      <c r="G650" s="584">
        <f t="shared" si="231"/>
        <v>5.057471264367816E-2</v>
      </c>
    </row>
    <row r="651" spans="1:7" s="459" customFormat="1">
      <c r="A651" s="458" t="s">
        <v>772</v>
      </c>
      <c r="B651" s="580"/>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770</v>
      </c>
      <c r="B652" s="459"/>
      <c r="C652" s="459"/>
      <c r="D652" s="459"/>
      <c r="E652" s="459"/>
      <c r="F652" s="459"/>
      <c r="G652" s="459"/>
    </row>
    <row r="654" spans="1:7">
      <c r="B654" s="582" t="s">
        <v>758</v>
      </c>
      <c r="C654" s="582" t="s">
        <v>386</v>
      </c>
      <c r="D654" s="582" t="s">
        <v>374</v>
      </c>
      <c r="E654" s="582" t="s">
        <v>387</v>
      </c>
      <c r="F654" s="582" t="s">
        <v>759</v>
      </c>
      <c r="G654" s="582" t="s">
        <v>760</v>
      </c>
    </row>
    <row r="655" spans="1:7">
      <c r="B655" s="583" t="s">
        <v>731</v>
      </c>
      <c r="C655" s="583" t="s">
        <v>386</v>
      </c>
      <c r="D655" s="583" t="s">
        <v>374</v>
      </c>
      <c r="E655" s="583" t="s">
        <v>387</v>
      </c>
      <c r="F655" s="583" t="s">
        <v>393</v>
      </c>
      <c r="G655" s="583" t="s">
        <v>385</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5"/>
  <cols>
    <col min="1" max="1" width="28.7109375" customWidth="1"/>
    <col min="2" max="2" width="9.42578125" customWidth="1"/>
  </cols>
  <sheetData>
    <row r="1" spans="1:4" s="459" customFormat="1">
      <c r="A1" s="459" t="s">
        <v>301</v>
      </c>
    </row>
    <row r="2" spans="1:4">
      <c r="A2" s="385"/>
      <c r="B2" s="385" t="s">
        <v>19</v>
      </c>
      <c r="C2" s="385" t="s">
        <v>18</v>
      </c>
      <c r="D2" s="385" t="s">
        <v>784</v>
      </c>
    </row>
    <row r="3" spans="1:4">
      <c r="A3" s="385" t="s">
        <v>782</v>
      </c>
      <c r="B3" s="593">
        <v>0.36</v>
      </c>
      <c r="C3" s="593">
        <v>0.34</v>
      </c>
      <c r="D3" s="593">
        <v>0.35</v>
      </c>
    </row>
    <row r="4" spans="1:4">
      <c r="A4" s="385" t="s">
        <v>783</v>
      </c>
      <c r="B4" s="593">
        <v>0.41</v>
      </c>
      <c r="C4" s="593">
        <v>0.41</v>
      </c>
      <c r="D4" s="593">
        <v>0.41</v>
      </c>
    </row>
    <row r="5" spans="1:4" s="459" customFormat="1">
      <c r="A5" s="385" t="s">
        <v>797</v>
      </c>
      <c r="B5" s="593">
        <v>0.45</v>
      </c>
      <c r="C5" s="593">
        <v>0.45</v>
      </c>
      <c r="D5" s="593">
        <v>0.45</v>
      </c>
    </row>
    <row r="6" spans="1:4">
      <c r="A6" s="385" t="s">
        <v>785</v>
      </c>
      <c r="B6" s="593">
        <v>0.4</v>
      </c>
      <c r="C6" s="593">
        <v>0.4</v>
      </c>
      <c r="D6" s="593">
        <v>0.4</v>
      </c>
    </row>
    <row r="30" spans="1:2">
      <c r="A30" s="133" t="s">
        <v>777</v>
      </c>
      <c r="B30" s="592" t="s">
        <v>776</v>
      </c>
    </row>
    <row r="31" spans="1:2">
      <c r="B31" s="592" t="s">
        <v>778</v>
      </c>
    </row>
    <row r="32" spans="1:2" s="459" customFormat="1">
      <c r="B32" s="592"/>
    </row>
    <row r="33" spans="2:2" s="459" customFormat="1">
      <c r="B33" s="592"/>
    </row>
    <row r="35" spans="2:2">
      <c r="B35" t="s">
        <v>780</v>
      </c>
    </row>
    <row r="57" spans="2:2">
      <c r="B57" s="389" t="s">
        <v>779</v>
      </c>
    </row>
    <row r="60" spans="2:2">
      <c r="B60" t="s">
        <v>781</v>
      </c>
    </row>
    <row r="80" spans="2:2">
      <c r="B80" s="389" t="s">
        <v>779</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110"/>
  <sheetViews>
    <sheetView topLeftCell="A6" zoomScale="115" zoomScaleNormal="115" workbookViewId="0">
      <selection activeCell="D32" sqref="D32"/>
    </sheetView>
  </sheetViews>
  <sheetFormatPr defaultRowHeight="15"/>
  <cols>
    <col min="1" max="1" width="22.42578125" bestFit="1" customWidth="1"/>
    <col min="2" max="2" width="13.7109375" customWidth="1"/>
    <col min="3" max="3" width="13.7109375" style="459" customWidth="1"/>
    <col min="4" max="4" width="14.7109375" style="448" customWidth="1"/>
    <col min="5" max="12" width="9" customWidth="1"/>
    <col min="13" max="13" width="10.85546875" customWidth="1"/>
    <col min="14" max="30" width="9" customWidth="1"/>
  </cols>
  <sheetData>
    <row r="1" spans="1:30" s="716" customFormat="1"/>
    <row r="2" spans="1:30" s="716" customFormat="1"/>
    <row r="3" spans="1:30" s="716" customFormat="1" ht="18.75">
      <c r="A3" s="837" t="s">
        <v>869</v>
      </c>
      <c r="B3" s="837"/>
      <c r="C3" s="837"/>
      <c r="D3" s="837"/>
    </row>
    <row r="4" spans="1:30" s="716" customFormat="1"/>
    <row r="5" spans="1:30" s="716" customFormat="1">
      <c r="D5" s="453" t="s">
        <v>988</v>
      </c>
    </row>
    <row r="6" spans="1:30" s="716" customFormat="1" ht="15.75" thickBot="1">
      <c r="A6" s="41" t="str">
        <f>A46</f>
        <v>TechName</v>
      </c>
      <c r="B6" s="41" t="str">
        <f t="shared" ref="B6:AD6" si="0">B46</f>
        <v>CommGrp</v>
      </c>
      <c r="C6" s="41" t="str">
        <f t="shared" si="0"/>
        <v>*unit</v>
      </c>
      <c r="D6" s="41" t="str">
        <f t="shared" si="0"/>
        <v>IE</v>
      </c>
      <c r="E6" s="41" t="str">
        <f t="shared" si="0"/>
        <v>IE-CW</v>
      </c>
      <c r="F6" s="41" t="str">
        <f t="shared" si="0"/>
        <v>IE-D</v>
      </c>
      <c r="G6" s="41" t="str">
        <f t="shared" si="0"/>
        <v>IE-KE</v>
      </c>
      <c r="H6" s="41" t="str">
        <f t="shared" si="0"/>
        <v>IE-KK</v>
      </c>
      <c r="I6" s="41" t="str">
        <f t="shared" si="0"/>
        <v>IE-LS</v>
      </c>
      <c r="J6" s="41" t="str">
        <f t="shared" si="0"/>
        <v>IE-LD</v>
      </c>
      <c r="K6" s="41" t="str">
        <f t="shared" si="0"/>
        <v>IE-LH</v>
      </c>
      <c r="L6" s="41" t="str">
        <f t="shared" si="0"/>
        <v>IE-MH</v>
      </c>
      <c r="M6" s="41" t="str">
        <f t="shared" si="0"/>
        <v>IE-OY</v>
      </c>
      <c r="N6" s="41" t="str">
        <f t="shared" si="0"/>
        <v>IE-WH</v>
      </c>
      <c r="O6" s="41" t="str">
        <f t="shared" si="0"/>
        <v>IE-WX</v>
      </c>
      <c r="P6" s="41" t="str">
        <f t="shared" si="0"/>
        <v>IE-WW</v>
      </c>
      <c r="Q6" s="41" t="str">
        <f t="shared" si="0"/>
        <v>IE-CE</v>
      </c>
      <c r="R6" s="41" t="str">
        <f t="shared" si="0"/>
        <v>IE-CO</v>
      </c>
      <c r="S6" s="41" t="str">
        <f t="shared" si="0"/>
        <v>IE-KY</v>
      </c>
      <c r="T6" s="41" t="str">
        <f t="shared" si="0"/>
        <v>IE-LK</v>
      </c>
      <c r="U6" s="41" t="str">
        <f t="shared" si="0"/>
        <v>IE-TA</v>
      </c>
      <c r="V6" s="41" t="str">
        <f t="shared" si="0"/>
        <v>IE-WD</v>
      </c>
      <c r="W6" s="41" t="str">
        <f t="shared" si="0"/>
        <v>IE-G</v>
      </c>
      <c r="X6" s="41" t="str">
        <f t="shared" si="0"/>
        <v>IE-LM</v>
      </c>
      <c r="Y6" s="41" t="str">
        <f t="shared" si="0"/>
        <v>IE-MO</v>
      </c>
      <c r="Z6" s="41" t="str">
        <f t="shared" si="0"/>
        <v>IE-RN</v>
      </c>
      <c r="AA6" s="41" t="str">
        <f t="shared" si="0"/>
        <v>IE-SO</v>
      </c>
      <c r="AB6" s="41" t="str">
        <f t="shared" si="0"/>
        <v>IE-CN</v>
      </c>
      <c r="AC6" s="41" t="str">
        <f t="shared" si="0"/>
        <v>IE-DL</v>
      </c>
      <c r="AD6" s="41" t="str">
        <f t="shared" si="0"/>
        <v>IE-MN</v>
      </c>
    </row>
    <row r="7" spans="1:30" s="716" customFormat="1">
      <c r="A7" s="455" t="s">
        <v>738</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0" s="716" customFormat="1">
      <c r="A8" s="480" t="str">
        <f>A48</f>
        <v>T-WLK_WLK</v>
      </c>
      <c r="B8" s="480" t="str">
        <f t="shared" ref="B8:C8" si="1">B48</f>
        <v>DEMO</v>
      </c>
      <c r="C8" s="480" t="str">
        <f t="shared" si="1"/>
        <v>pass/vehicle</v>
      </c>
      <c r="D8" s="478">
        <f>ROUNDUP(D48,2)</f>
        <v>1</v>
      </c>
      <c r="E8" s="478">
        <f t="shared" ref="E8:AD8" si="2">ROUNDUP(E48,2)</f>
        <v>1</v>
      </c>
      <c r="F8" s="478">
        <f t="shared" si="2"/>
        <v>1</v>
      </c>
      <c r="G8" s="478">
        <f t="shared" si="2"/>
        <v>1</v>
      </c>
      <c r="H8" s="478">
        <f t="shared" si="2"/>
        <v>1</v>
      </c>
      <c r="I8" s="478">
        <f t="shared" si="2"/>
        <v>1</v>
      </c>
      <c r="J8" s="478">
        <f t="shared" si="2"/>
        <v>1</v>
      </c>
      <c r="K8" s="478">
        <f t="shared" si="2"/>
        <v>1</v>
      </c>
      <c r="L8" s="478">
        <f t="shared" si="2"/>
        <v>1</v>
      </c>
      <c r="M8" s="478">
        <f t="shared" si="2"/>
        <v>1</v>
      </c>
      <c r="N8" s="478">
        <f t="shared" si="2"/>
        <v>1</v>
      </c>
      <c r="O8" s="478">
        <f t="shared" si="2"/>
        <v>1</v>
      </c>
      <c r="P8" s="478">
        <f t="shared" si="2"/>
        <v>1</v>
      </c>
      <c r="Q8" s="478">
        <f t="shared" si="2"/>
        <v>1</v>
      </c>
      <c r="R8" s="478">
        <f t="shared" si="2"/>
        <v>1</v>
      </c>
      <c r="S8" s="478">
        <f t="shared" si="2"/>
        <v>1</v>
      </c>
      <c r="T8" s="478">
        <f t="shared" si="2"/>
        <v>1</v>
      </c>
      <c r="U8" s="478">
        <f t="shared" si="2"/>
        <v>1</v>
      </c>
      <c r="V8" s="478">
        <f t="shared" si="2"/>
        <v>1</v>
      </c>
      <c r="W8" s="478">
        <f t="shared" si="2"/>
        <v>1</v>
      </c>
      <c r="X8" s="478">
        <f t="shared" si="2"/>
        <v>1</v>
      </c>
      <c r="Y8" s="478">
        <f t="shared" si="2"/>
        <v>1</v>
      </c>
      <c r="Z8" s="478">
        <f t="shared" si="2"/>
        <v>1</v>
      </c>
      <c r="AA8" s="478">
        <f t="shared" si="2"/>
        <v>1</v>
      </c>
      <c r="AB8" s="478">
        <f t="shared" si="2"/>
        <v>1</v>
      </c>
      <c r="AC8" s="478">
        <f t="shared" si="2"/>
        <v>1</v>
      </c>
      <c r="AD8" s="478">
        <f t="shared" si="2"/>
        <v>1</v>
      </c>
    </row>
    <row r="9" spans="1:30" s="716" customFormat="1">
      <c r="A9" s="480" t="str">
        <f t="shared" ref="A9:C9" si="3">A49</f>
        <v>T-CYC_CYC</v>
      </c>
      <c r="B9" s="480" t="str">
        <f t="shared" si="3"/>
        <v>DEMO</v>
      </c>
      <c r="C9" s="480" t="str">
        <f t="shared" si="3"/>
        <v>pass/vehicle</v>
      </c>
      <c r="D9" s="478">
        <f>ROUNDUP(D49,2)</f>
        <v>1</v>
      </c>
      <c r="E9" s="478">
        <f t="shared" ref="E9:AD9" si="4">ROUNDUP(E49,2)</f>
        <v>1</v>
      </c>
      <c r="F9" s="478">
        <f t="shared" si="4"/>
        <v>1</v>
      </c>
      <c r="G9" s="478">
        <f t="shared" si="4"/>
        <v>1</v>
      </c>
      <c r="H9" s="478">
        <f t="shared" si="4"/>
        <v>1</v>
      </c>
      <c r="I9" s="478">
        <f t="shared" si="4"/>
        <v>1</v>
      </c>
      <c r="J9" s="478">
        <f t="shared" si="4"/>
        <v>1</v>
      </c>
      <c r="K9" s="478">
        <f t="shared" si="4"/>
        <v>1</v>
      </c>
      <c r="L9" s="478">
        <f t="shared" si="4"/>
        <v>1</v>
      </c>
      <c r="M9" s="478">
        <f t="shared" si="4"/>
        <v>1</v>
      </c>
      <c r="N9" s="478">
        <f t="shared" si="4"/>
        <v>1</v>
      </c>
      <c r="O9" s="478">
        <f t="shared" si="4"/>
        <v>1</v>
      </c>
      <c r="P9" s="478">
        <f t="shared" si="4"/>
        <v>1</v>
      </c>
      <c r="Q9" s="478">
        <f t="shared" si="4"/>
        <v>1</v>
      </c>
      <c r="R9" s="478">
        <f t="shared" si="4"/>
        <v>1</v>
      </c>
      <c r="S9" s="478">
        <f t="shared" si="4"/>
        <v>1</v>
      </c>
      <c r="T9" s="478">
        <f t="shared" si="4"/>
        <v>1</v>
      </c>
      <c r="U9" s="478">
        <f t="shared" si="4"/>
        <v>1</v>
      </c>
      <c r="V9" s="478">
        <f t="shared" si="4"/>
        <v>1</v>
      </c>
      <c r="W9" s="478">
        <f t="shared" si="4"/>
        <v>1</v>
      </c>
      <c r="X9" s="478">
        <f t="shared" si="4"/>
        <v>1</v>
      </c>
      <c r="Y9" s="478">
        <f t="shared" si="4"/>
        <v>1</v>
      </c>
      <c r="Z9" s="478">
        <f t="shared" si="4"/>
        <v>1</v>
      </c>
      <c r="AA9" s="478">
        <f t="shared" si="4"/>
        <v>1</v>
      </c>
      <c r="AB9" s="478">
        <f t="shared" si="4"/>
        <v>1</v>
      </c>
      <c r="AC9" s="478">
        <f t="shared" si="4"/>
        <v>1</v>
      </c>
      <c r="AD9" s="478">
        <f t="shared" si="4"/>
        <v>1</v>
      </c>
    </row>
    <row r="10" spans="1:30" s="716" customFormat="1">
      <c r="A10" s="480" t="str">
        <f t="shared" ref="A10:C10" si="5">A50</f>
        <v>T-MOT-ICE_GSL00</v>
      </c>
      <c r="B10" s="480" t="str">
        <f t="shared" si="5"/>
        <v>DEMO</v>
      </c>
      <c r="C10" s="480" t="str">
        <f t="shared" si="5"/>
        <v>pass/vehicle</v>
      </c>
      <c r="D10" s="478">
        <f>ROUNDUP(IF(Stock!AH163&gt;1,Stock!AH163,1),2)</f>
        <v>1.1100000000000001</v>
      </c>
      <c r="E10" s="478">
        <f>ROUNDUP(IF(Stock!AI163&gt;1,Stock!AI163,1),2)</f>
        <v>1</v>
      </c>
      <c r="F10" s="478">
        <f>ROUNDUP(IF(Stock!AJ163&gt;1,Stock!AJ163,1),2)</f>
        <v>1.06</v>
      </c>
      <c r="G10" s="478">
        <f>ROUNDUP(IF(Stock!AK163&gt;1,Stock!AK163,1),2)</f>
        <v>1.23</v>
      </c>
      <c r="H10" s="478">
        <f>ROUNDUP(IF(Stock!AL163&gt;1,Stock!AL163,1),2)</f>
        <v>1</v>
      </c>
      <c r="I10" s="478">
        <f>ROUNDUP(IF(Stock!AM163&gt;1,Stock!AM163,1),2)</f>
        <v>1</v>
      </c>
      <c r="J10" s="478">
        <f>ROUNDUP(IF(Stock!AN163&gt;1,Stock!AN163,1),2)</f>
        <v>1.94</v>
      </c>
      <c r="K10" s="478">
        <f>ROUNDUP(IF(Stock!AO163&gt;1,Stock!AO163,1),2)</f>
        <v>1</v>
      </c>
      <c r="L10" s="478">
        <f>ROUNDUP(IF(Stock!AP163&gt;1,Stock!AP163,1),2)</f>
        <v>1.2</v>
      </c>
      <c r="M10" s="478">
        <f>ROUNDUP(IF(Stock!AQ163&gt;1,Stock!AQ163,1),2)</f>
        <v>1.24</v>
      </c>
      <c r="N10" s="478">
        <f>ROUNDUP(IF(Stock!AR163&gt;1,Stock!AR163,1),2)</f>
        <v>1.35</v>
      </c>
      <c r="O10" s="478">
        <f>ROUNDUP(IF(Stock!AS163&gt;1,Stock!AS163,1),2)</f>
        <v>1.1000000000000001</v>
      </c>
      <c r="P10" s="478">
        <f>ROUNDUP(IF(Stock!AT163&gt;1,Stock!AT163,1),2)</f>
        <v>1.05</v>
      </c>
      <c r="Q10" s="478">
        <f>ROUNDUP(IF(Stock!AU163&gt;1,Stock!AU163,1),2)</f>
        <v>1.32</v>
      </c>
      <c r="R10" s="478">
        <f>ROUNDUP(IF(Stock!AV163&gt;1,Stock!AV163,1),2)</f>
        <v>1.1300000000000001</v>
      </c>
      <c r="S10" s="478">
        <f>ROUNDUP(IF(Stock!AW163&gt;1,Stock!AW163,1),2)</f>
        <v>1.1599999999999999</v>
      </c>
      <c r="T10" s="478">
        <f>ROUNDUP(IF(Stock!AX163&gt;1,Stock!AX163,1),2)</f>
        <v>1.1000000000000001</v>
      </c>
      <c r="U10" s="478">
        <f>ROUNDUP(IF(Stock!AY163&gt;1,Stock!AY163,1),2)</f>
        <v>1.1599999999999999</v>
      </c>
      <c r="V10" s="478">
        <f>ROUNDUP(IF(Stock!AZ163&gt;1,Stock!AZ163,1),2)</f>
        <v>1</v>
      </c>
      <c r="W10" s="478">
        <f>ROUNDUP(IF(Stock!BA163&gt;1,Stock!BA163,1),2)</f>
        <v>1.1200000000000001</v>
      </c>
      <c r="X10" s="478">
        <f>ROUNDUP(IF(Stock!BB163&gt;1,Stock!BB163,1),2)</f>
        <v>2.5299999999999998</v>
      </c>
      <c r="Y10" s="478">
        <f>ROUNDUP(IF(Stock!BC163&gt;1,Stock!BC163,1),2)</f>
        <v>1.34</v>
      </c>
      <c r="Z10" s="478">
        <f>ROUNDUP(IF(Stock!BD163&gt;1,Stock!BD163,1),2)</f>
        <v>1.37</v>
      </c>
      <c r="AA10" s="478">
        <f>ROUNDUP(IF(Stock!BE163&gt;1,Stock!BE163,1),2)</f>
        <v>1.04</v>
      </c>
      <c r="AB10" s="478">
        <f>ROUNDUP(IF(Stock!BF163&gt;1,Stock!BF163,1),2)</f>
        <v>1</v>
      </c>
      <c r="AC10" s="478">
        <f>ROUNDUP(IF(Stock!BG163&gt;1,Stock!BG163,1),2)</f>
        <v>1.08</v>
      </c>
      <c r="AD10" s="478">
        <f>ROUNDUP(IF(Stock!BH163&gt;1,Stock!BH163,1),2)</f>
        <v>1.32</v>
      </c>
    </row>
    <row r="11" spans="1:30" s="716" customFormat="1">
      <c r="A11" s="480" t="str">
        <f t="shared" ref="A11:C11" si="6">A51</f>
        <v>T-CAR-ICE_GSL00</v>
      </c>
      <c r="B11" s="480" t="str">
        <f t="shared" si="6"/>
        <v>DEMO</v>
      </c>
      <c r="C11" s="480" t="str">
        <f t="shared" si="6"/>
        <v>pass/vehicle</v>
      </c>
      <c r="D11" s="478">
        <f>ROUNDUP(Stock!AH164,2)</f>
        <v>1.49</v>
      </c>
      <c r="E11" s="478">
        <f>ROUNDUP(Stock!AI164,2)</f>
        <v>1.5</v>
      </c>
      <c r="F11" s="478">
        <f>ROUNDUP(Stock!AJ164,2)</f>
        <v>1.53</v>
      </c>
      <c r="G11" s="478">
        <f>ROUNDUP(Stock!AK164,2)</f>
        <v>1.51</v>
      </c>
      <c r="H11" s="478">
        <f>ROUNDUP(Stock!AL164,2)</f>
        <v>1.46</v>
      </c>
      <c r="I11" s="478">
        <f>ROUNDUP(Stock!AM164,2)</f>
        <v>1.49</v>
      </c>
      <c r="J11" s="478">
        <f>ROUNDUP(Stock!AN164,2)</f>
        <v>1.43</v>
      </c>
      <c r="K11" s="478">
        <f>ROUNDUP(Stock!AO164,2)</f>
        <v>1.51</v>
      </c>
      <c r="L11" s="478">
        <f>ROUNDUP(Stock!AP164,2)</f>
        <v>1.51</v>
      </c>
      <c r="M11" s="478">
        <f>ROUNDUP(Stock!AQ164,2)</f>
        <v>1.5</v>
      </c>
      <c r="N11" s="478">
        <f>ROUNDUP(Stock!AR164,2)</f>
        <v>1.49</v>
      </c>
      <c r="O11" s="478">
        <f>ROUNDUP(Stock!AS164,2)</f>
        <v>1.5</v>
      </c>
      <c r="P11" s="478">
        <f>ROUNDUP(Stock!AT164,2)</f>
        <v>1.5</v>
      </c>
      <c r="Q11" s="478">
        <f>ROUNDUP(Stock!AU164,2)</f>
        <v>1.5</v>
      </c>
      <c r="R11" s="478">
        <f>ROUNDUP(Stock!AV164,2)</f>
        <v>1.49</v>
      </c>
      <c r="S11" s="478">
        <f>ROUNDUP(Stock!AW164,2)</f>
        <v>1.48</v>
      </c>
      <c r="T11" s="478">
        <f>ROUNDUP(Stock!AX164,2)</f>
        <v>1.51</v>
      </c>
      <c r="U11" s="478">
        <f>ROUNDUP(Stock!AY164,2)</f>
        <v>1.5</v>
      </c>
      <c r="V11" s="478">
        <f>ROUNDUP(Stock!AZ164,2)</f>
        <v>1.49</v>
      </c>
      <c r="W11" s="478">
        <f>ROUNDUP(Stock!BA164,2)</f>
        <v>1.35</v>
      </c>
      <c r="X11" s="478">
        <f>ROUNDUP(Stock!BB164,2)</f>
        <v>1.47</v>
      </c>
      <c r="Y11" s="478">
        <f>ROUNDUP(Stock!BC164,2)</f>
        <v>1.49</v>
      </c>
      <c r="Z11" s="478">
        <f>ROUNDUP(Stock!BD164,2)</f>
        <v>1.49</v>
      </c>
      <c r="AA11" s="478">
        <f>ROUNDUP(Stock!BE164,2)</f>
        <v>1.5</v>
      </c>
      <c r="AB11" s="478">
        <f>ROUNDUP(Stock!BF164,2)</f>
        <v>1.5</v>
      </c>
      <c r="AC11" s="478">
        <f>ROUNDUP(Stock!BG164,2)</f>
        <v>1.5</v>
      </c>
      <c r="AD11" s="478">
        <f>ROUNDUP(Stock!BH164,2)</f>
        <v>1.44</v>
      </c>
    </row>
    <row r="12" spans="1:30" s="716" customFormat="1">
      <c r="A12" s="480" t="str">
        <f t="shared" ref="A12:C12" si="7">A52</f>
        <v>T-CAR-ICE_DST00</v>
      </c>
      <c r="B12" s="480" t="str">
        <f t="shared" si="7"/>
        <v>DEMO</v>
      </c>
      <c r="C12" s="480" t="str">
        <f t="shared" si="7"/>
        <v>pass/vehicle</v>
      </c>
      <c r="D12" s="478">
        <f>ROUNDUP(D11,2)</f>
        <v>1.49</v>
      </c>
      <c r="E12" s="478">
        <f t="shared" ref="E12:AD19" si="8">ROUNDUP(E11,2)</f>
        <v>1.5</v>
      </c>
      <c r="F12" s="478">
        <f t="shared" si="8"/>
        <v>1.53</v>
      </c>
      <c r="G12" s="478">
        <f t="shared" si="8"/>
        <v>1.51</v>
      </c>
      <c r="H12" s="478">
        <f t="shared" si="8"/>
        <v>1.46</v>
      </c>
      <c r="I12" s="478">
        <f t="shared" si="8"/>
        <v>1.49</v>
      </c>
      <c r="J12" s="478">
        <f t="shared" si="8"/>
        <v>1.43</v>
      </c>
      <c r="K12" s="478">
        <f t="shared" si="8"/>
        <v>1.51</v>
      </c>
      <c r="L12" s="478">
        <f t="shared" si="8"/>
        <v>1.51</v>
      </c>
      <c r="M12" s="478">
        <f t="shared" si="8"/>
        <v>1.5</v>
      </c>
      <c r="N12" s="478">
        <f t="shared" si="8"/>
        <v>1.49</v>
      </c>
      <c r="O12" s="478">
        <f t="shared" si="8"/>
        <v>1.5</v>
      </c>
      <c r="P12" s="478">
        <f t="shared" si="8"/>
        <v>1.5</v>
      </c>
      <c r="Q12" s="478">
        <f t="shared" si="8"/>
        <v>1.5</v>
      </c>
      <c r="R12" s="478">
        <f t="shared" si="8"/>
        <v>1.49</v>
      </c>
      <c r="S12" s="478">
        <f t="shared" si="8"/>
        <v>1.48</v>
      </c>
      <c r="T12" s="478">
        <f t="shared" si="8"/>
        <v>1.51</v>
      </c>
      <c r="U12" s="478">
        <f t="shared" si="8"/>
        <v>1.5</v>
      </c>
      <c r="V12" s="478">
        <f t="shared" si="8"/>
        <v>1.49</v>
      </c>
      <c r="W12" s="478">
        <f t="shared" si="8"/>
        <v>1.35</v>
      </c>
      <c r="X12" s="478">
        <f t="shared" si="8"/>
        <v>1.47</v>
      </c>
      <c r="Y12" s="478">
        <f t="shared" si="8"/>
        <v>1.49</v>
      </c>
      <c r="Z12" s="478">
        <f t="shared" si="8"/>
        <v>1.49</v>
      </c>
      <c r="AA12" s="478">
        <f t="shared" si="8"/>
        <v>1.5</v>
      </c>
      <c r="AB12" s="478">
        <f t="shared" si="8"/>
        <v>1.5</v>
      </c>
      <c r="AC12" s="478">
        <f t="shared" si="8"/>
        <v>1.5</v>
      </c>
      <c r="AD12" s="478">
        <f t="shared" si="8"/>
        <v>1.44</v>
      </c>
    </row>
    <row r="13" spans="1:30" s="716" customFormat="1">
      <c r="A13" s="480" t="str">
        <f t="shared" ref="A13:C13" si="9">A53</f>
        <v>T-CAR-ICE_DF00</v>
      </c>
      <c r="B13" s="480" t="str">
        <f t="shared" si="9"/>
        <v>DEMO</v>
      </c>
      <c r="C13" s="480" t="str">
        <f t="shared" si="9"/>
        <v>pass/vehicle</v>
      </c>
      <c r="D13" s="478">
        <f t="shared" ref="D13:D19" si="10">ROUNDUP(D12,2)</f>
        <v>1.49</v>
      </c>
      <c r="E13" s="478">
        <f t="shared" si="8"/>
        <v>1.5</v>
      </c>
      <c r="F13" s="478">
        <f t="shared" si="8"/>
        <v>1.53</v>
      </c>
      <c r="G13" s="478">
        <f t="shared" si="8"/>
        <v>1.51</v>
      </c>
      <c r="H13" s="478">
        <f t="shared" si="8"/>
        <v>1.46</v>
      </c>
      <c r="I13" s="478">
        <f t="shared" si="8"/>
        <v>1.49</v>
      </c>
      <c r="J13" s="478">
        <f t="shared" si="8"/>
        <v>1.43</v>
      </c>
      <c r="K13" s="478">
        <f t="shared" si="8"/>
        <v>1.51</v>
      </c>
      <c r="L13" s="478">
        <f t="shared" si="8"/>
        <v>1.51</v>
      </c>
      <c r="M13" s="478">
        <f t="shared" si="8"/>
        <v>1.5</v>
      </c>
      <c r="N13" s="478">
        <f t="shared" si="8"/>
        <v>1.49</v>
      </c>
      <c r="O13" s="478">
        <f t="shared" si="8"/>
        <v>1.5</v>
      </c>
      <c r="P13" s="478">
        <f t="shared" si="8"/>
        <v>1.5</v>
      </c>
      <c r="Q13" s="478">
        <f t="shared" si="8"/>
        <v>1.5</v>
      </c>
      <c r="R13" s="478">
        <f t="shared" si="8"/>
        <v>1.49</v>
      </c>
      <c r="S13" s="478">
        <f t="shared" si="8"/>
        <v>1.48</v>
      </c>
      <c r="T13" s="478">
        <f t="shared" si="8"/>
        <v>1.51</v>
      </c>
      <c r="U13" s="478">
        <f t="shared" si="8"/>
        <v>1.5</v>
      </c>
      <c r="V13" s="478">
        <f t="shared" si="8"/>
        <v>1.49</v>
      </c>
      <c r="W13" s="478">
        <f t="shared" si="8"/>
        <v>1.35</v>
      </c>
      <c r="X13" s="478">
        <f t="shared" si="8"/>
        <v>1.47</v>
      </c>
      <c r="Y13" s="478">
        <f t="shared" si="8"/>
        <v>1.49</v>
      </c>
      <c r="Z13" s="478">
        <f t="shared" si="8"/>
        <v>1.49</v>
      </c>
      <c r="AA13" s="478">
        <f t="shared" si="8"/>
        <v>1.5</v>
      </c>
      <c r="AB13" s="478">
        <f t="shared" si="8"/>
        <v>1.5</v>
      </c>
      <c r="AC13" s="478">
        <f t="shared" si="8"/>
        <v>1.5</v>
      </c>
      <c r="AD13" s="478">
        <f t="shared" si="8"/>
        <v>1.44</v>
      </c>
    </row>
    <row r="14" spans="1:30" s="716" customFormat="1">
      <c r="A14" s="480" t="str">
        <f t="shared" ref="A14:C14" si="11">A54</f>
        <v>T-CAR-ICE_E8500</v>
      </c>
      <c r="B14" s="480" t="str">
        <f t="shared" si="11"/>
        <v>DEMO</v>
      </c>
      <c r="C14" s="480" t="str">
        <f t="shared" si="11"/>
        <v>pass/vehicle</v>
      </c>
      <c r="D14" s="478">
        <f t="shared" si="10"/>
        <v>1.49</v>
      </c>
      <c r="E14" s="478">
        <f t="shared" si="8"/>
        <v>1.5</v>
      </c>
      <c r="F14" s="478">
        <f t="shared" si="8"/>
        <v>1.53</v>
      </c>
      <c r="G14" s="478">
        <f t="shared" si="8"/>
        <v>1.51</v>
      </c>
      <c r="H14" s="478">
        <f t="shared" si="8"/>
        <v>1.46</v>
      </c>
      <c r="I14" s="478">
        <f t="shared" si="8"/>
        <v>1.49</v>
      </c>
      <c r="J14" s="478">
        <f t="shared" si="8"/>
        <v>1.43</v>
      </c>
      <c r="K14" s="478">
        <f t="shared" si="8"/>
        <v>1.51</v>
      </c>
      <c r="L14" s="478">
        <f t="shared" si="8"/>
        <v>1.51</v>
      </c>
      <c r="M14" s="478">
        <f t="shared" si="8"/>
        <v>1.5</v>
      </c>
      <c r="N14" s="478">
        <f t="shared" si="8"/>
        <v>1.49</v>
      </c>
      <c r="O14" s="478">
        <f t="shared" si="8"/>
        <v>1.5</v>
      </c>
      <c r="P14" s="478">
        <f t="shared" si="8"/>
        <v>1.5</v>
      </c>
      <c r="Q14" s="478">
        <f t="shared" si="8"/>
        <v>1.5</v>
      </c>
      <c r="R14" s="478">
        <f t="shared" si="8"/>
        <v>1.49</v>
      </c>
      <c r="S14" s="478">
        <f t="shared" si="8"/>
        <v>1.48</v>
      </c>
      <c r="T14" s="478">
        <f t="shared" si="8"/>
        <v>1.51</v>
      </c>
      <c r="U14" s="478">
        <f t="shared" si="8"/>
        <v>1.5</v>
      </c>
      <c r="V14" s="478">
        <f t="shared" si="8"/>
        <v>1.49</v>
      </c>
      <c r="W14" s="478">
        <f t="shared" si="8"/>
        <v>1.35</v>
      </c>
      <c r="X14" s="478">
        <f t="shared" si="8"/>
        <v>1.47</v>
      </c>
      <c r="Y14" s="478">
        <f t="shared" si="8"/>
        <v>1.49</v>
      </c>
      <c r="Z14" s="478">
        <f t="shared" si="8"/>
        <v>1.49</v>
      </c>
      <c r="AA14" s="478">
        <f t="shared" si="8"/>
        <v>1.5</v>
      </c>
      <c r="AB14" s="478">
        <f t="shared" si="8"/>
        <v>1.5</v>
      </c>
      <c r="AC14" s="478">
        <f t="shared" si="8"/>
        <v>1.5</v>
      </c>
      <c r="AD14" s="478">
        <f t="shared" si="8"/>
        <v>1.44</v>
      </c>
    </row>
    <row r="15" spans="1:30" s="716" customFormat="1">
      <c r="A15" s="480" t="str">
        <f t="shared" ref="A15:C15" si="12">A55</f>
        <v>T-CAR-HEV_GSL00</v>
      </c>
      <c r="B15" s="480" t="str">
        <f t="shared" si="12"/>
        <v>DEMO</v>
      </c>
      <c r="C15" s="480" t="str">
        <f t="shared" si="12"/>
        <v>pass/vehicle</v>
      </c>
      <c r="D15" s="478">
        <f t="shared" si="10"/>
        <v>1.49</v>
      </c>
      <c r="E15" s="478">
        <f t="shared" si="8"/>
        <v>1.5</v>
      </c>
      <c r="F15" s="478">
        <f t="shared" si="8"/>
        <v>1.53</v>
      </c>
      <c r="G15" s="478">
        <f t="shared" si="8"/>
        <v>1.51</v>
      </c>
      <c r="H15" s="478">
        <f t="shared" si="8"/>
        <v>1.46</v>
      </c>
      <c r="I15" s="478">
        <f t="shared" si="8"/>
        <v>1.49</v>
      </c>
      <c r="J15" s="478">
        <f t="shared" si="8"/>
        <v>1.43</v>
      </c>
      <c r="K15" s="478">
        <f t="shared" si="8"/>
        <v>1.51</v>
      </c>
      <c r="L15" s="478">
        <f t="shared" si="8"/>
        <v>1.51</v>
      </c>
      <c r="M15" s="478">
        <f t="shared" si="8"/>
        <v>1.5</v>
      </c>
      <c r="N15" s="478">
        <f t="shared" si="8"/>
        <v>1.49</v>
      </c>
      <c r="O15" s="478">
        <f t="shared" si="8"/>
        <v>1.5</v>
      </c>
      <c r="P15" s="478">
        <f t="shared" si="8"/>
        <v>1.5</v>
      </c>
      <c r="Q15" s="478">
        <f t="shared" si="8"/>
        <v>1.5</v>
      </c>
      <c r="R15" s="478">
        <f t="shared" si="8"/>
        <v>1.49</v>
      </c>
      <c r="S15" s="478">
        <f t="shared" si="8"/>
        <v>1.48</v>
      </c>
      <c r="T15" s="478">
        <f t="shared" si="8"/>
        <v>1.51</v>
      </c>
      <c r="U15" s="478">
        <f t="shared" si="8"/>
        <v>1.5</v>
      </c>
      <c r="V15" s="478">
        <f t="shared" si="8"/>
        <v>1.49</v>
      </c>
      <c r="W15" s="478">
        <f t="shared" si="8"/>
        <v>1.35</v>
      </c>
      <c r="X15" s="478">
        <f t="shared" si="8"/>
        <v>1.47</v>
      </c>
      <c r="Y15" s="478">
        <f t="shared" si="8"/>
        <v>1.49</v>
      </c>
      <c r="Z15" s="478">
        <f t="shared" si="8"/>
        <v>1.49</v>
      </c>
      <c r="AA15" s="478">
        <f t="shared" si="8"/>
        <v>1.5</v>
      </c>
      <c r="AB15" s="478">
        <f t="shared" si="8"/>
        <v>1.5</v>
      </c>
      <c r="AC15" s="478">
        <f t="shared" si="8"/>
        <v>1.5</v>
      </c>
      <c r="AD15" s="478">
        <f t="shared" si="8"/>
        <v>1.44</v>
      </c>
    </row>
    <row r="16" spans="1:30" s="716" customFormat="1">
      <c r="A16" s="480" t="str">
        <f t="shared" ref="A16:C16" si="13">A56</f>
        <v>T-CAR-HEV_DST00</v>
      </c>
      <c r="B16" s="480" t="str">
        <f t="shared" si="13"/>
        <v>DEMO</v>
      </c>
      <c r="C16" s="480" t="str">
        <f t="shared" si="13"/>
        <v>pass/vehicle</v>
      </c>
      <c r="D16" s="478">
        <f t="shared" si="10"/>
        <v>1.49</v>
      </c>
      <c r="E16" s="478">
        <f t="shared" si="8"/>
        <v>1.5</v>
      </c>
      <c r="F16" s="478">
        <f t="shared" si="8"/>
        <v>1.53</v>
      </c>
      <c r="G16" s="478">
        <f t="shared" si="8"/>
        <v>1.51</v>
      </c>
      <c r="H16" s="478">
        <f t="shared" si="8"/>
        <v>1.46</v>
      </c>
      <c r="I16" s="478">
        <f t="shared" si="8"/>
        <v>1.49</v>
      </c>
      <c r="J16" s="478">
        <f t="shared" si="8"/>
        <v>1.43</v>
      </c>
      <c r="K16" s="478">
        <f t="shared" si="8"/>
        <v>1.51</v>
      </c>
      <c r="L16" s="478">
        <f t="shared" si="8"/>
        <v>1.51</v>
      </c>
      <c r="M16" s="478">
        <f t="shared" si="8"/>
        <v>1.5</v>
      </c>
      <c r="N16" s="478">
        <f t="shared" si="8"/>
        <v>1.49</v>
      </c>
      <c r="O16" s="478">
        <f t="shared" si="8"/>
        <v>1.5</v>
      </c>
      <c r="P16" s="478">
        <f t="shared" si="8"/>
        <v>1.5</v>
      </c>
      <c r="Q16" s="478">
        <f t="shared" si="8"/>
        <v>1.5</v>
      </c>
      <c r="R16" s="478">
        <f t="shared" si="8"/>
        <v>1.49</v>
      </c>
      <c r="S16" s="478">
        <f t="shared" si="8"/>
        <v>1.48</v>
      </c>
      <c r="T16" s="478">
        <f t="shared" si="8"/>
        <v>1.51</v>
      </c>
      <c r="U16" s="478">
        <f t="shared" si="8"/>
        <v>1.5</v>
      </c>
      <c r="V16" s="478">
        <f t="shared" si="8"/>
        <v>1.49</v>
      </c>
      <c r="W16" s="478">
        <f t="shared" si="8"/>
        <v>1.35</v>
      </c>
      <c r="X16" s="478">
        <f t="shared" si="8"/>
        <v>1.47</v>
      </c>
      <c r="Y16" s="478">
        <f t="shared" si="8"/>
        <v>1.49</v>
      </c>
      <c r="Z16" s="478">
        <f t="shared" si="8"/>
        <v>1.49</v>
      </c>
      <c r="AA16" s="478">
        <f t="shared" si="8"/>
        <v>1.5</v>
      </c>
      <c r="AB16" s="478">
        <f t="shared" si="8"/>
        <v>1.5</v>
      </c>
      <c r="AC16" s="478">
        <f t="shared" si="8"/>
        <v>1.5</v>
      </c>
      <c r="AD16" s="478">
        <f t="shared" si="8"/>
        <v>1.44</v>
      </c>
    </row>
    <row r="17" spans="1:30" s="716" customFormat="1">
      <c r="A17" s="480" t="str">
        <f t="shared" ref="A17:C17" si="14">A57</f>
        <v>T-CAR-PHEV_GSL00</v>
      </c>
      <c r="B17" s="480" t="str">
        <f t="shared" si="14"/>
        <v>DEMO</v>
      </c>
      <c r="C17" s="480" t="str">
        <f t="shared" si="14"/>
        <v>pass/vehicle</v>
      </c>
      <c r="D17" s="478">
        <f t="shared" si="10"/>
        <v>1.49</v>
      </c>
      <c r="E17" s="478">
        <f t="shared" si="8"/>
        <v>1.5</v>
      </c>
      <c r="F17" s="478">
        <f t="shared" si="8"/>
        <v>1.53</v>
      </c>
      <c r="G17" s="478">
        <f t="shared" si="8"/>
        <v>1.51</v>
      </c>
      <c r="H17" s="478">
        <f t="shared" si="8"/>
        <v>1.46</v>
      </c>
      <c r="I17" s="478">
        <f t="shared" si="8"/>
        <v>1.49</v>
      </c>
      <c r="J17" s="478">
        <f t="shared" si="8"/>
        <v>1.43</v>
      </c>
      <c r="K17" s="478">
        <f t="shared" si="8"/>
        <v>1.51</v>
      </c>
      <c r="L17" s="478">
        <f t="shared" si="8"/>
        <v>1.51</v>
      </c>
      <c r="M17" s="478">
        <f t="shared" si="8"/>
        <v>1.5</v>
      </c>
      <c r="N17" s="478">
        <f t="shared" si="8"/>
        <v>1.49</v>
      </c>
      <c r="O17" s="478">
        <f t="shared" si="8"/>
        <v>1.5</v>
      </c>
      <c r="P17" s="478">
        <f t="shared" si="8"/>
        <v>1.5</v>
      </c>
      <c r="Q17" s="478">
        <f t="shared" si="8"/>
        <v>1.5</v>
      </c>
      <c r="R17" s="478">
        <f t="shared" si="8"/>
        <v>1.49</v>
      </c>
      <c r="S17" s="478">
        <f t="shared" si="8"/>
        <v>1.48</v>
      </c>
      <c r="T17" s="478">
        <f t="shared" si="8"/>
        <v>1.51</v>
      </c>
      <c r="U17" s="478">
        <f t="shared" si="8"/>
        <v>1.5</v>
      </c>
      <c r="V17" s="478">
        <f t="shared" si="8"/>
        <v>1.49</v>
      </c>
      <c r="W17" s="478">
        <f t="shared" si="8"/>
        <v>1.35</v>
      </c>
      <c r="X17" s="478">
        <f t="shared" si="8"/>
        <v>1.47</v>
      </c>
      <c r="Y17" s="478">
        <f t="shared" si="8"/>
        <v>1.49</v>
      </c>
      <c r="Z17" s="478">
        <f t="shared" si="8"/>
        <v>1.49</v>
      </c>
      <c r="AA17" s="478">
        <f t="shared" si="8"/>
        <v>1.5</v>
      </c>
      <c r="AB17" s="478">
        <f t="shared" si="8"/>
        <v>1.5</v>
      </c>
      <c r="AC17" s="478">
        <f t="shared" si="8"/>
        <v>1.5</v>
      </c>
      <c r="AD17" s="478">
        <f t="shared" si="8"/>
        <v>1.44</v>
      </c>
    </row>
    <row r="18" spans="1:30" s="716" customFormat="1">
      <c r="A18" s="480" t="str">
        <f t="shared" ref="A18:C18" si="15">A58</f>
        <v>T-CAR-PHEV_DST00</v>
      </c>
      <c r="B18" s="480" t="str">
        <f t="shared" si="15"/>
        <v>DEMO</v>
      </c>
      <c r="C18" s="480" t="str">
        <f t="shared" si="15"/>
        <v>pass/vehicle</v>
      </c>
      <c r="D18" s="478">
        <f t="shared" si="10"/>
        <v>1.49</v>
      </c>
      <c r="E18" s="478">
        <f t="shared" si="8"/>
        <v>1.5</v>
      </c>
      <c r="F18" s="478">
        <f t="shared" si="8"/>
        <v>1.53</v>
      </c>
      <c r="G18" s="478">
        <f t="shared" si="8"/>
        <v>1.51</v>
      </c>
      <c r="H18" s="478">
        <f t="shared" si="8"/>
        <v>1.46</v>
      </c>
      <c r="I18" s="478">
        <f t="shared" si="8"/>
        <v>1.49</v>
      </c>
      <c r="J18" s="478">
        <f t="shared" si="8"/>
        <v>1.43</v>
      </c>
      <c r="K18" s="478">
        <f t="shared" si="8"/>
        <v>1.51</v>
      </c>
      <c r="L18" s="478">
        <f t="shared" si="8"/>
        <v>1.51</v>
      </c>
      <c r="M18" s="478">
        <f t="shared" si="8"/>
        <v>1.5</v>
      </c>
      <c r="N18" s="478">
        <f t="shared" si="8"/>
        <v>1.49</v>
      </c>
      <c r="O18" s="478">
        <f t="shared" si="8"/>
        <v>1.5</v>
      </c>
      <c r="P18" s="478">
        <f t="shared" si="8"/>
        <v>1.5</v>
      </c>
      <c r="Q18" s="478">
        <f t="shared" si="8"/>
        <v>1.5</v>
      </c>
      <c r="R18" s="478">
        <f t="shared" si="8"/>
        <v>1.49</v>
      </c>
      <c r="S18" s="478">
        <f t="shared" si="8"/>
        <v>1.48</v>
      </c>
      <c r="T18" s="478">
        <f t="shared" si="8"/>
        <v>1.51</v>
      </c>
      <c r="U18" s="478">
        <f t="shared" si="8"/>
        <v>1.5</v>
      </c>
      <c r="V18" s="478">
        <f t="shared" si="8"/>
        <v>1.49</v>
      </c>
      <c r="W18" s="478">
        <f t="shared" si="8"/>
        <v>1.35</v>
      </c>
      <c r="X18" s="478">
        <f t="shared" si="8"/>
        <v>1.47</v>
      </c>
      <c r="Y18" s="478">
        <f t="shared" si="8"/>
        <v>1.49</v>
      </c>
      <c r="Z18" s="478">
        <f t="shared" si="8"/>
        <v>1.49</v>
      </c>
      <c r="AA18" s="478">
        <f t="shared" si="8"/>
        <v>1.5</v>
      </c>
      <c r="AB18" s="478">
        <f t="shared" si="8"/>
        <v>1.5</v>
      </c>
      <c r="AC18" s="478">
        <f t="shared" si="8"/>
        <v>1.5</v>
      </c>
      <c r="AD18" s="478">
        <f t="shared" si="8"/>
        <v>1.44</v>
      </c>
    </row>
    <row r="19" spans="1:30" s="716" customFormat="1">
      <c r="A19" s="480" t="str">
        <f t="shared" ref="A19:C19" si="16">A59</f>
        <v>T-CAR-BEV_ELC00</v>
      </c>
      <c r="B19" s="480" t="str">
        <f t="shared" si="16"/>
        <v>DEMO</v>
      </c>
      <c r="C19" s="480" t="str">
        <f t="shared" si="16"/>
        <v>pass/vehicle</v>
      </c>
      <c r="D19" s="478">
        <f t="shared" si="10"/>
        <v>1.49</v>
      </c>
      <c r="E19" s="478">
        <f t="shared" si="8"/>
        <v>1.5</v>
      </c>
      <c r="F19" s="478">
        <f t="shared" si="8"/>
        <v>1.53</v>
      </c>
      <c r="G19" s="478">
        <f t="shared" si="8"/>
        <v>1.51</v>
      </c>
      <c r="H19" s="478">
        <f t="shared" si="8"/>
        <v>1.46</v>
      </c>
      <c r="I19" s="478">
        <f t="shared" si="8"/>
        <v>1.49</v>
      </c>
      <c r="J19" s="478">
        <f t="shared" si="8"/>
        <v>1.43</v>
      </c>
      <c r="K19" s="478">
        <f t="shared" si="8"/>
        <v>1.51</v>
      </c>
      <c r="L19" s="478">
        <f t="shared" si="8"/>
        <v>1.51</v>
      </c>
      <c r="M19" s="478">
        <f t="shared" si="8"/>
        <v>1.5</v>
      </c>
      <c r="N19" s="478">
        <f t="shared" si="8"/>
        <v>1.49</v>
      </c>
      <c r="O19" s="478">
        <f t="shared" si="8"/>
        <v>1.5</v>
      </c>
      <c r="P19" s="478">
        <f t="shared" si="8"/>
        <v>1.5</v>
      </c>
      <c r="Q19" s="478">
        <f t="shared" si="8"/>
        <v>1.5</v>
      </c>
      <c r="R19" s="478">
        <f t="shared" si="8"/>
        <v>1.49</v>
      </c>
      <c r="S19" s="478">
        <f t="shared" si="8"/>
        <v>1.48</v>
      </c>
      <c r="T19" s="478">
        <f t="shared" si="8"/>
        <v>1.51</v>
      </c>
      <c r="U19" s="478">
        <f t="shared" si="8"/>
        <v>1.5</v>
      </c>
      <c r="V19" s="478">
        <f t="shared" si="8"/>
        <v>1.49</v>
      </c>
      <c r="W19" s="478">
        <f t="shared" si="8"/>
        <v>1.35</v>
      </c>
      <c r="X19" s="478">
        <f t="shared" si="8"/>
        <v>1.47</v>
      </c>
      <c r="Y19" s="478">
        <f t="shared" si="8"/>
        <v>1.49</v>
      </c>
      <c r="Z19" s="478">
        <f t="shared" si="8"/>
        <v>1.49</v>
      </c>
      <c r="AA19" s="478">
        <f t="shared" si="8"/>
        <v>1.5</v>
      </c>
      <c r="AB19" s="478">
        <f t="shared" si="8"/>
        <v>1.5</v>
      </c>
      <c r="AC19" s="478">
        <f t="shared" si="8"/>
        <v>1.5</v>
      </c>
      <c r="AD19" s="478">
        <f t="shared" si="8"/>
        <v>1.44</v>
      </c>
    </row>
    <row r="20" spans="1:30" s="716" customFormat="1">
      <c r="A20" s="480" t="str">
        <f t="shared" ref="A20:C20" si="17">A60</f>
        <v>T-TAX-ICE_GSL00</v>
      </c>
      <c r="B20" s="480" t="str">
        <f t="shared" si="17"/>
        <v>DEMO</v>
      </c>
      <c r="C20" s="480" t="str">
        <f t="shared" si="17"/>
        <v>pass/vehicle</v>
      </c>
      <c r="D20" s="478">
        <f>ROUNDUP(Stock!AH165,2)</f>
        <v>1.49</v>
      </c>
      <c r="E20" s="478">
        <f>Stock!AI165</f>
        <v>1.2864770089115007</v>
      </c>
      <c r="F20" s="478">
        <f>Stock!AJ165</f>
        <v>1.4920297290635816</v>
      </c>
      <c r="G20" s="478">
        <f>Stock!AK165</f>
        <v>1.4965882178803183</v>
      </c>
      <c r="H20" s="478">
        <f>Stock!AL165</f>
        <v>1.4977904978351977</v>
      </c>
      <c r="I20" s="478">
        <f>Stock!AM165</f>
        <v>1.4310653132695272</v>
      </c>
      <c r="J20" s="478">
        <f>Stock!AN165</f>
        <v>1.5125960645241427</v>
      </c>
      <c r="K20" s="478">
        <f>Stock!AO165</f>
        <v>1.5228727834472542</v>
      </c>
      <c r="L20" s="478">
        <f>Stock!AP165</f>
        <v>1.4762626822387042</v>
      </c>
      <c r="M20" s="478">
        <f>Stock!AQ165</f>
        <v>1.4201989273688242</v>
      </c>
      <c r="N20" s="478">
        <f>Stock!AR165</f>
        <v>1.5206424319807899</v>
      </c>
      <c r="O20" s="478">
        <f>Stock!AS165</f>
        <v>1.5788100500066378</v>
      </c>
      <c r="P20" s="478">
        <f>Stock!AT165</f>
        <v>1.5169195586874926</v>
      </c>
      <c r="Q20" s="478">
        <f>Stock!AU165</f>
        <v>1.4962888783453543</v>
      </c>
      <c r="R20" s="478">
        <f>Stock!AV165</f>
        <v>1.4940666969479417</v>
      </c>
      <c r="S20" s="478">
        <f>Stock!AW165</f>
        <v>1.4828819131855375</v>
      </c>
      <c r="T20" s="478">
        <f>Stock!AX165</f>
        <v>1.5401449896847841</v>
      </c>
      <c r="U20" s="478">
        <f>Stock!AY165</f>
        <v>1.4580171245632942</v>
      </c>
      <c r="V20" s="478">
        <f>Stock!AZ165</f>
        <v>1.3932425331233422</v>
      </c>
      <c r="W20" s="478">
        <f>Stock!BA165</f>
        <v>1.4674576355007889</v>
      </c>
      <c r="X20" s="478">
        <f>Stock!BB165</f>
        <v>1.6024869748792236</v>
      </c>
      <c r="Y20" s="478">
        <f>Stock!BC165</f>
        <v>1.476022708121151</v>
      </c>
      <c r="Z20" s="478">
        <f>Stock!BD165</f>
        <v>1.4552294346858181</v>
      </c>
      <c r="AA20" s="478">
        <f>Stock!BE165</f>
        <v>1.3490355626033566</v>
      </c>
      <c r="AB20" s="478">
        <f>Stock!BF165</f>
        <v>1.4490615456274449</v>
      </c>
      <c r="AC20" s="478">
        <f>Stock!BG165</f>
        <v>1.5121196904749867</v>
      </c>
      <c r="AD20" s="478">
        <f>Stock!BH165</f>
        <v>1.3801290603395258</v>
      </c>
    </row>
    <row r="21" spans="1:30" s="716" customFormat="1">
      <c r="A21" s="480" t="str">
        <f t="shared" ref="A21:C21" si="18">A61</f>
        <v>T-TAX-ICE_DST00</v>
      </c>
      <c r="B21" s="480" t="str">
        <f t="shared" si="18"/>
        <v>DEMO</v>
      </c>
      <c r="C21" s="480" t="str">
        <f t="shared" si="18"/>
        <v>pass/vehicle</v>
      </c>
      <c r="D21" s="478">
        <f>ROUND(D20,2)</f>
        <v>1.49</v>
      </c>
      <c r="E21" s="478">
        <f t="shared" ref="E21:AD22" si="19">ROUND(E20,2)</f>
        <v>1.29</v>
      </c>
      <c r="F21" s="478">
        <f t="shared" si="19"/>
        <v>1.49</v>
      </c>
      <c r="G21" s="478">
        <f t="shared" si="19"/>
        <v>1.5</v>
      </c>
      <c r="H21" s="478">
        <f t="shared" si="19"/>
        <v>1.5</v>
      </c>
      <c r="I21" s="478">
        <f t="shared" si="19"/>
        <v>1.43</v>
      </c>
      <c r="J21" s="478">
        <f t="shared" si="19"/>
        <v>1.51</v>
      </c>
      <c r="K21" s="478">
        <f t="shared" si="19"/>
        <v>1.52</v>
      </c>
      <c r="L21" s="478">
        <f t="shared" si="19"/>
        <v>1.48</v>
      </c>
      <c r="M21" s="478">
        <f t="shared" si="19"/>
        <v>1.42</v>
      </c>
      <c r="N21" s="478">
        <f t="shared" si="19"/>
        <v>1.52</v>
      </c>
      <c r="O21" s="478">
        <f t="shared" si="19"/>
        <v>1.58</v>
      </c>
      <c r="P21" s="478">
        <f t="shared" si="19"/>
        <v>1.52</v>
      </c>
      <c r="Q21" s="478">
        <f t="shared" si="19"/>
        <v>1.5</v>
      </c>
      <c r="R21" s="478">
        <f t="shared" si="19"/>
        <v>1.49</v>
      </c>
      <c r="S21" s="478">
        <f t="shared" si="19"/>
        <v>1.48</v>
      </c>
      <c r="T21" s="478">
        <f t="shared" si="19"/>
        <v>1.54</v>
      </c>
      <c r="U21" s="478">
        <f t="shared" si="19"/>
        <v>1.46</v>
      </c>
      <c r="V21" s="478">
        <f t="shared" si="19"/>
        <v>1.39</v>
      </c>
      <c r="W21" s="478">
        <f t="shared" si="19"/>
        <v>1.47</v>
      </c>
      <c r="X21" s="478">
        <f t="shared" si="19"/>
        <v>1.6</v>
      </c>
      <c r="Y21" s="478">
        <f t="shared" si="19"/>
        <v>1.48</v>
      </c>
      <c r="Z21" s="478">
        <f t="shared" si="19"/>
        <v>1.46</v>
      </c>
      <c r="AA21" s="478">
        <f t="shared" si="19"/>
        <v>1.35</v>
      </c>
      <c r="AB21" s="478">
        <f t="shared" si="19"/>
        <v>1.45</v>
      </c>
      <c r="AC21" s="478">
        <f t="shared" si="19"/>
        <v>1.51</v>
      </c>
      <c r="AD21" s="478">
        <f t="shared" si="19"/>
        <v>1.38</v>
      </c>
    </row>
    <row r="22" spans="1:30" s="716" customFormat="1">
      <c r="A22" s="480" t="str">
        <f t="shared" ref="A22:C22" si="20">A62</f>
        <v>T-TAX-HEV_GSL00</v>
      </c>
      <c r="B22" s="480" t="str">
        <f t="shared" si="20"/>
        <v>DEMO</v>
      </c>
      <c r="C22" s="480" t="str">
        <f t="shared" si="20"/>
        <v>pass/vehicle</v>
      </c>
      <c r="D22" s="478">
        <f>ROUND(D21,2)</f>
        <v>1.49</v>
      </c>
      <c r="E22" s="478">
        <f t="shared" si="19"/>
        <v>1.29</v>
      </c>
      <c r="F22" s="478">
        <f t="shared" si="19"/>
        <v>1.49</v>
      </c>
      <c r="G22" s="478">
        <f t="shared" si="19"/>
        <v>1.5</v>
      </c>
      <c r="H22" s="478">
        <f t="shared" si="19"/>
        <v>1.5</v>
      </c>
      <c r="I22" s="478">
        <f t="shared" si="19"/>
        <v>1.43</v>
      </c>
      <c r="J22" s="478">
        <f t="shared" si="19"/>
        <v>1.51</v>
      </c>
      <c r="K22" s="478">
        <f t="shared" si="19"/>
        <v>1.52</v>
      </c>
      <c r="L22" s="478">
        <f t="shared" si="19"/>
        <v>1.48</v>
      </c>
      <c r="M22" s="478">
        <f t="shared" si="19"/>
        <v>1.42</v>
      </c>
      <c r="N22" s="478">
        <f t="shared" si="19"/>
        <v>1.52</v>
      </c>
      <c r="O22" s="478">
        <f t="shared" si="19"/>
        <v>1.58</v>
      </c>
      <c r="P22" s="478">
        <f t="shared" si="19"/>
        <v>1.52</v>
      </c>
      <c r="Q22" s="478">
        <f t="shared" si="19"/>
        <v>1.5</v>
      </c>
      <c r="R22" s="478">
        <f t="shared" si="19"/>
        <v>1.49</v>
      </c>
      <c r="S22" s="478">
        <f t="shared" si="19"/>
        <v>1.48</v>
      </c>
      <c r="T22" s="478">
        <f t="shared" si="19"/>
        <v>1.54</v>
      </c>
      <c r="U22" s="478">
        <f t="shared" si="19"/>
        <v>1.46</v>
      </c>
      <c r="V22" s="478">
        <f t="shared" si="19"/>
        <v>1.39</v>
      </c>
      <c r="W22" s="478">
        <f t="shared" si="19"/>
        <v>1.47</v>
      </c>
      <c r="X22" s="478">
        <f t="shared" si="19"/>
        <v>1.6</v>
      </c>
      <c r="Y22" s="478">
        <f t="shared" si="19"/>
        <v>1.48</v>
      </c>
      <c r="Z22" s="478">
        <f t="shared" si="19"/>
        <v>1.46</v>
      </c>
      <c r="AA22" s="478">
        <f t="shared" si="19"/>
        <v>1.35</v>
      </c>
      <c r="AB22" s="478">
        <f t="shared" si="19"/>
        <v>1.45</v>
      </c>
      <c r="AC22" s="478">
        <f t="shared" si="19"/>
        <v>1.51</v>
      </c>
      <c r="AD22" s="478">
        <f t="shared" si="19"/>
        <v>1.38</v>
      </c>
    </row>
    <row r="23" spans="1:30" s="716" customFormat="1">
      <c r="A23" s="480" t="str">
        <f t="shared" ref="A23:C23" si="21">A63</f>
        <v>T-BUS-ICE_DST00</v>
      </c>
      <c r="B23" s="480" t="str">
        <f t="shared" si="21"/>
        <v>DEMO</v>
      </c>
      <c r="C23" s="480" t="str">
        <f t="shared" si="21"/>
        <v>pass/vehicle</v>
      </c>
      <c r="D23" s="478">
        <f>ROUNDUP(Stock!AH166,2)</f>
        <v>25.430000000000003</v>
      </c>
      <c r="E23" s="478">
        <f>ROUNDUP(Stock!AI166,2)</f>
        <v>25.16</v>
      </c>
      <c r="F23" s="478">
        <f>ROUNDUP(Stock!AJ166,2)</f>
        <v>27.310000000000002</v>
      </c>
      <c r="G23" s="478">
        <f>ROUNDUP(Stock!AK166,2)</f>
        <v>27.89</v>
      </c>
      <c r="H23" s="478">
        <f>ROUNDUP(Stock!AL166,2)</f>
        <v>27.94</v>
      </c>
      <c r="I23" s="478">
        <f>ROUNDUP(Stock!AM166,2)</f>
        <v>24.860000000000003</v>
      </c>
      <c r="J23" s="478">
        <f>ROUNDUP(Stock!AN166,2)</f>
        <v>26.39</v>
      </c>
      <c r="K23" s="478">
        <f>ROUNDUP(Stock!AO166,2)</f>
        <v>25.950000000000003</v>
      </c>
      <c r="L23" s="478">
        <f>ROUNDUP(Stock!AP166,2)</f>
        <v>27.130000000000003</v>
      </c>
      <c r="M23" s="478">
        <f>ROUNDUP(Stock!AQ166,2)</f>
        <v>28.430000000000003</v>
      </c>
      <c r="N23" s="478">
        <f>ROUNDUP(Stock!AR166,2)</f>
        <v>26.330000000000002</v>
      </c>
      <c r="O23" s="478">
        <f>ROUNDUP(Stock!AS166,2)</f>
        <v>27.8</v>
      </c>
      <c r="P23" s="478">
        <f>ROUNDUP(Stock!AT166,2)</f>
        <v>27.720000000000002</v>
      </c>
      <c r="Q23" s="478">
        <f>ROUNDUP(Stock!AU166,2)</f>
        <v>25.930000000000003</v>
      </c>
      <c r="R23" s="478">
        <f>ROUNDUP(Stock!AV166,2)</f>
        <v>27.21</v>
      </c>
      <c r="S23" s="478">
        <f>ROUNDUP(Stock!AW166,2)</f>
        <v>26.740000000000002</v>
      </c>
      <c r="T23" s="478">
        <f>ROUNDUP(Stock!AX166,2)</f>
        <v>27.520000000000003</v>
      </c>
      <c r="U23" s="478">
        <f>ROUNDUP(Stock!AY166,2)</f>
        <v>27.94</v>
      </c>
      <c r="V23" s="478">
        <f>ROUNDUP(Stock!AZ166,2)</f>
        <v>29.42</v>
      </c>
      <c r="W23" s="478">
        <f>ROUNDUP(Stock!BA166,2)</f>
        <v>27.360000000000003</v>
      </c>
      <c r="X23" s="478">
        <f>ROUNDUP(Stock!BB166,2)</f>
        <v>24.82</v>
      </c>
      <c r="Y23" s="478">
        <f>ROUNDUP(Stock!BC166,2)</f>
        <v>27.71</v>
      </c>
      <c r="Z23" s="478">
        <f>ROUNDUP(Stock!BD166,2)</f>
        <v>27.34</v>
      </c>
      <c r="AA23" s="478">
        <f>ROUNDUP(Stock!BE166,2)</f>
        <v>26.240000000000002</v>
      </c>
      <c r="AB23" s="478">
        <f>D23</f>
        <v>25.430000000000003</v>
      </c>
      <c r="AC23" s="478">
        <f>D23</f>
        <v>25.430000000000003</v>
      </c>
      <c r="AD23" s="478">
        <f>ROUNDUP(Stock!BH166,2)</f>
        <v>27.25</v>
      </c>
    </row>
    <row r="24" spans="1:30" s="716" customFormat="1">
      <c r="A24" s="480" t="str">
        <f t="shared" ref="A24:C24" si="22">A64</f>
        <v>T-LPT-EV_ELC00</v>
      </c>
      <c r="B24" s="480" t="str">
        <f t="shared" si="22"/>
        <v>DEMO</v>
      </c>
      <c r="C24" s="480" t="str">
        <f t="shared" si="22"/>
        <v>pass/vehicle</v>
      </c>
      <c r="D24" s="478">
        <f>ROUNDUP(Stock!AH167,2)</f>
        <v>78.03</v>
      </c>
      <c r="E24" s="478">
        <f>ROUNDUP(Stock!AI167,2)</f>
        <v>78.03</v>
      </c>
      <c r="F24" s="478">
        <f>ROUNDUP(Stock!AJ167,2)</f>
        <v>78.03</v>
      </c>
      <c r="G24" s="478">
        <f>ROUNDUP(Stock!AK167,2)</f>
        <v>78.03</v>
      </c>
      <c r="H24" s="478">
        <f>ROUNDUP(Stock!AL167,2)</f>
        <v>78.03</v>
      </c>
      <c r="I24" s="478">
        <f>ROUNDUP(Stock!AM167,2)</f>
        <v>78.03</v>
      </c>
      <c r="J24" s="478">
        <f>ROUNDUP(Stock!AN167,2)</f>
        <v>78.03</v>
      </c>
      <c r="K24" s="478">
        <f>ROUNDUP(Stock!AO167,2)</f>
        <v>78.03</v>
      </c>
      <c r="L24" s="478">
        <f>ROUNDUP(Stock!AP167,2)</f>
        <v>78.03</v>
      </c>
      <c r="M24" s="478">
        <f>ROUNDUP(Stock!AQ167,2)</f>
        <v>78.03</v>
      </c>
      <c r="N24" s="478">
        <f>ROUNDUP(Stock!AR167,2)</f>
        <v>78.03</v>
      </c>
      <c r="O24" s="478">
        <f>ROUNDUP(Stock!AS167,2)</f>
        <v>78.03</v>
      </c>
      <c r="P24" s="478">
        <f>ROUNDUP(Stock!AT167,2)</f>
        <v>78.03</v>
      </c>
      <c r="Q24" s="478">
        <f>ROUNDUP(Stock!AU167,2)</f>
        <v>78.03</v>
      </c>
      <c r="R24" s="478">
        <f>ROUNDUP(Stock!AV167,2)</f>
        <v>78.03</v>
      </c>
      <c r="S24" s="478">
        <f>ROUNDUP(Stock!AW167,2)</f>
        <v>78.03</v>
      </c>
      <c r="T24" s="478">
        <f>ROUNDUP(Stock!AX167,2)</f>
        <v>78.03</v>
      </c>
      <c r="U24" s="478">
        <f>ROUNDUP(Stock!AY167,2)</f>
        <v>78.03</v>
      </c>
      <c r="V24" s="478">
        <f>ROUNDUP(Stock!AZ167,2)</f>
        <v>78.03</v>
      </c>
      <c r="W24" s="478">
        <f>ROUNDUP(Stock!BA167,2)</f>
        <v>78.03</v>
      </c>
      <c r="X24" s="478">
        <f>ROUNDUP(Stock!BB167,2)</f>
        <v>78.03</v>
      </c>
      <c r="Y24" s="478">
        <f>ROUNDUP(Stock!BC167,2)</f>
        <v>78.03</v>
      </c>
      <c r="Z24" s="478">
        <f>ROUNDUP(Stock!BD167,2)</f>
        <v>78.03</v>
      </c>
      <c r="AA24" s="478">
        <f>ROUNDUP(Stock!BE167,2)</f>
        <v>78.03</v>
      </c>
      <c r="AB24" s="478">
        <f>ROUNDUP(Stock!BF167,2)</f>
        <v>78.03</v>
      </c>
      <c r="AC24" s="478">
        <f>ROUNDUP(Stock!BG167,2)</f>
        <v>78.03</v>
      </c>
      <c r="AD24" s="478">
        <f>ROUNDUP(Stock!BH167,2)</f>
        <v>78.03</v>
      </c>
    </row>
    <row r="25" spans="1:30" s="716" customFormat="1">
      <c r="A25" s="480" t="str">
        <f t="shared" ref="A25:C25" si="23">A65</f>
        <v>T-HPT-EV_ELC00</v>
      </c>
      <c r="B25" s="480" t="str">
        <f t="shared" si="23"/>
        <v>DEMO</v>
      </c>
      <c r="C25" s="480" t="str">
        <f t="shared" si="23"/>
        <v>pass/vehicle</v>
      </c>
      <c r="D25" s="478">
        <f>ROUNDUP(Stock!AH168,2)</f>
        <v>120.82000000000001</v>
      </c>
      <c r="E25" s="478">
        <f>ROUNDUP(Stock!AI168,2)</f>
        <v>214.41</v>
      </c>
      <c r="F25" s="478">
        <f>ROUNDUP(Stock!AJ168,2)</f>
        <v>57.37</v>
      </c>
      <c r="G25" s="478">
        <f>ROUNDUP(Stock!AK168,2)</f>
        <v>214.41</v>
      </c>
      <c r="H25" s="478">
        <f>ROUNDUP(Stock!AL168,2)</f>
        <v>214.41</v>
      </c>
      <c r="I25" s="478">
        <f>ROUNDUP(Stock!AM168,2)</f>
        <v>214.41</v>
      </c>
      <c r="J25" s="478">
        <f>ROUNDUP(Stock!AN168,2)</f>
        <v>214.41</v>
      </c>
      <c r="K25" s="478">
        <f>ROUNDUP(Stock!AO168,2)</f>
        <v>214.41</v>
      </c>
      <c r="L25" s="478">
        <f>ROUNDUP(Stock!AP168,2)</f>
        <v>214.41</v>
      </c>
      <c r="M25" s="478">
        <f>ROUNDUP(Stock!AQ168,2)</f>
        <v>214.41</v>
      </c>
      <c r="N25" s="478">
        <f>ROUNDUP(Stock!AR168,2)</f>
        <v>214.41</v>
      </c>
      <c r="O25" s="478">
        <f>ROUNDUP(Stock!AS168,2)</f>
        <v>214.41</v>
      </c>
      <c r="P25" s="478">
        <f>ROUNDUP(Stock!AT168,2)</f>
        <v>214.41</v>
      </c>
      <c r="Q25" s="478">
        <f>ROUNDUP(Stock!AU168,2)</f>
        <v>214.41</v>
      </c>
      <c r="R25" s="478">
        <f>ROUNDUP(Stock!AV168,2)</f>
        <v>214.41</v>
      </c>
      <c r="S25" s="478">
        <f>ROUNDUP(Stock!AW168,2)</f>
        <v>214.41</v>
      </c>
      <c r="T25" s="478">
        <f>ROUNDUP(Stock!AX168,2)</f>
        <v>214.41</v>
      </c>
      <c r="U25" s="478">
        <f>ROUNDUP(Stock!AY168,2)</f>
        <v>214.41</v>
      </c>
      <c r="V25" s="478">
        <f>ROUNDUP(Stock!AZ168,2)</f>
        <v>214.41</v>
      </c>
      <c r="W25" s="478">
        <f>ROUNDUP(Stock!BA168,2)</f>
        <v>214.41</v>
      </c>
      <c r="X25" s="478">
        <f>ROUNDUP(Stock!BB168,2)</f>
        <v>214.41</v>
      </c>
      <c r="Y25" s="478">
        <f>ROUNDUP(Stock!BC168,2)</f>
        <v>214.41</v>
      </c>
      <c r="Z25" s="478">
        <f>ROUNDUP(Stock!BD168,2)</f>
        <v>214.41</v>
      </c>
      <c r="AA25" s="478">
        <f>ROUNDUP(Stock!BE168,2)</f>
        <v>214.41</v>
      </c>
      <c r="AB25" s="478">
        <f>ROUNDUP(Stock!BF168,2)</f>
        <v>214.41</v>
      </c>
      <c r="AC25" s="478">
        <f>ROUNDUP(Stock!BG168,2)</f>
        <v>214.41</v>
      </c>
      <c r="AD25" s="478">
        <f>ROUNDUP(Stock!BH168,2)</f>
        <v>214.41</v>
      </c>
    </row>
    <row r="26" spans="1:30" s="716" customFormat="1">
      <c r="A26" s="480" t="str">
        <f t="shared" ref="A26:C26" si="24">A66</f>
        <v>T-HPT-ICE_DST00</v>
      </c>
      <c r="B26" s="480" t="str">
        <f t="shared" si="24"/>
        <v>DEMO</v>
      </c>
      <c r="C26" s="480" t="str">
        <f t="shared" si="24"/>
        <v>pass/vehicle</v>
      </c>
      <c r="D26" s="478">
        <f>ROUNDUP(D25,2)</f>
        <v>120.82</v>
      </c>
      <c r="E26" s="478">
        <f t="shared" ref="E26:AD26" si="25">ROUNDUP(E25,2)</f>
        <v>214.41</v>
      </c>
      <c r="F26" s="478">
        <f t="shared" si="25"/>
        <v>57.37</v>
      </c>
      <c r="G26" s="478">
        <f t="shared" si="25"/>
        <v>214.41</v>
      </c>
      <c r="H26" s="478">
        <f t="shared" si="25"/>
        <v>214.41</v>
      </c>
      <c r="I26" s="478">
        <f t="shared" si="25"/>
        <v>214.41</v>
      </c>
      <c r="J26" s="478">
        <f t="shared" si="25"/>
        <v>214.41</v>
      </c>
      <c r="K26" s="478">
        <f t="shared" si="25"/>
        <v>214.41</v>
      </c>
      <c r="L26" s="478">
        <f t="shared" si="25"/>
        <v>214.41</v>
      </c>
      <c r="M26" s="478">
        <f t="shared" si="25"/>
        <v>214.41</v>
      </c>
      <c r="N26" s="478">
        <f t="shared" si="25"/>
        <v>214.41</v>
      </c>
      <c r="O26" s="478">
        <f t="shared" si="25"/>
        <v>214.41</v>
      </c>
      <c r="P26" s="478">
        <f t="shared" si="25"/>
        <v>214.41</v>
      </c>
      <c r="Q26" s="478">
        <f t="shared" si="25"/>
        <v>214.41</v>
      </c>
      <c r="R26" s="478">
        <f t="shared" si="25"/>
        <v>214.41</v>
      </c>
      <c r="S26" s="478">
        <f t="shared" si="25"/>
        <v>214.41</v>
      </c>
      <c r="T26" s="478">
        <f t="shared" si="25"/>
        <v>214.41</v>
      </c>
      <c r="U26" s="478">
        <f t="shared" si="25"/>
        <v>214.41</v>
      </c>
      <c r="V26" s="478">
        <f t="shared" si="25"/>
        <v>214.41</v>
      </c>
      <c r="W26" s="478">
        <f t="shared" si="25"/>
        <v>214.41</v>
      </c>
      <c r="X26" s="478">
        <f t="shared" si="25"/>
        <v>214.41</v>
      </c>
      <c r="Y26" s="478">
        <f t="shared" si="25"/>
        <v>214.41</v>
      </c>
      <c r="Z26" s="478">
        <f t="shared" si="25"/>
        <v>214.41</v>
      </c>
      <c r="AA26" s="478">
        <f t="shared" si="25"/>
        <v>214.41</v>
      </c>
      <c r="AB26" s="478">
        <f t="shared" si="25"/>
        <v>214.41</v>
      </c>
      <c r="AC26" s="478">
        <f t="shared" si="25"/>
        <v>214.41</v>
      </c>
      <c r="AD26" s="478">
        <f t="shared" si="25"/>
        <v>214.41</v>
      </c>
    </row>
    <row r="27" spans="1:30" s="716" customFormat="1">
      <c r="A27" s="727" t="s">
        <v>739</v>
      </c>
      <c r="B27" s="727"/>
      <c r="C27" s="727"/>
      <c r="D27" s="727"/>
      <c r="E27" s="727"/>
      <c r="F27" s="727"/>
      <c r="G27" s="727"/>
      <c r="H27" s="727"/>
      <c r="I27" s="727"/>
      <c r="J27" s="727"/>
      <c r="K27" s="727"/>
      <c r="L27" s="727"/>
      <c r="M27" s="727"/>
      <c r="N27" s="727"/>
      <c r="O27" s="727"/>
      <c r="P27" s="727"/>
      <c r="Q27" s="727"/>
      <c r="R27" s="727"/>
      <c r="S27" s="727"/>
      <c r="T27" s="727"/>
      <c r="U27" s="727"/>
      <c r="V27" s="727"/>
      <c r="W27" s="727"/>
      <c r="X27" s="727"/>
      <c r="Y27" s="727"/>
      <c r="Z27" s="727"/>
      <c r="AA27" s="727"/>
      <c r="AB27" s="727"/>
      <c r="AC27" s="727"/>
      <c r="AD27" s="727"/>
    </row>
    <row r="28" spans="1:30" s="716" customFormat="1">
      <c r="A28" s="480" t="str">
        <f>A68</f>
        <v>T-LGT-ICE_GSL00</v>
      </c>
      <c r="B28" s="480" t="str">
        <f t="shared" ref="B28:C28" si="26">B68</f>
        <v>DEMO</v>
      </c>
      <c r="C28" s="480" t="str">
        <f t="shared" si="26"/>
        <v>tonne/vehicle</v>
      </c>
      <c r="D28" s="728">
        <f>ROUNDUP(D68,2)</f>
        <v>1.47</v>
      </c>
      <c r="E28" s="728">
        <f t="shared" ref="E28:AD28" si="27">ROUNDUP(E68,2)</f>
        <v>1.3800000000000001</v>
      </c>
      <c r="F28" s="728">
        <f t="shared" si="27"/>
        <v>1.49</v>
      </c>
      <c r="G28" s="728">
        <f t="shared" si="27"/>
        <v>1.28</v>
      </c>
      <c r="H28" s="728">
        <f t="shared" si="27"/>
        <v>1.65</v>
      </c>
      <c r="I28" s="728">
        <f t="shared" si="27"/>
        <v>1.58</v>
      </c>
      <c r="J28" s="728">
        <f t="shared" si="27"/>
        <v>1.22</v>
      </c>
      <c r="K28" s="728">
        <f t="shared" si="27"/>
        <v>1.49</v>
      </c>
      <c r="L28" s="728">
        <f t="shared" si="27"/>
        <v>1.19</v>
      </c>
      <c r="M28" s="728">
        <f t="shared" si="27"/>
        <v>1.46</v>
      </c>
      <c r="N28" s="728">
        <f t="shared" si="27"/>
        <v>1.34</v>
      </c>
      <c r="O28" s="728">
        <f t="shared" si="27"/>
        <v>1.4</v>
      </c>
      <c r="P28" s="728">
        <f t="shared" si="27"/>
        <v>1.55</v>
      </c>
      <c r="Q28" s="728">
        <f t="shared" si="27"/>
        <v>1.54</v>
      </c>
      <c r="R28" s="728">
        <f t="shared" si="27"/>
        <v>1.85</v>
      </c>
      <c r="S28" s="728">
        <f t="shared" si="27"/>
        <v>1.81</v>
      </c>
      <c r="T28" s="728">
        <f t="shared" si="27"/>
        <v>1.55</v>
      </c>
      <c r="U28" s="728">
        <f t="shared" si="27"/>
        <v>1.35</v>
      </c>
      <c r="V28" s="728">
        <f t="shared" si="27"/>
        <v>2.23</v>
      </c>
      <c r="W28" s="728">
        <f t="shared" si="27"/>
        <v>1.42</v>
      </c>
      <c r="X28" s="728">
        <f t="shared" si="27"/>
        <v>1.1499999999999999</v>
      </c>
      <c r="Y28" s="728">
        <f t="shared" si="27"/>
        <v>1.1399999999999999</v>
      </c>
      <c r="Z28" s="728">
        <f t="shared" si="27"/>
        <v>1.1000000000000001</v>
      </c>
      <c r="AA28" s="728">
        <f t="shared" si="27"/>
        <v>1.36</v>
      </c>
      <c r="AB28" s="728">
        <f t="shared" si="27"/>
        <v>1.08</v>
      </c>
      <c r="AC28" s="728">
        <f t="shared" si="27"/>
        <v>1.39</v>
      </c>
      <c r="AD28" s="728">
        <f t="shared" si="27"/>
        <v>0.78</v>
      </c>
    </row>
    <row r="29" spans="1:30" s="716" customFormat="1">
      <c r="A29" s="480" t="str">
        <f t="shared" ref="A29:C29" si="28">A69</f>
        <v>T-HGT-ICE_DST00</v>
      </c>
      <c r="B29" s="480" t="str">
        <f t="shared" si="28"/>
        <v>DEMO</v>
      </c>
      <c r="C29" s="480" t="str">
        <f t="shared" si="28"/>
        <v>tonne/vehicle</v>
      </c>
      <c r="D29" s="728">
        <f>ROUNDUP(D69,2)</f>
        <v>1.47</v>
      </c>
      <c r="E29" s="728">
        <f t="shared" ref="E29:AD29" si="29">ROUNDUP(E69,2)</f>
        <v>1.3800000000000001</v>
      </c>
      <c r="F29" s="728">
        <f t="shared" si="29"/>
        <v>1.49</v>
      </c>
      <c r="G29" s="728">
        <f t="shared" si="29"/>
        <v>1.28</v>
      </c>
      <c r="H29" s="728">
        <f t="shared" si="29"/>
        <v>1.65</v>
      </c>
      <c r="I29" s="728">
        <f t="shared" si="29"/>
        <v>1.58</v>
      </c>
      <c r="J29" s="728">
        <f t="shared" si="29"/>
        <v>1.22</v>
      </c>
      <c r="K29" s="728">
        <f t="shared" si="29"/>
        <v>1.49</v>
      </c>
      <c r="L29" s="728">
        <f t="shared" si="29"/>
        <v>1.19</v>
      </c>
      <c r="M29" s="728">
        <f t="shared" si="29"/>
        <v>1.46</v>
      </c>
      <c r="N29" s="728">
        <f t="shared" si="29"/>
        <v>1.34</v>
      </c>
      <c r="O29" s="728">
        <f t="shared" si="29"/>
        <v>1.4</v>
      </c>
      <c r="P29" s="728">
        <f t="shared" si="29"/>
        <v>1.55</v>
      </c>
      <c r="Q29" s="728">
        <f t="shared" si="29"/>
        <v>1.54</v>
      </c>
      <c r="R29" s="728">
        <f t="shared" si="29"/>
        <v>1.85</v>
      </c>
      <c r="S29" s="728">
        <f t="shared" si="29"/>
        <v>1.81</v>
      </c>
      <c r="T29" s="728">
        <f t="shared" si="29"/>
        <v>1.55</v>
      </c>
      <c r="U29" s="728">
        <f t="shared" si="29"/>
        <v>1.35</v>
      </c>
      <c r="V29" s="728">
        <f t="shared" si="29"/>
        <v>2.23</v>
      </c>
      <c r="W29" s="728">
        <f t="shared" si="29"/>
        <v>1.42</v>
      </c>
      <c r="X29" s="728">
        <f t="shared" si="29"/>
        <v>1.1499999999999999</v>
      </c>
      <c r="Y29" s="728">
        <f t="shared" si="29"/>
        <v>1.1399999999999999</v>
      </c>
      <c r="Z29" s="728">
        <f t="shared" si="29"/>
        <v>1.1000000000000001</v>
      </c>
      <c r="AA29" s="728">
        <f t="shared" si="29"/>
        <v>1.36</v>
      </c>
      <c r="AB29" s="728">
        <f t="shared" si="29"/>
        <v>1.08</v>
      </c>
      <c r="AC29" s="728">
        <f t="shared" si="29"/>
        <v>1.39</v>
      </c>
      <c r="AD29" s="728">
        <f t="shared" si="29"/>
        <v>0.78</v>
      </c>
    </row>
    <row r="30" spans="1:30" s="716" customFormat="1">
      <c r="A30" s="496" t="str">
        <f t="shared" ref="A30:C30" si="30">A70</f>
        <v>T-GTR-ICE_DST00</v>
      </c>
      <c r="B30" s="496" t="str">
        <f t="shared" si="30"/>
        <v>DEMO</v>
      </c>
      <c r="C30" s="496" t="str">
        <f t="shared" si="30"/>
        <v>tonne/vehicle</v>
      </c>
      <c r="D30" s="729">
        <f>ROUNDUP(D70,2)</f>
        <v>164.84</v>
      </c>
      <c r="E30" s="729">
        <f t="shared" ref="E30:AD30" si="31">ROUNDUP(E70,2)</f>
        <v>164.84</v>
      </c>
      <c r="F30" s="729">
        <f t="shared" si="31"/>
        <v>164.84</v>
      </c>
      <c r="G30" s="729">
        <f t="shared" si="31"/>
        <v>164.84</v>
      </c>
      <c r="H30" s="729">
        <f t="shared" si="31"/>
        <v>164.84</v>
      </c>
      <c r="I30" s="729">
        <f t="shared" si="31"/>
        <v>164.84</v>
      </c>
      <c r="J30" s="729">
        <f t="shared" si="31"/>
        <v>164.84</v>
      </c>
      <c r="K30" s="729">
        <f t="shared" si="31"/>
        <v>164.84</v>
      </c>
      <c r="L30" s="729">
        <f t="shared" si="31"/>
        <v>164.84</v>
      </c>
      <c r="M30" s="729">
        <f t="shared" si="31"/>
        <v>164.84</v>
      </c>
      <c r="N30" s="729">
        <f t="shared" si="31"/>
        <v>164.84</v>
      </c>
      <c r="O30" s="729">
        <f t="shared" si="31"/>
        <v>164.84</v>
      </c>
      <c r="P30" s="729">
        <f t="shared" si="31"/>
        <v>164.84</v>
      </c>
      <c r="Q30" s="729">
        <f t="shared" si="31"/>
        <v>164.84</v>
      </c>
      <c r="R30" s="729">
        <f t="shared" si="31"/>
        <v>164.84</v>
      </c>
      <c r="S30" s="729">
        <f t="shared" si="31"/>
        <v>164.84</v>
      </c>
      <c r="T30" s="729">
        <f t="shared" si="31"/>
        <v>164.84</v>
      </c>
      <c r="U30" s="729">
        <f t="shared" si="31"/>
        <v>164.84</v>
      </c>
      <c r="V30" s="729">
        <f t="shared" si="31"/>
        <v>164.84</v>
      </c>
      <c r="W30" s="729">
        <f t="shared" si="31"/>
        <v>164.84</v>
      </c>
      <c r="X30" s="729">
        <f t="shared" si="31"/>
        <v>164.84</v>
      </c>
      <c r="Y30" s="729">
        <f t="shared" si="31"/>
        <v>164.84</v>
      </c>
      <c r="Z30" s="729">
        <f t="shared" si="31"/>
        <v>164.84</v>
      </c>
      <c r="AA30" s="729">
        <f t="shared" si="31"/>
        <v>164.84</v>
      </c>
      <c r="AB30" s="729">
        <f t="shared" si="31"/>
        <v>164.84</v>
      </c>
      <c r="AC30" s="729">
        <f t="shared" si="31"/>
        <v>164.84</v>
      </c>
      <c r="AD30" s="729">
        <f t="shared" si="31"/>
        <v>164.84</v>
      </c>
    </row>
    <row r="31" spans="1:30" s="716" customFormat="1"/>
    <row r="32" spans="1:30" s="716" customFormat="1">
      <c r="D32" s="802"/>
    </row>
    <row r="33" spans="1:35" s="716" customFormat="1"/>
    <row r="34" spans="1:35" s="716" customFormat="1"/>
    <row r="35" spans="1:35" s="716" customFormat="1"/>
    <row r="36" spans="1:35" s="716" customFormat="1"/>
    <row r="37" spans="1:35" s="716" customFormat="1"/>
    <row r="38" spans="1:35" s="716" customFormat="1"/>
    <row r="39" spans="1:35" s="716" customFormat="1"/>
    <row r="40" spans="1:35" s="716" customFormat="1"/>
    <row r="41" spans="1:35">
      <c r="A41" s="716"/>
      <c r="B41" s="716"/>
      <c r="C41" s="716"/>
      <c r="D41" s="716"/>
      <c r="E41" s="716"/>
      <c r="AE41" s="448"/>
      <c r="AF41" s="448"/>
      <c r="AG41" s="448"/>
      <c r="AH41" s="448"/>
      <c r="AI41" s="448"/>
    </row>
    <row r="42" spans="1:35" s="459" customFormat="1">
      <c r="A42" s="716"/>
      <c r="B42" s="716"/>
      <c r="C42" s="716"/>
      <c r="D42" s="716"/>
      <c r="E42" s="716"/>
    </row>
    <row r="43" spans="1:35" s="459" customFormat="1">
      <c r="A43" s="716"/>
      <c r="B43" s="716"/>
      <c r="C43" s="716"/>
      <c r="D43" s="716"/>
      <c r="E43" s="716"/>
    </row>
    <row r="44" spans="1:35" s="459" customFormat="1">
      <c r="A44" s="716"/>
      <c r="B44" s="716"/>
      <c r="C44" s="716"/>
      <c r="D44" s="716"/>
      <c r="E44" s="716"/>
    </row>
    <row r="45" spans="1:35">
      <c r="A45" s="716"/>
      <c r="B45" s="716"/>
      <c r="C45" s="716"/>
      <c r="D45" s="716"/>
      <c r="E45" s="716"/>
      <c r="F45" s="448"/>
      <c r="G45" s="448"/>
      <c r="AE45" s="448"/>
      <c r="AF45" s="448"/>
      <c r="AG45" s="448"/>
      <c r="AH45" s="448"/>
      <c r="AI45" s="448"/>
    </row>
    <row r="46" spans="1:35" ht="15.75" thickBot="1">
      <c r="A46" s="41" t="s">
        <v>70</v>
      </c>
      <c r="B46" s="41" t="s">
        <v>541</v>
      </c>
      <c r="C46" s="41" t="s">
        <v>735</v>
      </c>
      <c r="D46" s="456" t="str">
        <f>Stock!E48</f>
        <v>IE</v>
      </c>
      <c r="E46" s="456" t="str">
        <f>Stock!F48</f>
        <v>IE-CW</v>
      </c>
      <c r="F46" s="456" t="str">
        <f>Stock!G48</f>
        <v>IE-D</v>
      </c>
      <c r="G46" s="456" t="str">
        <f>Stock!H48</f>
        <v>IE-KE</v>
      </c>
      <c r="H46" s="456" t="str">
        <f>Stock!I48</f>
        <v>IE-KK</v>
      </c>
      <c r="I46" s="456" t="str">
        <f>Stock!J48</f>
        <v>IE-LS</v>
      </c>
      <c r="J46" s="456" t="str">
        <f>Stock!K48</f>
        <v>IE-LD</v>
      </c>
      <c r="K46" s="456" t="str">
        <f>Stock!L48</f>
        <v>IE-LH</v>
      </c>
      <c r="L46" s="456" t="str">
        <f>Stock!M48</f>
        <v>IE-MH</v>
      </c>
      <c r="M46" s="456" t="str">
        <f>Stock!N48</f>
        <v>IE-OY</v>
      </c>
      <c r="N46" s="456" t="str">
        <f>Stock!O48</f>
        <v>IE-WH</v>
      </c>
      <c r="O46" s="456" t="str">
        <f>Stock!P48</f>
        <v>IE-WX</v>
      </c>
      <c r="P46" s="456" t="str">
        <f>Stock!Q48</f>
        <v>IE-WW</v>
      </c>
      <c r="Q46" s="456" t="str">
        <f>Stock!R48</f>
        <v>IE-CE</v>
      </c>
      <c r="R46" s="456" t="str">
        <f>Stock!S48</f>
        <v>IE-CO</v>
      </c>
      <c r="S46" s="456" t="str">
        <f>Stock!T48</f>
        <v>IE-KY</v>
      </c>
      <c r="T46" s="456" t="str">
        <f>Stock!U48</f>
        <v>IE-LK</v>
      </c>
      <c r="U46" s="456" t="str">
        <f>Stock!V48</f>
        <v>IE-TA</v>
      </c>
      <c r="V46" s="456" t="str">
        <f>Stock!W48</f>
        <v>IE-WD</v>
      </c>
      <c r="W46" s="456" t="str">
        <f>Stock!X48</f>
        <v>IE-G</v>
      </c>
      <c r="X46" s="456" t="str">
        <f>Stock!Y48</f>
        <v>IE-LM</v>
      </c>
      <c r="Y46" s="456" t="str">
        <f>Stock!Z48</f>
        <v>IE-MO</v>
      </c>
      <c r="Z46" s="456" t="str">
        <f>Stock!AA48</f>
        <v>IE-RN</v>
      </c>
      <c r="AA46" s="456" t="str">
        <f>Stock!AB48</f>
        <v>IE-SO</v>
      </c>
      <c r="AB46" s="456" t="str">
        <f>Stock!AC48</f>
        <v>IE-CN</v>
      </c>
      <c r="AC46" s="456" t="str">
        <f>Stock!AD48</f>
        <v>IE-DL</v>
      </c>
      <c r="AD46" s="456" t="str">
        <f>Stock!AE48</f>
        <v>IE-MN</v>
      </c>
      <c r="AE46" s="448"/>
      <c r="AF46" s="448"/>
      <c r="AG46" s="448"/>
      <c r="AH46" s="448"/>
      <c r="AI46" s="448"/>
    </row>
    <row r="47" spans="1:35" s="459" customFormat="1">
      <c r="A47" s="455" t="s">
        <v>738</v>
      </c>
      <c r="B47" s="455"/>
      <c r="C47" s="455"/>
      <c r="D47" s="455"/>
      <c r="E47" s="455"/>
      <c r="F47" s="455"/>
      <c r="G47" s="455"/>
      <c r="H47" s="455"/>
      <c r="I47" s="455"/>
      <c r="J47" s="455"/>
      <c r="K47" s="455"/>
      <c r="L47" s="455"/>
      <c r="M47" s="455"/>
      <c r="N47" s="455"/>
      <c r="O47" s="455"/>
      <c r="P47" s="455"/>
      <c r="Q47" s="455"/>
      <c r="R47" s="455"/>
      <c r="S47" s="455"/>
      <c r="T47" s="455"/>
      <c r="U47" s="455"/>
      <c r="V47" s="455"/>
      <c r="W47" s="455"/>
      <c r="X47" s="455"/>
      <c r="Y47" s="455"/>
      <c r="Z47" s="455"/>
      <c r="AA47" s="455"/>
      <c r="AB47" s="455"/>
      <c r="AC47" s="455"/>
      <c r="AD47" s="455"/>
    </row>
    <row r="48" spans="1:35" s="459" customFormat="1">
      <c r="A48" s="480" t="str">
        <f>Commodities!K8</f>
        <v>T-WLK_WLK</v>
      </c>
      <c r="B48" s="480" t="s">
        <v>854</v>
      </c>
      <c r="C48" s="480" t="s">
        <v>736</v>
      </c>
      <c r="D48" s="478">
        <v>1</v>
      </c>
      <c r="E48" s="478">
        <v>1</v>
      </c>
      <c r="F48" s="478">
        <v>1</v>
      </c>
      <c r="G48" s="478">
        <v>1</v>
      </c>
      <c r="H48" s="478">
        <v>1</v>
      </c>
      <c r="I48" s="478">
        <v>1</v>
      </c>
      <c r="J48" s="478">
        <v>1</v>
      </c>
      <c r="K48" s="478">
        <v>1</v>
      </c>
      <c r="L48" s="478">
        <v>1</v>
      </c>
      <c r="M48" s="478">
        <v>1</v>
      </c>
      <c r="N48" s="478">
        <v>1</v>
      </c>
      <c r="O48" s="478">
        <v>1</v>
      </c>
      <c r="P48" s="478">
        <v>1</v>
      </c>
      <c r="Q48" s="478">
        <v>1</v>
      </c>
      <c r="R48" s="478">
        <v>1</v>
      </c>
      <c r="S48" s="478">
        <v>1</v>
      </c>
      <c r="T48" s="478">
        <v>1</v>
      </c>
      <c r="U48" s="478">
        <v>1</v>
      </c>
      <c r="V48" s="478">
        <v>1</v>
      </c>
      <c r="W48" s="478">
        <v>1</v>
      </c>
      <c r="X48" s="478">
        <v>1</v>
      </c>
      <c r="Y48" s="478">
        <v>1</v>
      </c>
      <c r="Z48" s="478">
        <v>1</v>
      </c>
      <c r="AA48" s="478">
        <v>1</v>
      </c>
      <c r="AB48" s="478">
        <v>1</v>
      </c>
      <c r="AC48" s="478">
        <v>1</v>
      </c>
      <c r="AD48" s="478">
        <v>1</v>
      </c>
    </row>
    <row r="49" spans="1:35" s="459" customFormat="1">
      <c r="A49" s="480" t="str">
        <f>Commodities!K9</f>
        <v>T-CYC_CYC</v>
      </c>
      <c r="B49" s="480" t="s">
        <v>854</v>
      </c>
      <c r="C49" s="480" t="s">
        <v>736</v>
      </c>
      <c r="D49" s="478">
        <v>1</v>
      </c>
      <c r="E49" s="478">
        <v>1</v>
      </c>
      <c r="F49" s="478">
        <v>1</v>
      </c>
      <c r="G49" s="478">
        <v>1</v>
      </c>
      <c r="H49" s="478">
        <v>1</v>
      </c>
      <c r="I49" s="478">
        <v>1</v>
      </c>
      <c r="J49" s="478">
        <v>1</v>
      </c>
      <c r="K49" s="478">
        <v>1</v>
      </c>
      <c r="L49" s="478">
        <v>1</v>
      </c>
      <c r="M49" s="478">
        <v>1</v>
      </c>
      <c r="N49" s="478">
        <v>1</v>
      </c>
      <c r="O49" s="478">
        <v>1</v>
      </c>
      <c r="P49" s="478">
        <v>1</v>
      </c>
      <c r="Q49" s="478">
        <v>1</v>
      </c>
      <c r="R49" s="478">
        <v>1</v>
      </c>
      <c r="S49" s="478">
        <v>1</v>
      </c>
      <c r="T49" s="478">
        <v>1</v>
      </c>
      <c r="U49" s="478">
        <v>1</v>
      </c>
      <c r="V49" s="478">
        <v>1</v>
      </c>
      <c r="W49" s="478">
        <v>1</v>
      </c>
      <c r="X49" s="478">
        <v>1</v>
      </c>
      <c r="Y49" s="478">
        <v>1</v>
      </c>
      <c r="Z49" s="478">
        <v>1</v>
      </c>
      <c r="AA49" s="478">
        <v>1</v>
      </c>
      <c r="AB49" s="478">
        <v>1</v>
      </c>
      <c r="AC49" s="478">
        <v>1</v>
      </c>
      <c r="AD49" s="478">
        <v>1</v>
      </c>
    </row>
    <row r="50" spans="1:35">
      <c r="A50" s="480" t="str">
        <f>Commodities!K11</f>
        <v>T-MOT-ICE_GSL00</v>
      </c>
      <c r="B50" s="480" t="s">
        <v>854</v>
      </c>
      <c r="C50" s="480" t="s">
        <v>736</v>
      </c>
      <c r="D50" s="478">
        <v>1.1000000000000001</v>
      </c>
      <c r="E50" s="478">
        <f>D50</f>
        <v>1.1000000000000001</v>
      </c>
      <c r="F50" s="478">
        <f t="shared" ref="F50:AD50" si="32">E50</f>
        <v>1.1000000000000001</v>
      </c>
      <c r="G50" s="478">
        <f t="shared" si="32"/>
        <v>1.1000000000000001</v>
      </c>
      <c r="H50" s="478">
        <f t="shared" si="32"/>
        <v>1.1000000000000001</v>
      </c>
      <c r="I50" s="478">
        <f t="shared" si="32"/>
        <v>1.1000000000000001</v>
      </c>
      <c r="J50" s="478">
        <f t="shared" si="32"/>
        <v>1.1000000000000001</v>
      </c>
      <c r="K50" s="478">
        <f t="shared" si="32"/>
        <v>1.1000000000000001</v>
      </c>
      <c r="L50" s="478">
        <f t="shared" si="32"/>
        <v>1.1000000000000001</v>
      </c>
      <c r="M50" s="478">
        <f t="shared" si="32"/>
        <v>1.1000000000000001</v>
      </c>
      <c r="N50" s="478">
        <f t="shared" si="32"/>
        <v>1.1000000000000001</v>
      </c>
      <c r="O50" s="478">
        <f t="shared" si="32"/>
        <v>1.1000000000000001</v>
      </c>
      <c r="P50" s="478">
        <f t="shared" si="32"/>
        <v>1.1000000000000001</v>
      </c>
      <c r="Q50" s="478">
        <f t="shared" si="32"/>
        <v>1.1000000000000001</v>
      </c>
      <c r="R50" s="478">
        <f t="shared" si="32"/>
        <v>1.1000000000000001</v>
      </c>
      <c r="S50" s="478">
        <f t="shared" si="32"/>
        <v>1.1000000000000001</v>
      </c>
      <c r="T50" s="478">
        <f t="shared" si="32"/>
        <v>1.1000000000000001</v>
      </c>
      <c r="U50" s="478">
        <f t="shared" si="32"/>
        <v>1.1000000000000001</v>
      </c>
      <c r="V50" s="478">
        <f t="shared" si="32"/>
        <v>1.1000000000000001</v>
      </c>
      <c r="W50" s="478">
        <f t="shared" si="32"/>
        <v>1.1000000000000001</v>
      </c>
      <c r="X50" s="478">
        <f t="shared" si="32"/>
        <v>1.1000000000000001</v>
      </c>
      <c r="Y50" s="478">
        <f t="shared" si="32"/>
        <v>1.1000000000000001</v>
      </c>
      <c r="Z50" s="478">
        <f t="shared" si="32"/>
        <v>1.1000000000000001</v>
      </c>
      <c r="AA50" s="478">
        <f t="shared" si="32"/>
        <v>1.1000000000000001</v>
      </c>
      <c r="AB50" s="478">
        <f t="shared" si="32"/>
        <v>1.1000000000000001</v>
      </c>
      <c r="AC50" s="478">
        <f t="shared" si="32"/>
        <v>1.1000000000000001</v>
      </c>
      <c r="AD50" s="478">
        <f t="shared" si="32"/>
        <v>1.1000000000000001</v>
      </c>
      <c r="AE50" s="448"/>
      <c r="AF50" s="448"/>
      <c r="AG50" s="448"/>
      <c r="AH50" s="448"/>
      <c r="AI50" s="448"/>
    </row>
    <row r="51" spans="1:35">
      <c r="A51" s="480" t="str">
        <f>Commodities!K13</f>
        <v>T-CAR-ICE_GSL00</v>
      </c>
      <c r="B51" s="480" t="s">
        <v>854</v>
      </c>
      <c r="C51" s="480" t="s">
        <v>736</v>
      </c>
      <c r="D51" s="478">
        <f>M91</f>
        <v>1.49201152283105</v>
      </c>
      <c r="E51" s="478">
        <f>D51</f>
        <v>1.49201152283105</v>
      </c>
      <c r="F51" s="478">
        <f t="shared" ref="F51:AD62" si="33">E51</f>
        <v>1.49201152283105</v>
      </c>
      <c r="G51" s="478">
        <f t="shared" si="33"/>
        <v>1.49201152283105</v>
      </c>
      <c r="H51" s="478">
        <f t="shared" si="33"/>
        <v>1.49201152283105</v>
      </c>
      <c r="I51" s="478">
        <f t="shared" si="33"/>
        <v>1.49201152283105</v>
      </c>
      <c r="J51" s="478">
        <f t="shared" si="33"/>
        <v>1.49201152283105</v>
      </c>
      <c r="K51" s="478">
        <f t="shared" si="33"/>
        <v>1.49201152283105</v>
      </c>
      <c r="L51" s="478">
        <f t="shared" si="33"/>
        <v>1.49201152283105</v>
      </c>
      <c r="M51" s="478">
        <f t="shared" si="33"/>
        <v>1.49201152283105</v>
      </c>
      <c r="N51" s="478">
        <f t="shared" si="33"/>
        <v>1.49201152283105</v>
      </c>
      <c r="O51" s="478">
        <f t="shared" si="33"/>
        <v>1.49201152283105</v>
      </c>
      <c r="P51" s="478">
        <f t="shared" si="33"/>
        <v>1.49201152283105</v>
      </c>
      <c r="Q51" s="478">
        <f t="shared" si="33"/>
        <v>1.49201152283105</v>
      </c>
      <c r="R51" s="478">
        <f t="shared" si="33"/>
        <v>1.49201152283105</v>
      </c>
      <c r="S51" s="478">
        <f t="shared" si="33"/>
        <v>1.49201152283105</v>
      </c>
      <c r="T51" s="478">
        <f t="shared" si="33"/>
        <v>1.49201152283105</v>
      </c>
      <c r="U51" s="478">
        <f t="shared" si="33"/>
        <v>1.49201152283105</v>
      </c>
      <c r="V51" s="478">
        <f t="shared" si="33"/>
        <v>1.49201152283105</v>
      </c>
      <c r="W51" s="478">
        <f t="shared" si="33"/>
        <v>1.49201152283105</v>
      </c>
      <c r="X51" s="478">
        <f t="shared" si="33"/>
        <v>1.49201152283105</v>
      </c>
      <c r="Y51" s="478">
        <f t="shared" si="33"/>
        <v>1.49201152283105</v>
      </c>
      <c r="Z51" s="478">
        <f t="shared" si="33"/>
        <v>1.49201152283105</v>
      </c>
      <c r="AA51" s="478">
        <f t="shared" si="33"/>
        <v>1.49201152283105</v>
      </c>
      <c r="AB51" s="478">
        <f t="shared" si="33"/>
        <v>1.49201152283105</v>
      </c>
      <c r="AC51" s="478">
        <f t="shared" si="33"/>
        <v>1.49201152283105</v>
      </c>
      <c r="AD51" s="478">
        <f t="shared" si="33"/>
        <v>1.49201152283105</v>
      </c>
      <c r="AE51" s="448"/>
      <c r="AF51" s="448"/>
      <c r="AG51" s="448"/>
      <c r="AH51" s="448"/>
      <c r="AI51" s="448"/>
    </row>
    <row r="52" spans="1:35">
      <c r="A52" s="480" t="str">
        <f>Commodities!K14</f>
        <v>T-CAR-ICE_DST00</v>
      </c>
      <c r="B52" s="480" t="s">
        <v>854</v>
      </c>
      <c r="C52" s="480" t="s">
        <v>736</v>
      </c>
      <c r="D52" s="478">
        <f>M91</f>
        <v>1.49201152283105</v>
      </c>
      <c r="E52" s="478">
        <f t="shared" ref="E52:E63" si="34">D52</f>
        <v>1.49201152283105</v>
      </c>
      <c r="F52" s="478">
        <f t="shared" si="33"/>
        <v>1.49201152283105</v>
      </c>
      <c r="G52" s="478">
        <f t="shared" si="33"/>
        <v>1.49201152283105</v>
      </c>
      <c r="H52" s="478">
        <f t="shared" si="33"/>
        <v>1.49201152283105</v>
      </c>
      <c r="I52" s="478">
        <f t="shared" si="33"/>
        <v>1.49201152283105</v>
      </c>
      <c r="J52" s="478">
        <f t="shared" si="33"/>
        <v>1.49201152283105</v>
      </c>
      <c r="K52" s="478">
        <f t="shared" si="33"/>
        <v>1.49201152283105</v>
      </c>
      <c r="L52" s="478">
        <f t="shared" si="33"/>
        <v>1.49201152283105</v>
      </c>
      <c r="M52" s="478">
        <f t="shared" si="33"/>
        <v>1.49201152283105</v>
      </c>
      <c r="N52" s="478">
        <f t="shared" si="33"/>
        <v>1.49201152283105</v>
      </c>
      <c r="O52" s="478">
        <f t="shared" si="33"/>
        <v>1.49201152283105</v>
      </c>
      <c r="P52" s="478">
        <f t="shared" si="33"/>
        <v>1.49201152283105</v>
      </c>
      <c r="Q52" s="478">
        <f t="shared" si="33"/>
        <v>1.49201152283105</v>
      </c>
      <c r="R52" s="478">
        <f t="shared" si="33"/>
        <v>1.49201152283105</v>
      </c>
      <c r="S52" s="478">
        <f t="shared" si="33"/>
        <v>1.49201152283105</v>
      </c>
      <c r="T52" s="478">
        <f t="shared" si="33"/>
        <v>1.49201152283105</v>
      </c>
      <c r="U52" s="478">
        <f t="shared" si="33"/>
        <v>1.49201152283105</v>
      </c>
      <c r="V52" s="478">
        <f t="shared" si="33"/>
        <v>1.49201152283105</v>
      </c>
      <c r="W52" s="478">
        <f t="shared" si="33"/>
        <v>1.49201152283105</v>
      </c>
      <c r="X52" s="478">
        <f t="shared" si="33"/>
        <v>1.49201152283105</v>
      </c>
      <c r="Y52" s="478">
        <f t="shared" si="33"/>
        <v>1.49201152283105</v>
      </c>
      <c r="Z52" s="478">
        <f t="shared" si="33"/>
        <v>1.49201152283105</v>
      </c>
      <c r="AA52" s="478">
        <f t="shared" si="33"/>
        <v>1.49201152283105</v>
      </c>
      <c r="AB52" s="478">
        <f t="shared" si="33"/>
        <v>1.49201152283105</v>
      </c>
      <c r="AC52" s="478">
        <f t="shared" si="33"/>
        <v>1.49201152283105</v>
      </c>
      <c r="AD52" s="478">
        <f t="shared" si="33"/>
        <v>1.49201152283105</v>
      </c>
      <c r="AE52" s="448"/>
      <c r="AF52" s="448"/>
      <c r="AG52" s="448"/>
      <c r="AH52" s="448"/>
      <c r="AI52" s="448"/>
    </row>
    <row r="53" spans="1:35">
      <c r="A53" s="480" t="str">
        <f>Commodities!K15</f>
        <v>T-CAR-ICE_DF00</v>
      </c>
      <c r="B53" s="480" t="s">
        <v>854</v>
      </c>
      <c r="C53" s="480" t="s">
        <v>736</v>
      </c>
      <c r="D53" s="478">
        <f>M91</f>
        <v>1.49201152283105</v>
      </c>
      <c r="E53" s="478">
        <f t="shared" si="34"/>
        <v>1.49201152283105</v>
      </c>
      <c r="F53" s="478">
        <f t="shared" si="33"/>
        <v>1.49201152283105</v>
      </c>
      <c r="G53" s="478">
        <f t="shared" si="33"/>
        <v>1.49201152283105</v>
      </c>
      <c r="H53" s="478">
        <f t="shared" si="33"/>
        <v>1.49201152283105</v>
      </c>
      <c r="I53" s="478">
        <f t="shared" si="33"/>
        <v>1.49201152283105</v>
      </c>
      <c r="J53" s="478">
        <f t="shared" si="33"/>
        <v>1.49201152283105</v>
      </c>
      <c r="K53" s="478">
        <f t="shared" si="33"/>
        <v>1.49201152283105</v>
      </c>
      <c r="L53" s="478">
        <f t="shared" si="33"/>
        <v>1.49201152283105</v>
      </c>
      <c r="M53" s="478">
        <f t="shared" si="33"/>
        <v>1.49201152283105</v>
      </c>
      <c r="N53" s="478">
        <f t="shared" si="33"/>
        <v>1.49201152283105</v>
      </c>
      <c r="O53" s="478">
        <f t="shared" si="33"/>
        <v>1.49201152283105</v>
      </c>
      <c r="P53" s="478">
        <f t="shared" si="33"/>
        <v>1.49201152283105</v>
      </c>
      <c r="Q53" s="478">
        <f t="shared" si="33"/>
        <v>1.49201152283105</v>
      </c>
      <c r="R53" s="478">
        <f t="shared" si="33"/>
        <v>1.49201152283105</v>
      </c>
      <c r="S53" s="478">
        <f t="shared" si="33"/>
        <v>1.49201152283105</v>
      </c>
      <c r="T53" s="478">
        <f t="shared" si="33"/>
        <v>1.49201152283105</v>
      </c>
      <c r="U53" s="478">
        <f t="shared" si="33"/>
        <v>1.49201152283105</v>
      </c>
      <c r="V53" s="478">
        <f t="shared" si="33"/>
        <v>1.49201152283105</v>
      </c>
      <c r="W53" s="478">
        <f t="shared" si="33"/>
        <v>1.49201152283105</v>
      </c>
      <c r="X53" s="478">
        <f t="shared" si="33"/>
        <v>1.49201152283105</v>
      </c>
      <c r="Y53" s="478">
        <f t="shared" si="33"/>
        <v>1.49201152283105</v>
      </c>
      <c r="Z53" s="478">
        <f t="shared" si="33"/>
        <v>1.49201152283105</v>
      </c>
      <c r="AA53" s="478">
        <f t="shared" si="33"/>
        <v>1.49201152283105</v>
      </c>
      <c r="AB53" s="478">
        <f t="shared" si="33"/>
        <v>1.49201152283105</v>
      </c>
      <c r="AC53" s="478">
        <f t="shared" si="33"/>
        <v>1.49201152283105</v>
      </c>
      <c r="AD53" s="478">
        <f t="shared" si="33"/>
        <v>1.49201152283105</v>
      </c>
      <c r="AE53" s="448"/>
      <c r="AG53" s="448"/>
      <c r="AH53" s="448"/>
      <c r="AI53" s="448"/>
    </row>
    <row r="54" spans="1:35">
      <c r="A54" s="480" t="str">
        <f>Commodities!K16</f>
        <v>T-CAR-ICE_E8500</v>
      </c>
      <c r="B54" s="480" t="s">
        <v>854</v>
      </c>
      <c r="C54" s="480" t="s">
        <v>736</v>
      </c>
      <c r="D54" s="478">
        <f>M91</f>
        <v>1.49201152283105</v>
      </c>
      <c r="E54" s="478">
        <f t="shared" si="34"/>
        <v>1.49201152283105</v>
      </c>
      <c r="F54" s="478">
        <f t="shared" si="33"/>
        <v>1.49201152283105</v>
      </c>
      <c r="G54" s="478">
        <f t="shared" si="33"/>
        <v>1.49201152283105</v>
      </c>
      <c r="H54" s="478">
        <f t="shared" si="33"/>
        <v>1.49201152283105</v>
      </c>
      <c r="I54" s="478">
        <f t="shared" si="33"/>
        <v>1.49201152283105</v>
      </c>
      <c r="J54" s="478">
        <f t="shared" si="33"/>
        <v>1.49201152283105</v>
      </c>
      <c r="K54" s="478">
        <f t="shared" si="33"/>
        <v>1.49201152283105</v>
      </c>
      <c r="L54" s="478">
        <f t="shared" si="33"/>
        <v>1.49201152283105</v>
      </c>
      <c r="M54" s="478">
        <f t="shared" si="33"/>
        <v>1.49201152283105</v>
      </c>
      <c r="N54" s="478">
        <f t="shared" si="33"/>
        <v>1.49201152283105</v>
      </c>
      <c r="O54" s="478">
        <f t="shared" si="33"/>
        <v>1.49201152283105</v>
      </c>
      <c r="P54" s="478">
        <f t="shared" si="33"/>
        <v>1.49201152283105</v>
      </c>
      <c r="Q54" s="478">
        <f t="shared" si="33"/>
        <v>1.49201152283105</v>
      </c>
      <c r="R54" s="478">
        <f t="shared" si="33"/>
        <v>1.49201152283105</v>
      </c>
      <c r="S54" s="478">
        <f t="shared" si="33"/>
        <v>1.49201152283105</v>
      </c>
      <c r="T54" s="478">
        <f t="shared" si="33"/>
        <v>1.49201152283105</v>
      </c>
      <c r="U54" s="478">
        <f t="shared" si="33"/>
        <v>1.49201152283105</v>
      </c>
      <c r="V54" s="478">
        <f t="shared" si="33"/>
        <v>1.49201152283105</v>
      </c>
      <c r="W54" s="478">
        <f t="shared" si="33"/>
        <v>1.49201152283105</v>
      </c>
      <c r="X54" s="478">
        <f t="shared" si="33"/>
        <v>1.49201152283105</v>
      </c>
      <c r="Y54" s="478">
        <f t="shared" si="33"/>
        <v>1.49201152283105</v>
      </c>
      <c r="Z54" s="478">
        <f t="shared" si="33"/>
        <v>1.49201152283105</v>
      </c>
      <c r="AA54" s="478">
        <f t="shared" si="33"/>
        <v>1.49201152283105</v>
      </c>
      <c r="AB54" s="478">
        <f t="shared" si="33"/>
        <v>1.49201152283105</v>
      </c>
      <c r="AC54" s="478">
        <f t="shared" si="33"/>
        <v>1.49201152283105</v>
      </c>
      <c r="AD54" s="478">
        <f t="shared" si="33"/>
        <v>1.49201152283105</v>
      </c>
    </row>
    <row r="55" spans="1:35">
      <c r="A55" s="480" t="str">
        <f>Commodities!K17</f>
        <v>T-CAR-HEV_GSL00</v>
      </c>
      <c r="B55" s="480" t="s">
        <v>854</v>
      </c>
      <c r="C55" s="480" t="s">
        <v>736</v>
      </c>
      <c r="D55" s="478">
        <f>M91</f>
        <v>1.49201152283105</v>
      </c>
      <c r="E55" s="478">
        <f>D55</f>
        <v>1.49201152283105</v>
      </c>
      <c r="F55" s="478">
        <f t="shared" si="33"/>
        <v>1.49201152283105</v>
      </c>
      <c r="G55" s="478">
        <f t="shared" si="33"/>
        <v>1.49201152283105</v>
      </c>
      <c r="H55" s="478">
        <f t="shared" si="33"/>
        <v>1.49201152283105</v>
      </c>
      <c r="I55" s="478">
        <f t="shared" si="33"/>
        <v>1.49201152283105</v>
      </c>
      <c r="J55" s="478">
        <f t="shared" si="33"/>
        <v>1.49201152283105</v>
      </c>
      <c r="K55" s="478">
        <f t="shared" si="33"/>
        <v>1.49201152283105</v>
      </c>
      <c r="L55" s="478">
        <f t="shared" si="33"/>
        <v>1.49201152283105</v>
      </c>
      <c r="M55" s="478">
        <f t="shared" si="33"/>
        <v>1.49201152283105</v>
      </c>
      <c r="N55" s="478">
        <f t="shared" si="33"/>
        <v>1.49201152283105</v>
      </c>
      <c r="O55" s="478">
        <f t="shared" si="33"/>
        <v>1.49201152283105</v>
      </c>
      <c r="P55" s="478">
        <f t="shared" si="33"/>
        <v>1.49201152283105</v>
      </c>
      <c r="Q55" s="478">
        <f t="shared" si="33"/>
        <v>1.49201152283105</v>
      </c>
      <c r="R55" s="478">
        <f t="shared" si="33"/>
        <v>1.49201152283105</v>
      </c>
      <c r="S55" s="478">
        <f t="shared" si="33"/>
        <v>1.49201152283105</v>
      </c>
      <c r="T55" s="478">
        <f t="shared" si="33"/>
        <v>1.49201152283105</v>
      </c>
      <c r="U55" s="478">
        <f t="shared" si="33"/>
        <v>1.49201152283105</v>
      </c>
      <c r="V55" s="478">
        <f t="shared" si="33"/>
        <v>1.49201152283105</v>
      </c>
      <c r="W55" s="478">
        <f t="shared" si="33"/>
        <v>1.49201152283105</v>
      </c>
      <c r="X55" s="478">
        <f t="shared" si="33"/>
        <v>1.49201152283105</v>
      </c>
      <c r="Y55" s="478">
        <f t="shared" si="33"/>
        <v>1.49201152283105</v>
      </c>
      <c r="Z55" s="478">
        <f t="shared" si="33"/>
        <v>1.49201152283105</v>
      </c>
      <c r="AA55" s="478">
        <f t="shared" si="33"/>
        <v>1.49201152283105</v>
      </c>
      <c r="AB55" s="478">
        <f t="shared" si="33"/>
        <v>1.49201152283105</v>
      </c>
      <c r="AC55" s="478">
        <f t="shared" si="33"/>
        <v>1.49201152283105</v>
      </c>
      <c r="AD55" s="478">
        <f t="shared" si="33"/>
        <v>1.49201152283105</v>
      </c>
    </row>
    <row r="56" spans="1:35" s="459" customFormat="1">
      <c r="A56" s="480" t="str">
        <f>Commodities!K18</f>
        <v>T-CAR-HEV_DST00</v>
      </c>
      <c r="B56" s="480" t="s">
        <v>854</v>
      </c>
      <c r="C56" s="480" t="s">
        <v>736</v>
      </c>
      <c r="D56" s="478">
        <f>M91</f>
        <v>1.49201152283105</v>
      </c>
      <c r="E56" s="478">
        <f>D56</f>
        <v>1.49201152283105</v>
      </c>
      <c r="F56" s="478">
        <f t="shared" ref="F56:AD56" si="35">E56</f>
        <v>1.49201152283105</v>
      </c>
      <c r="G56" s="478">
        <f t="shared" si="35"/>
        <v>1.49201152283105</v>
      </c>
      <c r="H56" s="478">
        <f t="shared" si="35"/>
        <v>1.49201152283105</v>
      </c>
      <c r="I56" s="478">
        <f t="shared" si="35"/>
        <v>1.49201152283105</v>
      </c>
      <c r="J56" s="478">
        <f t="shared" si="35"/>
        <v>1.49201152283105</v>
      </c>
      <c r="K56" s="478">
        <f t="shared" si="35"/>
        <v>1.49201152283105</v>
      </c>
      <c r="L56" s="478">
        <f t="shared" si="35"/>
        <v>1.49201152283105</v>
      </c>
      <c r="M56" s="478">
        <f t="shared" si="35"/>
        <v>1.49201152283105</v>
      </c>
      <c r="N56" s="478">
        <f t="shared" si="35"/>
        <v>1.49201152283105</v>
      </c>
      <c r="O56" s="478">
        <f t="shared" si="35"/>
        <v>1.49201152283105</v>
      </c>
      <c r="P56" s="478">
        <f t="shared" si="35"/>
        <v>1.49201152283105</v>
      </c>
      <c r="Q56" s="478">
        <f t="shared" si="35"/>
        <v>1.49201152283105</v>
      </c>
      <c r="R56" s="478">
        <f t="shared" si="35"/>
        <v>1.49201152283105</v>
      </c>
      <c r="S56" s="478">
        <f t="shared" si="35"/>
        <v>1.49201152283105</v>
      </c>
      <c r="T56" s="478">
        <f t="shared" si="35"/>
        <v>1.49201152283105</v>
      </c>
      <c r="U56" s="478">
        <f t="shared" si="35"/>
        <v>1.49201152283105</v>
      </c>
      <c r="V56" s="478">
        <f t="shared" si="35"/>
        <v>1.49201152283105</v>
      </c>
      <c r="W56" s="478">
        <f t="shared" si="35"/>
        <v>1.49201152283105</v>
      </c>
      <c r="X56" s="478">
        <f t="shared" si="35"/>
        <v>1.49201152283105</v>
      </c>
      <c r="Y56" s="478">
        <f t="shared" si="35"/>
        <v>1.49201152283105</v>
      </c>
      <c r="Z56" s="478">
        <f t="shared" si="35"/>
        <v>1.49201152283105</v>
      </c>
      <c r="AA56" s="478">
        <f t="shared" si="35"/>
        <v>1.49201152283105</v>
      </c>
      <c r="AB56" s="478">
        <f t="shared" si="35"/>
        <v>1.49201152283105</v>
      </c>
      <c r="AC56" s="478">
        <f t="shared" si="35"/>
        <v>1.49201152283105</v>
      </c>
      <c r="AD56" s="478">
        <f t="shared" si="35"/>
        <v>1.49201152283105</v>
      </c>
    </row>
    <row r="57" spans="1:35">
      <c r="A57" s="480" t="str">
        <f>Commodities!K19</f>
        <v>T-CAR-PHEV_GSL00</v>
      </c>
      <c r="B57" s="480" t="s">
        <v>854</v>
      </c>
      <c r="C57" s="480" t="s">
        <v>736</v>
      </c>
      <c r="D57" s="478">
        <f>M91</f>
        <v>1.49201152283105</v>
      </c>
      <c r="E57" s="478">
        <f t="shared" si="34"/>
        <v>1.49201152283105</v>
      </c>
      <c r="F57" s="478">
        <f t="shared" si="33"/>
        <v>1.49201152283105</v>
      </c>
      <c r="G57" s="478">
        <f t="shared" si="33"/>
        <v>1.49201152283105</v>
      </c>
      <c r="H57" s="478">
        <f t="shared" si="33"/>
        <v>1.49201152283105</v>
      </c>
      <c r="I57" s="478">
        <f t="shared" si="33"/>
        <v>1.49201152283105</v>
      </c>
      <c r="J57" s="478">
        <f t="shared" si="33"/>
        <v>1.49201152283105</v>
      </c>
      <c r="K57" s="478">
        <f t="shared" si="33"/>
        <v>1.49201152283105</v>
      </c>
      <c r="L57" s="478">
        <f t="shared" si="33"/>
        <v>1.49201152283105</v>
      </c>
      <c r="M57" s="478">
        <f t="shared" si="33"/>
        <v>1.49201152283105</v>
      </c>
      <c r="N57" s="478">
        <f t="shared" si="33"/>
        <v>1.49201152283105</v>
      </c>
      <c r="O57" s="478">
        <f t="shared" si="33"/>
        <v>1.49201152283105</v>
      </c>
      <c r="P57" s="478">
        <f t="shared" si="33"/>
        <v>1.49201152283105</v>
      </c>
      <c r="Q57" s="478">
        <f t="shared" si="33"/>
        <v>1.49201152283105</v>
      </c>
      <c r="R57" s="478">
        <f t="shared" si="33"/>
        <v>1.49201152283105</v>
      </c>
      <c r="S57" s="478">
        <f t="shared" si="33"/>
        <v>1.49201152283105</v>
      </c>
      <c r="T57" s="478">
        <f t="shared" si="33"/>
        <v>1.49201152283105</v>
      </c>
      <c r="U57" s="478">
        <f t="shared" si="33"/>
        <v>1.49201152283105</v>
      </c>
      <c r="V57" s="478">
        <f t="shared" si="33"/>
        <v>1.49201152283105</v>
      </c>
      <c r="W57" s="478">
        <f t="shared" si="33"/>
        <v>1.49201152283105</v>
      </c>
      <c r="X57" s="478">
        <f t="shared" si="33"/>
        <v>1.49201152283105</v>
      </c>
      <c r="Y57" s="478">
        <f t="shared" si="33"/>
        <v>1.49201152283105</v>
      </c>
      <c r="Z57" s="478">
        <f t="shared" si="33"/>
        <v>1.49201152283105</v>
      </c>
      <c r="AA57" s="478">
        <f t="shared" si="33"/>
        <v>1.49201152283105</v>
      </c>
      <c r="AB57" s="478">
        <f t="shared" si="33"/>
        <v>1.49201152283105</v>
      </c>
      <c r="AC57" s="478">
        <f t="shared" si="33"/>
        <v>1.49201152283105</v>
      </c>
      <c r="AD57" s="478">
        <f t="shared" si="33"/>
        <v>1.49201152283105</v>
      </c>
    </row>
    <row r="58" spans="1:35">
      <c r="A58" s="480" t="str">
        <f>Commodities!K20</f>
        <v>T-CAR-PHEV_DST00</v>
      </c>
      <c r="B58" s="480" t="s">
        <v>854</v>
      </c>
      <c r="C58" s="480" t="s">
        <v>736</v>
      </c>
      <c r="D58" s="478">
        <f>M91</f>
        <v>1.49201152283105</v>
      </c>
      <c r="E58" s="478">
        <f t="shared" si="34"/>
        <v>1.49201152283105</v>
      </c>
      <c r="F58" s="478">
        <f t="shared" si="33"/>
        <v>1.49201152283105</v>
      </c>
      <c r="G58" s="478">
        <f t="shared" si="33"/>
        <v>1.49201152283105</v>
      </c>
      <c r="H58" s="478">
        <f t="shared" si="33"/>
        <v>1.49201152283105</v>
      </c>
      <c r="I58" s="478">
        <f t="shared" si="33"/>
        <v>1.49201152283105</v>
      </c>
      <c r="J58" s="478">
        <f t="shared" si="33"/>
        <v>1.49201152283105</v>
      </c>
      <c r="K58" s="478">
        <f t="shared" si="33"/>
        <v>1.49201152283105</v>
      </c>
      <c r="L58" s="478">
        <f t="shared" si="33"/>
        <v>1.49201152283105</v>
      </c>
      <c r="M58" s="478">
        <f t="shared" si="33"/>
        <v>1.49201152283105</v>
      </c>
      <c r="N58" s="478">
        <f t="shared" si="33"/>
        <v>1.49201152283105</v>
      </c>
      <c r="O58" s="478">
        <f t="shared" si="33"/>
        <v>1.49201152283105</v>
      </c>
      <c r="P58" s="478">
        <f t="shared" si="33"/>
        <v>1.49201152283105</v>
      </c>
      <c r="Q58" s="478">
        <f t="shared" si="33"/>
        <v>1.49201152283105</v>
      </c>
      <c r="R58" s="478">
        <f t="shared" si="33"/>
        <v>1.49201152283105</v>
      </c>
      <c r="S58" s="478">
        <f t="shared" si="33"/>
        <v>1.49201152283105</v>
      </c>
      <c r="T58" s="478">
        <f t="shared" si="33"/>
        <v>1.49201152283105</v>
      </c>
      <c r="U58" s="478">
        <f t="shared" si="33"/>
        <v>1.49201152283105</v>
      </c>
      <c r="V58" s="478">
        <f t="shared" si="33"/>
        <v>1.49201152283105</v>
      </c>
      <c r="W58" s="478">
        <f t="shared" si="33"/>
        <v>1.49201152283105</v>
      </c>
      <c r="X58" s="478">
        <f t="shared" si="33"/>
        <v>1.49201152283105</v>
      </c>
      <c r="Y58" s="478">
        <f t="shared" si="33"/>
        <v>1.49201152283105</v>
      </c>
      <c r="Z58" s="478">
        <f t="shared" si="33"/>
        <v>1.49201152283105</v>
      </c>
      <c r="AA58" s="478">
        <f t="shared" si="33"/>
        <v>1.49201152283105</v>
      </c>
      <c r="AB58" s="478">
        <f t="shared" si="33"/>
        <v>1.49201152283105</v>
      </c>
      <c r="AC58" s="478">
        <f t="shared" si="33"/>
        <v>1.49201152283105</v>
      </c>
      <c r="AD58" s="478">
        <f t="shared" si="33"/>
        <v>1.49201152283105</v>
      </c>
    </row>
    <row r="59" spans="1:35">
      <c r="A59" s="480" t="str">
        <f>Commodities!K21</f>
        <v>T-CAR-BEV_ELC00</v>
      </c>
      <c r="B59" s="480" t="s">
        <v>854</v>
      </c>
      <c r="C59" s="480" t="s">
        <v>736</v>
      </c>
      <c r="D59" s="478">
        <f>M91</f>
        <v>1.49201152283105</v>
      </c>
      <c r="E59" s="478">
        <f t="shared" si="34"/>
        <v>1.49201152283105</v>
      </c>
      <c r="F59" s="478">
        <f t="shared" si="33"/>
        <v>1.49201152283105</v>
      </c>
      <c r="G59" s="478">
        <f t="shared" si="33"/>
        <v>1.49201152283105</v>
      </c>
      <c r="H59" s="478">
        <f t="shared" si="33"/>
        <v>1.49201152283105</v>
      </c>
      <c r="I59" s="478">
        <f t="shared" si="33"/>
        <v>1.49201152283105</v>
      </c>
      <c r="J59" s="478">
        <f t="shared" si="33"/>
        <v>1.49201152283105</v>
      </c>
      <c r="K59" s="478">
        <f t="shared" si="33"/>
        <v>1.49201152283105</v>
      </c>
      <c r="L59" s="478">
        <f t="shared" si="33"/>
        <v>1.49201152283105</v>
      </c>
      <c r="M59" s="478">
        <f t="shared" si="33"/>
        <v>1.49201152283105</v>
      </c>
      <c r="N59" s="478">
        <f t="shared" si="33"/>
        <v>1.49201152283105</v>
      </c>
      <c r="O59" s="478">
        <f t="shared" si="33"/>
        <v>1.49201152283105</v>
      </c>
      <c r="P59" s="478">
        <f t="shared" si="33"/>
        <v>1.49201152283105</v>
      </c>
      <c r="Q59" s="478">
        <f t="shared" si="33"/>
        <v>1.49201152283105</v>
      </c>
      <c r="R59" s="478">
        <f t="shared" si="33"/>
        <v>1.49201152283105</v>
      </c>
      <c r="S59" s="478">
        <f t="shared" si="33"/>
        <v>1.49201152283105</v>
      </c>
      <c r="T59" s="478">
        <f t="shared" si="33"/>
        <v>1.49201152283105</v>
      </c>
      <c r="U59" s="478">
        <f t="shared" si="33"/>
        <v>1.49201152283105</v>
      </c>
      <c r="V59" s="478">
        <f t="shared" si="33"/>
        <v>1.49201152283105</v>
      </c>
      <c r="W59" s="478">
        <f t="shared" si="33"/>
        <v>1.49201152283105</v>
      </c>
      <c r="X59" s="478">
        <f t="shared" si="33"/>
        <v>1.49201152283105</v>
      </c>
      <c r="Y59" s="478">
        <f t="shared" si="33"/>
        <v>1.49201152283105</v>
      </c>
      <c r="Z59" s="478">
        <f t="shared" si="33"/>
        <v>1.49201152283105</v>
      </c>
      <c r="AA59" s="478">
        <f t="shared" si="33"/>
        <v>1.49201152283105</v>
      </c>
      <c r="AB59" s="478">
        <f t="shared" si="33"/>
        <v>1.49201152283105</v>
      </c>
      <c r="AC59" s="478">
        <f t="shared" si="33"/>
        <v>1.49201152283105</v>
      </c>
      <c r="AD59" s="478">
        <f t="shared" si="33"/>
        <v>1.49201152283105</v>
      </c>
    </row>
    <row r="60" spans="1:35">
      <c r="A60" s="480" t="str">
        <f>Commodities!K23</f>
        <v>T-TAX-ICE_GSL00</v>
      </c>
      <c r="B60" s="480" t="s">
        <v>854</v>
      </c>
      <c r="C60" s="480" t="s">
        <v>736</v>
      </c>
      <c r="D60" s="478">
        <f>M91</f>
        <v>1.49201152283105</v>
      </c>
      <c r="E60" s="478">
        <f t="shared" si="34"/>
        <v>1.49201152283105</v>
      </c>
      <c r="F60" s="478">
        <f t="shared" si="33"/>
        <v>1.49201152283105</v>
      </c>
      <c r="G60" s="478">
        <f t="shared" si="33"/>
        <v>1.49201152283105</v>
      </c>
      <c r="H60" s="478">
        <f t="shared" si="33"/>
        <v>1.49201152283105</v>
      </c>
      <c r="I60" s="478">
        <f t="shared" si="33"/>
        <v>1.49201152283105</v>
      </c>
      <c r="J60" s="478">
        <f t="shared" si="33"/>
        <v>1.49201152283105</v>
      </c>
      <c r="K60" s="478">
        <f t="shared" si="33"/>
        <v>1.49201152283105</v>
      </c>
      <c r="L60" s="478">
        <f t="shared" si="33"/>
        <v>1.49201152283105</v>
      </c>
      <c r="M60" s="478">
        <f t="shared" si="33"/>
        <v>1.49201152283105</v>
      </c>
      <c r="N60" s="478">
        <f t="shared" si="33"/>
        <v>1.49201152283105</v>
      </c>
      <c r="O60" s="478">
        <f t="shared" si="33"/>
        <v>1.49201152283105</v>
      </c>
      <c r="P60" s="478">
        <f t="shared" si="33"/>
        <v>1.49201152283105</v>
      </c>
      <c r="Q60" s="478">
        <f t="shared" si="33"/>
        <v>1.49201152283105</v>
      </c>
      <c r="R60" s="478">
        <f t="shared" si="33"/>
        <v>1.49201152283105</v>
      </c>
      <c r="S60" s="478">
        <f t="shared" si="33"/>
        <v>1.49201152283105</v>
      </c>
      <c r="T60" s="478">
        <f t="shared" si="33"/>
        <v>1.49201152283105</v>
      </c>
      <c r="U60" s="478">
        <f t="shared" si="33"/>
        <v>1.49201152283105</v>
      </c>
      <c r="V60" s="478">
        <f t="shared" si="33"/>
        <v>1.49201152283105</v>
      </c>
      <c r="W60" s="478">
        <f t="shared" si="33"/>
        <v>1.49201152283105</v>
      </c>
      <c r="X60" s="478">
        <f t="shared" si="33"/>
        <v>1.49201152283105</v>
      </c>
      <c r="Y60" s="478">
        <f t="shared" si="33"/>
        <v>1.49201152283105</v>
      </c>
      <c r="Z60" s="478">
        <f t="shared" si="33"/>
        <v>1.49201152283105</v>
      </c>
      <c r="AA60" s="478">
        <f t="shared" si="33"/>
        <v>1.49201152283105</v>
      </c>
      <c r="AB60" s="478">
        <f t="shared" si="33"/>
        <v>1.49201152283105</v>
      </c>
      <c r="AC60" s="478">
        <f t="shared" si="33"/>
        <v>1.49201152283105</v>
      </c>
      <c r="AD60" s="478">
        <f t="shared" si="33"/>
        <v>1.49201152283105</v>
      </c>
    </row>
    <row r="61" spans="1:35">
      <c r="A61" s="480" t="str">
        <f>Commodities!K24</f>
        <v>T-TAX-ICE_DST00</v>
      </c>
      <c r="B61" s="480" t="s">
        <v>854</v>
      </c>
      <c r="C61" s="480" t="s">
        <v>736</v>
      </c>
      <c r="D61" s="478">
        <f>M91</f>
        <v>1.49201152283105</v>
      </c>
      <c r="E61" s="478">
        <f t="shared" si="34"/>
        <v>1.49201152283105</v>
      </c>
      <c r="F61" s="478">
        <f t="shared" si="33"/>
        <v>1.49201152283105</v>
      </c>
      <c r="G61" s="478">
        <f t="shared" si="33"/>
        <v>1.49201152283105</v>
      </c>
      <c r="H61" s="478">
        <f t="shared" si="33"/>
        <v>1.49201152283105</v>
      </c>
      <c r="I61" s="478">
        <f t="shared" si="33"/>
        <v>1.49201152283105</v>
      </c>
      <c r="J61" s="478">
        <f t="shared" si="33"/>
        <v>1.49201152283105</v>
      </c>
      <c r="K61" s="478">
        <f t="shared" si="33"/>
        <v>1.49201152283105</v>
      </c>
      <c r="L61" s="478">
        <f t="shared" si="33"/>
        <v>1.49201152283105</v>
      </c>
      <c r="M61" s="478">
        <f t="shared" si="33"/>
        <v>1.49201152283105</v>
      </c>
      <c r="N61" s="478">
        <f t="shared" si="33"/>
        <v>1.49201152283105</v>
      </c>
      <c r="O61" s="478">
        <f t="shared" si="33"/>
        <v>1.49201152283105</v>
      </c>
      <c r="P61" s="478">
        <f t="shared" si="33"/>
        <v>1.49201152283105</v>
      </c>
      <c r="Q61" s="478">
        <f t="shared" si="33"/>
        <v>1.49201152283105</v>
      </c>
      <c r="R61" s="478">
        <f t="shared" si="33"/>
        <v>1.49201152283105</v>
      </c>
      <c r="S61" s="478">
        <f t="shared" si="33"/>
        <v>1.49201152283105</v>
      </c>
      <c r="T61" s="478">
        <f t="shared" si="33"/>
        <v>1.49201152283105</v>
      </c>
      <c r="U61" s="478">
        <f t="shared" si="33"/>
        <v>1.49201152283105</v>
      </c>
      <c r="V61" s="478">
        <f t="shared" si="33"/>
        <v>1.49201152283105</v>
      </c>
      <c r="W61" s="478">
        <f t="shared" si="33"/>
        <v>1.49201152283105</v>
      </c>
      <c r="X61" s="478">
        <f t="shared" si="33"/>
        <v>1.49201152283105</v>
      </c>
      <c r="Y61" s="478">
        <f t="shared" si="33"/>
        <v>1.49201152283105</v>
      </c>
      <c r="Z61" s="478">
        <f t="shared" si="33"/>
        <v>1.49201152283105</v>
      </c>
      <c r="AA61" s="478">
        <f t="shared" si="33"/>
        <v>1.49201152283105</v>
      </c>
      <c r="AB61" s="478">
        <f t="shared" si="33"/>
        <v>1.49201152283105</v>
      </c>
      <c r="AC61" s="478">
        <f t="shared" si="33"/>
        <v>1.49201152283105</v>
      </c>
      <c r="AD61" s="478">
        <f t="shared" si="33"/>
        <v>1.49201152283105</v>
      </c>
    </row>
    <row r="62" spans="1:35">
      <c r="A62" s="480" t="str">
        <f>Commodities!K25</f>
        <v>T-TAX-HEV_GSL00</v>
      </c>
      <c r="B62" s="480" t="s">
        <v>854</v>
      </c>
      <c r="C62" s="480" t="s">
        <v>736</v>
      </c>
      <c r="D62" s="478">
        <f>M91</f>
        <v>1.49201152283105</v>
      </c>
      <c r="E62" s="478">
        <f t="shared" si="34"/>
        <v>1.49201152283105</v>
      </c>
      <c r="F62" s="478">
        <f t="shared" si="33"/>
        <v>1.49201152283105</v>
      </c>
      <c r="G62" s="478">
        <f t="shared" si="33"/>
        <v>1.49201152283105</v>
      </c>
      <c r="H62" s="478">
        <f t="shared" si="33"/>
        <v>1.49201152283105</v>
      </c>
      <c r="I62" s="478">
        <f t="shared" si="33"/>
        <v>1.49201152283105</v>
      </c>
      <c r="J62" s="478">
        <f t="shared" si="33"/>
        <v>1.49201152283105</v>
      </c>
      <c r="K62" s="478">
        <f t="shared" ref="K62:K66" si="36">J62</f>
        <v>1.49201152283105</v>
      </c>
      <c r="L62" s="478">
        <f t="shared" ref="L62:L66" si="37">K62</f>
        <v>1.49201152283105</v>
      </c>
      <c r="M62" s="478">
        <f t="shared" ref="M62:M66" si="38">L62</f>
        <v>1.49201152283105</v>
      </c>
      <c r="N62" s="478">
        <f t="shared" ref="N62:N66" si="39">M62</f>
        <v>1.49201152283105</v>
      </c>
      <c r="O62" s="478">
        <f t="shared" ref="O62:O66" si="40">N62</f>
        <v>1.49201152283105</v>
      </c>
      <c r="P62" s="478">
        <f t="shared" ref="P62:P66" si="41">O62</f>
        <v>1.49201152283105</v>
      </c>
      <c r="Q62" s="478">
        <f t="shared" ref="Q62:Q66" si="42">P62</f>
        <v>1.49201152283105</v>
      </c>
      <c r="R62" s="478">
        <f t="shared" ref="R62:R66" si="43">Q62</f>
        <v>1.49201152283105</v>
      </c>
      <c r="S62" s="478">
        <f t="shared" ref="S62:S66" si="44">R62</f>
        <v>1.49201152283105</v>
      </c>
      <c r="T62" s="478">
        <f t="shared" ref="T62:T66" si="45">S62</f>
        <v>1.49201152283105</v>
      </c>
      <c r="U62" s="478">
        <f t="shared" ref="U62:U66" si="46">T62</f>
        <v>1.49201152283105</v>
      </c>
      <c r="V62" s="478">
        <f t="shared" ref="V62:V66" si="47">U62</f>
        <v>1.49201152283105</v>
      </c>
      <c r="W62" s="478">
        <f t="shared" ref="W62:W66" si="48">V62</f>
        <v>1.49201152283105</v>
      </c>
      <c r="X62" s="478">
        <f t="shared" ref="X62:X66" si="49">W62</f>
        <v>1.49201152283105</v>
      </c>
      <c r="Y62" s="478">
        <f t="shared" ref="Y62:Y66" si="50">X62</f>
        <v>1.49201152283105</v>
      </c>
      <c r="Z62" s="478">
        <f t="shared" ref="Z62:Z66" si="51">Y62</f>
        <v>1.49201152283105</v>
      </c>
      <c r="AA62" s="478">
        <f t="shared" ref="AA62:AA66" si="52">Z62</f>
        <v>1.49201152283105</v>
      </c>
      <c r="AB62" s="478">
        <f t="shared" ref="AB62:AB66" si="53">AA62</f>
        <v>1.49201152283105</v>
      </c>
      <c r="AC62" s="478">
        <f t="shared" ref="AC62:AC66" si="54">AB62</f>
        <v>1.49201152283105</v>
      </c>
      <c r="AD62" s="478">
        <f t="shared" ref="AD62:AD66" si="55">AC62</f>
        <v>1.49201152283105</v>
      </c>
    </row>
    <row r="63" spans="1:35">
      <c r="A63" s="480" t="str">
        <f>Commodities!K27</f>
        <v>T-BUS-ICE_DST00</v>
      </c>
      <c r="B63" s="480" t="s">
        <v>854</v>
      </c>
      <c r="C63" s="480" t="s">
        <v>736</v>
      </c>
      <c r="D63" s="479">
        <v>27.25</v>
      </c>
      <c r="E63" s="478">
        <f t="shared" si="34"/>
        <v>27.25</v>
      </c>
      <c r="F63" s="478">
        <f t="shared" ref="F63" si="56">E63</f>
        <v>27.25</v>
      </c>
      <c r="G63" s="478">
        <f t="shared" ref="G63" si="57">F63</f>
        <v>27.25</v>
      </c>
      <c r="H63" s="478">
        <f t="shared" ref="H63" si="58">G63</f>
        <v>27.25</v>
      </c>
      <c r="I63" s="478">
        <f t="shared" ref="I63:I66" si="59">H63</f>
        <v>27.25</v>
      </c>
      <c r="J63" s="478">
        <f t="shared" ref="J63:J66" si="60">I63</f>
        <v>27.25</v>
      </c>
      <c r="K63" s="478">
        <f t="shared" si="36"/>
        <v>27.25</v>
      </c>
      <c r="L63" s="478">
        <f t="shared" si="37"/>
        <v>27.25</v>
      </c>
      <c r="M63" s="478">
        <f t="shared" si="38"/>
        <v>27.25</v>
      </c>
      <c r="N63" s="478">
        <f t="shared" si="39"/>
        <v>27.25</v>
      </c>
      <c r="O63" s="478">
        <f t="shared" si="40"/>
        <v>27.25</v>
      </c>
      <c r="P63" s="478">
        <f t="shared" si="41"/>
        <v>27.25</v>
      </c>
      <c r="Q63" s="478">
        <f t="shared" si="42"/>
        <v>27.25</v>
      </c>
      <c r="R63" s="478">
        <f t="shared" si="43"/>
        <v>27.25</v>
      </c>
      <c r="S63" s="478">
        <f t="shared" si="44"/>
        <v>27.25</v>
      </c>
      <c r="T63" s="478">
        <f t="shared" si="45"/>
        <v>27.25</v>
      </c>
      <c r="U63" s="478">
        <f t="shared" si="46"/>
        <v>27.25</v>
      </c>
      <c r="V63" s="478">
        <f t="shared" si="47"/>
        <v>27.25</v>
      </c>
      <c r="W63" s="478">
        <f t="shared" si="48"/>
        <v>27.25</v>
      </c>
      <c r="X63" s="478">
        <f t="shared" si="49"/>
        <v>27.25</v>
      </c>
      <c r="Y63" s="478">
        <f t="shared" si="50"/>
        <v>27.25</v>
      </c>
      <c r="Z63" s="478">
        <f t="shared" si="51"/>
        <v>27.25</v>
      </c>
      <c r="AA63" s="478">
        <f t="shared" si="52"/>
        <v>27.25</v>
      </c>
      <c r="AB63" s="478">
        <f t="shared" si="53"/>
        <v>27.25</v>
      </c>
      <c r="AC63" s="478">
        <f t="shared" si="54"/>
        <v>27.25</v>
      </c>
      <c r="AD63" s="478">
        <f t="shared" si="55"/>
        <v>27.25</v>
      </c>
    </row>
    <row r="64" spans="1:35" s="459" customFormat="1">
      <c r="A64" s="480" t="str">
        <f>Commodities!K29</f>
        <v>T-LPT-EV_ELC00</v>
      </c>
      <c r="B64" s="480" t="s">
        <v>854</v>
      </c>
      <c r="C64" s="480" t="s">
        <v>736</v>
      </c>
      <c r="D64" s="726">
        <f>B109</f>
        <v>78.019401157895544</v>
      </c>
      <c r="E64" s="726">
        <v>0</v>
      </c>
      <c r="F64" s="726">
        <f>D64</f>
        <v>78.019401157895544</v>
      </c>
      <c r="G64" s="726">
        <f>E64</f>
        <v>0</v>
      </c>
      <c r="H64" s="726">
        <f>G64</f>
        <v>0</v>
      </c>
      <c r="I64" s="726">
        <f t="shared" si="59"/>
        <v>0</v>
      </c>
      <c r="J64" s="726">
        <f t="shared" si="60"/>
        <v>0</v>
      </c>
      <c r="K64" s="726">
        <f t="shared" si="36"/>
        <v>0</v>
      </c>
      <c r="L64" s="726">
        <f t="shared" si="37"/>
        <v>0</v>
      </c>
      <c r="M64" s="726">
        <f t="shared" si="38"/>
        <v>0</v>
      </c>
      <c r="N64" s="726">
        <f t="shared" si="39"/>
        <v>0</v>
      </c>
      <c r="O64" s="726">
        <f t="shared" si="40"/>
        <v>0</v>
      </c>
      <c r="P64" s="726">
        <f t="shared" si="41"/>
        <v>0</v>
      </c>
      <c r="Q64" s="726">
        <f t="shared" si="42"/>
        <v>0</v>
      </c>
      <c r="R64" s="726">
        <f t="shared" si="43"/>
        <v>0</v>
      </c>
      <c r="S64" s="726">
        <f t="shared" si="44"/>
        <v>0</v>
      </c>
      <c r="T64" s="726">
        <f t="shared" si="45"/>
        <v>0</v>
      </c>
      <c r="U64" s="726">
        <f t="shared" si="46"/>
        <v>0</v>
      </c>
      <c r="V64" s="726">
        <f t="shared" si="47"/>
        <v>0</v>
      </c>
      <c r="W64" s="726">
        <f t="shared" si="48"/>
        <v>0</v>
      </c>
      <c r="X64" s="726">
        <f t="shared" si="49"/>
        <v>0</v>
      </c>
      <c r="Y64" s="726">
        <f t="shared" si="50"/>
        <v>0</v>
      </c>
      <c r="Z64" s="726">
        <f t="shared" si="51"/>
        <v>0</v>
      </c>
      <c r="AA64" s="726">
        <f t="shared" si="52"/>
        <v>0</v>
      </c>
      <c r="AB64" s="726">
        <f t="shared" si="53"/>
        <v>0</v>
      </c>
      <c r="AC64" s="726">
        <f t="shared" si="54"/>
        <v>0</v>
      </c>
      <c r="AD64" s="726">
        <f t="shared" si="55"/>
        <v>0</v>
      </c>
    </row>
    <row r="65" spans="1:30" s="459" customFormat="1">
      <c r="A65" s="480" t="str">
        <f>Commodities!K30</f>
        <v>T-HPT-EV_ELC00</v>
      </c>
      <c r="B65" s="480" t="s">
        <v>854</v>
      </c>
      <c r="C65" s="480" t="s">
        <v>736</v>
      </c>
      <c r="D65" s="726">
        <f>D64</f>
        <v>78.019401157895544</v>
      </c>
      <c r="E65" s="726">
        <f>D65</f>
        <v>78.019401157895544</v>
      </c>
      <c r="F65" s="726">
        <f t="shared" ref="F65:H65" si="61">E65</f>
        <v>78.019401157895544</v>
      </c>
      <c r="G65" s="726">
        <f t="shared" si="61"/>
        <v>78.019401157895544</v>
      </c>
      <c r="H65" s="726">
        <f t="shared" si="61"/>
        <v>78.019401157895544</v>
      </c>
      <c r="I65" s="726">
        <f t="shared" si="59"/>
        <v>78.019401157895544</v>
      </c>
      <c r="J65" s="726">
        <f t="shared" si="60"/>
        <v>78.019401157895544</v>
      </c>
      <c r="K65" s="726">
        <f t="shared" si="36"/>
        <v>78.019401157895544</v>
      </c>
      <c r="L65" s="726">
        <f t="shared" si="37"/>
        <v>78.019401157895544</v>
      </c>
      <c r="M65" s="726">
        <f t="shared" si="38"/>
        <v>78.019401157895544</v>
      </c>
      <c r="N65" s="726">
        <f t="shared" si="39"/>
        <v>78.019401157895544</v>
      </c>
      <c r="O65" s="726">
        <f t="shared" si="40"/>
        <v>78.019401157895544</v>
      </c>
      <c r="P65" s="726">
        <f t="shared" si="41"/>
        <v>78.019401157895544</v>
      </c>
      <c r="Q65" s="726">
        <f t="shared" si="42"/>
        <v>78.019401157895544</v>
      </c>
      <c r="R65" s="726">
        <f t="shared" si="43"/>
        <v>78.019401157895544</v>
      </c>
      <c r="S65" s="726">
        <f t="shared" si="44"/>
        <v>78.019401157895544</v>
      </c>
      <c r="T65" s="726">
        <f t="shared" si="45"/>
        <v>78.019401157895544</v>
      </c>
      <c r="U65" s="726">
        <f t="shared" si="46"/>
        <v>78.019401157895544</v>
      </c>
      <c r="V65" s="726">
        <f t="shared" si="47"/>
        <v>78.019401157895544</v>
      </c>
      <c r="W65" s="726">
        <f t="shared" si="48"/>
        <v>78.019401157895544</v>
      </c>
      <c r="X65" s="726">
        <f t="shared" si="49"/>
        <v>78.019401157895544</v>
      </c>
      <c r="Y65" s="726">
        <f t="shared" si="50"/>
        <v>78.019401157895544</v>
      </c>
      <c r="Z65" s="726">
        <f t="shared" si="51"/>
        <v>78.019401157895544</v>
      </c>
      <c r="AA65" s="726">
        <f t="shared" si="52"/>
        <v>78.019401157895544</v>
      </c>
      <c r="AB65" s="726">
        <f t="shared" si="53"/>
        <v>78.019401157895544</v>
      </c>
      <c r="AC65" s="726">
        <f t="shared" si="54"/>
        <v>78.019401157895544</v>
      </c>
      <c r="AD65" s="726">
        <f t="shared" si="55"/>
        <v>78.019401157895544</v>
      </c>
    </row>
    <row r="66" spans="1:30" s="459" customFormat="1">
      <c r="A66" s="480" t="str">
        <f>Commodities!K31</f>
        <v>T-HPT-ICE_DST00</v>
      </c>
      <c r="B66" s="480" t="s">
        <v>854</v>
      </c>
      <c r="C66" s="480" t="s">
        <v>736</v>
      </c>
      <c r="D66" s="726">
        <v>120</v>
      </c>
      <c r="E66" s="726">
        <f>D66</f>
        <v>120</v>
      </c>
      <c r="F66" s="726">
        <f t="shared" ref="F66:H66" si="62">E66</f>
        <v>120</v>
      </c>
      <c r="G66" s="726">
        <f t="shared" si="62"/>
        <v>120</v>
      </c>
      <c r="H66" s="726">
        <f t="shared" si="62"/>
        <v>120</v>
      </c>
      <c r="I66" s="726">
        <f t="shared" si="59"/>
        <v>120</v>
      </c>
      <c r="J66" s="726">
        <f t="shared" si="60"/>
        <v>120</v>
      </c>
      <c r="K66" s="726">
        <f t="shared" si="36"/>
        <v>120</v>
      </c>
      <c r="L66" s="726">
        <f t="shared" si="37"/>
        <v>120</v>
      </c>
      <c r="M66" s="726">
        <f t="shared" si="38"/>
        <v>120</v>
      </c>
      <c r="N66" s="726">
        <f t="shared" si="39"/>
        <v>120</v>
      </c>
      <c r="O66" s="726">
        <f t="shared" si="40"/>
        <v>120</v>
      </c>
      <c r="P66" s="726">
        <f t="shared" si="41"/>
        <v>120</v>
      </c>
      <c r="Q66" s="726">
        <f t="shared" si="42"/>
        <v>120</v>
      </c>
      <c r="R66" s="726">
        <f t="shared" si="43"/>
        <v>120</v>
      </c>
      <c r="S66" s="726">
        <f t="shared" si="44"/>
        <v>120</v>
      </c>
      <c r="T66" s="726">
        <f t="shared" si="45"/>
        <v>120</v>
      </c>
      <c r="U66" s="726">
        <f t="shared" si="46"/>
        <v>120</v>
      </c>
      <c r="V66" s="726">
        <f t="shared" si="47"/>
        <v>120</v>
      </c>
      <c r="W66" s="726">
        <f t="shared" si="48"/>
        <v>120</v>
      </c>
      <c r="X66" s="726">
        <f t="shared" si="49"/>
        <v>120</v>
      </c>
      <c r="Y66" s="726">
        <f t="shared" si="50"/>
        <v>120</v>
      </c>
      <c r="Z66" s="726">
        <f t="shared" si="51"/>
        <v>120</v>
      </c>
      <c r="AA66" s="726">
        <f t="shared" si="52"/>
        <v>120</v>
      </c>
      <c r="AB66" s="726">
        <f t="shared" si="53"/>
        <v>120</v>
      </c>
      <c r="AC66" s="726">
        <f t="shared" si="54"/>
        <v>120</v>
      </c>
      <c r="AD66" s="726">
        <f t="shared" si="55"/>
        <v>120</v>
      </c>
    </row>
    <row r="67" spans="1:30" s="459" customFormat="1">
      <c r="A67" s="727" t="s">
        <v>739</v>
      </c>
      <c r="B67" s="727"/>
      <c r="C67" s="727"/>
      <c r="D67" s="727"/>
      <c r="E67" s="727"/>
      <c r="F67" s="727"/>
      <c r="G67" s="727"/>
      <c r="H67" s="727"/>
      <c r="I67" s="727"/>
      <c r="J67" s="727"/>
      <c r="K67" s="727"/>
      <c r="L67" s="727"/>
      <c r="M67" s="727"/>
      <c r="N67" s="727"/>
      <c r="O67" s="727"/>
      <c r="P67" s="727"/>
      <c r="Q67" s="727"/>
      <c r="R67" s="727"/>
      <c r="S67" s="727"/>
      <c r="T67" s="727"/>
      <c r="U67" s="727"/>
      <c r="V67" s="727"/>
      <c r="W67" s="727"/>
      <c r="X67" s="727"/>
      <c r="Y67" s="727"/>
      <c r="Z67" s="727"/>
      <c r="AA67" s="727"/>
      <c r="AB67" s="727"/>
      <c r="AC67" s="727"/>
      <c r="AD67" s="727"/>
    </row>
    <row r="68" spans="1:30">
      <c r="A68" s="480" t="str">
        <f>Commodities!K34</f>
        <v>T-LGT-ICE_GSL00</v>
      </c>
      <c r="B68" s="480" t="s">
        <v>854</v>
      </c>
      <c r="C68" s="480" t="s">
        <v>737</v>
      </c>
      <c r="D68" s="478">
        <f>Stock!BL81</f>
        <v>1.4619882861227993</v>
      </c>
      <c r="E68" s="478">
        <f>Stock!BM81</f>
        <v>1.3745573499910064</v>
      </c>
      <c r="F68" s="478">
        <f>Stock!BN81</f>
        <v>1.485604194837586</v>
      </c>
      <c r="G68" s="478">
        <f>Stock!BO81</f>
        <v>1.2772306066079127</v>
      </c>
      <c r="H68" s="478">
        <f>Stock!BP81</f>
        <v>1.6404478233016127</v>
      </c>
      <c r="I68" s="478">
        <f>Stock!BQ81</f>
        <v>1.57400016155707</v>
      </c>
      <c r="J68" s="478">
        <f>Stock!BR81</f>
        <v>1.2151607425593969</v>
      </c>
      <c r="K68" s="478">
        <f>Stock!BS81</f>
        <v>1.4850826036776856</v>
      </c>
      <c r="L68" s="478">
        <f>Stock!BT81</f>
        <v>1.1840047505197961</v>
      </c>
      <c r="M68" s="478">
        <f>Stock!BU81</f>
        <v>1.4587006982179762</v>
      </c>
      <c r="N68" s="478">
        <f>Stock!BV81</f>
        <v>1.3322766755559916</v>
      </c>
      <c r="O68" s="478">
        <f>Stock!BW81</f>
        <v>1.3999088755716118</v>
      </c>
      <c r="P68" s="478">
        <f>Stock!BX81</f>
        <v>1.5443290374492857</v>
      </c>
      <c r="Q68" s="478">
        <f>Stock!BY81</f>
        <v>1.5352697002129094</v>
      </c>
      <c r="R68" s="478">
        <f>Stock!BZ81</f>
        <v>1.849413728792074</v>
      </c>
      <c r="S68" s="478">
        <f>Stock!CA81</f>
        <v>1.8076011503062872</v>
      </c>
      <c r="T68" s="478">
        <f>Stock!CB81</f>
        <v>1.5474925446836603</v>
      </c>
      <c r="U68" s="478">
        <f>Stock!CC81</f>
        <v>1.3488658994771257</v>
      </c>
      <c r="V68" s="478">
        <f>Stock!CD81</f>
        <v>2.2283854786052903</v>
      </c>
      <c r="W68" s="478">
        <f>Stock!CE81</f>
        <v>1.4102072448599945</v>
      </c>
      <c r="X68" s="478">
        <f>Stock!CF81</f>
        <v>1.1485270420400568</v>
      </c>
      <c r="Y68" s="478">
        <f>Stock!CG81</f>
        <v>1.1301538685672965</v>
      </c>
      <c r="Z68" s="478">
        <f>Stock!CH81</f>
        <v>1.0993844097414549</v>
      </c>
      <c r="AA68" s="478">
        <f>Stock!CI81</f>
        <v>1.3599089062669418</v>
      </c>
      <c r="AB68" s="478">
        <f>Stock!CJ81</f>
        <v>1.0748575228797197</v>
      </c>
      <c r="AC68" s="478">
        <f>Stock!CK81</f>
        <v>1.386856564214078</v>
      </c>
      <c r="AD68" s="478">
        <f>Stock!CL81</f>
        <v>0.77491217770465182</v>
      </c>
    </row>
    <row r="69" spans="1:30" s="459" customFormat="1">
      <c r="A69" s="493" t="str">
        <f>Commodities!K35</f>
        <v>T-HGT-ICE_DST00</v>
      </c>
      <c r="B69" s="480" t="s">
        <v>854</v>
      </c>
      <c r="C69" s="493" t="s">
        <v>737</v>
      </c>
      <c r="D69" s="728">
        <f>Stock!BL81</f>
        <v>1.4619882861227993</v>
      </c>
      <c r="E69" s="728">
        <f>Stock!BM81</f>
        <v>1.3745573499910064</v>
      </c>
      <c r="F69" s="728">
        <f>Stock!BN81</f>
        <v>1.485604194837586</v>
      </c>
      <c r="G69" s="728">
        <f>Stock!BO81</f>
        <v>1.2772306066079127</v>
      </c>
      <c r="H69" s="728">
        <f>Stock!BP81</f>
        <v>1.6404478233016127</v>
      </c>
      <c r="I69" s="728">
        <f>Stock!BQ81</f>
        <v>1.57400016155707</v>
      </c>
      <c r="J69" s="728">
        <f>Stock!BR81</f>
        <v>1.2151607425593969</v>
      </c>
      <c r="K69" s="728">
        <f>Stock!BS81</f>
        <v>1.4850826036776856</v>
      </c>
      <c r="L69" s="728">
        <f>Stock!BT81</f>
        <v>1.1840047505197961</v>
      </c>
      <c r="M69" s="728">
        <f>Stock!BU81</f>
        <v>1.4587006982179762</v>
      </c>
      <c r="N69" s="728">
        <f>Stock!BV81</f>
        <v>1.3322766755559916</v>
      </c>
      <c r="O69" s="728">
        <f>Stock!BW81</f>
        <v>1.3999088755716118</v>
      </c>
      <c r="P69" s="728">
        <f>Stock!BX81</f>
        <v>1.5443290374492857</v>
      </c>
      <c r="Q69" s="728">
        <f>Stock!BY81</f>
        <v>1.5352697002129094</v>
      </c>
      <c r="R69" s="728">
        <f>Stock!BZ81</f>
        <v>1.849413728792074</v>
      </c>
      <c r="S69" s="728">
        <f>Stock!CA81</f>
        <v>1.8076011503062872</v>
      </c>
      <c r="T69" s="728">
        <f>Stock!CB81</f>
        <v>1.5474925446836603</v>
      </c>
      <c r="U69" s="728">
        <f>Stock!CC81</f>
        <v>1.3488658994771257</v>
      </c>
      <c r="V69" s="728">
        <f>Stock!CD81</f>
        <v>2.2283854786052903</v>
      </c>
      <c r="W69" s="728">
        <f>Stock!CE81</f>
        <v>1.4102072448599945</v>
      </c>
      <c r="X69" s="728">
        <f>Stock!CF81</f>
        <v>1.1485270420400568</v>
      </c>
      <c r="Y69" s="728">
        <f>Stock!CG81</f>
        <v>1.1301538685672965</v>
      </c>
      <c r="Z69" s="728">
        <f>Stock!CH81</f>
        <v>1.0993844097414549</v>
      </c>
      <c r="AA69" s="728">
        <f>Stock!CI81</f>
        <v>1.3599089062669418</v>
      </c>
      <c r="AB69" s="728">
        <f>Stock!CJ81</f>
        <v>1.0748575228797197</v>
      </c>
      <c r="AC69" s="728">
        <f>Stock!CK81</f>
        <v>1.386856564214078</v>
      </c>
      <c r="AD69" s="728">
        <f>Stock!CL81</f>
        <v>0.77491217770465182</v>
      </c>
    </row>
    <row r="70" spans="1:30" s="459" customFormat="1">
      <c r="A70" s="496" t="str">
        <f>Commodities!K36</f>
        <v>T-GTR-ICE_DST00</v>
      </c>
      <c r="B70" s="496" t="s">
        <v>854</v>
      </c>
      <c r="C70" s="496" t="s">
        <v>737</v>
      </c>
      <c r="D70" s="723">
        <v>164.83335026928157</v>
      </c>
      <c r="E70" s="729">
        <f t="shared" ref="E70" si="63">D70</f>
        <v>164.83335026928157</v>
      </c>
      <c r="F70" s="729">
        <f t="shared" ref="F70:AD70" si="64">E70</f>
        <v>164.83335026928157</v>
      </c>
      <c r="G70" s="729">
        <f t="shared" si="64"/>
        <v>164.83335026928157</v>
      </c>
      <c r="H70" s="729">
        <f t="shared" si="64"/>
        <v>164.83335026928157</v>
      </c>
      <c r="I70" s="729">
        <f t="shared" si="64"/>
        <v>164.83335026928157</v>
      </c>
      <c r="J70" s="729">
        <f t="shared" si="64"/>
        <v>164.83335026928157</v>
      </c>
      <c r="K70" s="729">
        <f t="shared" si="64"/>
        <v>164.83335026928157</v>
      </c>
      <c r="L70" s="729">
        <f t="shared" si="64"/>
        <v>164.83335026928157</v>
      </c>
      <c r="M70" s="729">
        <f t="shared" si="64"/>
        <v>164.83335026928157</v>
      </c>
      <c r="N70" s="729">
        <f t="shared" si="64"/>
        <v>164.83335026928157</v>
      </c>
      <c r="O70" s="729">
        <f t="shared" si="64"/>
        <v>164.83335026928157</v>
      </c>
      <c r="P70" s="729">
        <f t="shared" si="64"/>
        <v>164.83335026928157</v>
      </c>
      <c r="Q70" s="729">
        <f t="shared" si="64"/>
        <v>164.83335026928157</v>
      </c>
      <c r="R70" s="729">
        <f t="shared" si="64"/>
        <v>164.83335026928157</v>
      </c>
      <c r="S70" s="729">
        <f t="shared" si="64"/>
        <v>164.83335026928157</v>
      </c>
      <c r="T70" s="729">
        <f t="shared" si="64"/>
        <v>164.83335026928157</v>
      </c>
      <c r="U70" s="729">
        <f t="shared" si="64"/>
        <v>164.83335026928157</v>
      </c>
      <c r="V70" s="729">
        <f t="shared" si="64"/>
        <v>164.83335026928157</v>
      </c>
      <c r="W70" s="729">
        <f t="shared" si="64"/>
        <v>164.83335026928157</v>
      </c>
      <c r="X70" s="729">
        <f t="shared" si="64"/>
        <v>164.83335026928157</v>
      </c>
      <c r="Y70" s="729">
        <f t="shared" si="64"/>
        <v>164.83335026928157</v>
      </c>
      <c r="Z70" s="729">
        <f t="shared" si="64"/>
        <v>164.83335026928157</v>
      </c>
      <c r="AA70" s="729">
        <f t="shared" si="64"/>
        <v>164.83335026928157</v>
      </c>
      <c r="AB70" s="729">
        <f t="shared" si="64"/>
        <v>164.83335026928157</v>
      </c>
      <c r="AC70" s="729">
        <f t="shared" si="64"/>
        <v>164.83335026928157</v>
      </c>
      <c r="AD70" s="729">
        <f t="shared" si="64"/>
        <v>164.83335026928157</v>
      </c>
    </row>
    <row r="71" spans="1:30" s="459" customFormat="1">
      <c r="A71" s="1"/>
      <c r="B71" s="1"/>
      <c r="C71" s="1"/>
      <c r="D71" s="462"/>
      <c r="E71" s="462"/>
      <c r="F71" s="462"/>
      <c r="G71" s="462"/>
      <c r="H71" s="462"/>
      <c r="I71" s="462"/>
      <c r="J71" s="462"/>
      <c r="K71" s="462"/>
      <c r="L71" s="462"/>
      <c r="M71" s="462"/>
      <c r="N71" s="462"/>
      <c r="O71" s="462"/>
      <c r="P71" s="462"/>
      <c r="Q71" s="462"/>
      <c r="R71" s="462"/>
      <c r="S71" s="462"/>
      <c r="T71" s="462"/>
      <c r="U71" s="462"/>
      <c r="V71" s="462"/>
      <c r="W71" s="462"/>
      <c r="X71" s="462"/>
      <c r="Y71" s="462"/>
      <c r="Z71" s="462"/>
      <c r="AA71" s="462"/>
      <c r="AB71" s="462"/>
      <c r="AC71" s="462"/>
      <c r="AD71" s="462"/>
    </row>
    <row r="72" spans="1:30">
      <c r="A72" s="133" t="s">
        <v>338</v>
      </c>
      <c r="B72" s="448"/>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row>
    <row r="73" spans="1:30">
      <c r="A73" s="448" t="s">
        <v>543</v>
      </c>
      <c r="B73" s="448"/>
      <c r="E73" s="448"/>
      <c r="F73" s="448"/>
      <c r="G73" s="448"/>
      <c r="H73" s="448"/>
    </row>
    <row r="74" spans="1:30">
      <c r="A74" s="448" t="s">
        <v>743</v>
      </c>
      <c r="B74" s="448"/>
      <c r="E74" s="448"/>
      <c r="F74" s="448"/>
      <c r="G74" s="448"/>
      <c r="H74" s="448"/>
    </row>
    <row r="75" spans="1:30">
      <c r="A75" t="s">
        <v>744</v>
      </c>
      <c r="E75" s="448"/>
      <c r="F75" s="448"/>
      <c r="G75" s="448"/>
      <c r="H75" s="448"/>
    </row>
    <row r="76" spans="1:30" s="459" customFormat="1">
      <c r="A76" s="459" t="s">
        <v>805</v>
      </c>
    </row>
    <row r="77" spans="1:30" s="459" customFormat="1"/>
    <row r="78" spans="1:30" s="459" customFormat="1"/>
    <row r="79" spans="1:30" s="459" customFormat="1">
      <c r="D79" s="5">
        <f>Demands!C581</f>
        <v>1.4620453681409198</v>
      </c>
      <c r="E79" s="5">
        <f>Demands!D581</f>
        <v>1.3793875658298416</v>
      </c>
      <c r="F79" s="5">
        <f>Demands!E581</f>
        <v>1.4862792377634615</v>
      </c>
      <c r="G79" s="5">
        <f>Demands!F581</f>
        <v>1.2758837094916566</v>
      </c>
      <c r="H79" s="5">
        <f>Demands!G581</f>
        <v>1.6410035358512787</v>
      </c>
      <c r="I79" s="5">
        <f>Demands!H581</f>
        <v>1.5778905727849575</v>
      </c>
      <c r="J79" s="5">
        <f>Demands!I581</f>
        <v>1.2114088232975861</v>
      </c>
      <c r="K79" s="5">
        <f>Demands!J581</f>
        <v>1.4859569460606008</v>
      </c>
      <c r="L79" s="5">
        <f>Demands!K581</f>
        <v>1.1842119745669166</v>
      </c>
      <c r="M79" s="5">
        <f>Demands!L581</f>
        <v>1.4628489701532177</v>
      </c>
      <c r="N79" s="5">
        <f>Demands!M581</f>
        <v>1.3306194305662751</v>
      </c>
      <c r="O79" s="5">
        <f>Demands!N581</f>
        <v>1.401066436749296</v>
      </c>
      <c r="P79" s="5">
        <f>Demands!O581</f>
        <v>1.5435521318404162</v>
      </c>
      <c r="Q79" s="5">
        <f>Demands!P581</f>
        <v>1.5342791255930024</v>
      </c>
      <c r="R79" s="5">
        <f>Demands!Q581</f>
        <v>1.8491782767532252</v>
      </c>
      <c r="S79" s="5">
        <f>Demands!R581</f>
        <v>1.80512968734413</v>
      </c>
      <c r="T79" s="5">
        <f>Demands!S581</f>
        <v>1.5475501190957266</v>
      </c>
      <c r="U79" s="5">
        <f>Demands!T581</f>
        <v>1.3507936655689778</v>
      </c>
      <c r="V79" s="5">
        <f>Demands!U581</f>
        <v>2.2276573570679252</v>
      </c>
      <c r="W79" s="5">
        <f>Demands!V581</f>
        <v>1.4103985268170536</v>
      </c>
      <c r="X79" s="5">
        <f>Demands!W581</f>
        <v>1.1527638598529673</v>
      </c>
      <c r="Y79" s="5">
        <f>Demands!X581</f>
        <v>1.1291361879453536</v>
      </c>
      <c r="Z79" s="5">
        <f>Demands!Y581</f>
        <v>1.0966261578226115</v>
      </c>
      <c r="AA79" s="5">
        <f>Demands!Z581</f>
        <v>1.3638908094558242</v>
      </c>
      <c r="AB79" s="5">
        <f>Demands!AA581</f>
        <v>1.0776800202339714</v>
      </c>
      <c r="AC79" s="5">
        <f>Demands!AB581</f>
        <v>1.387123296561513</v>
      </c>
      <c r="AD79" s="5">
        <f>Demands!AC581</f>
        <v>0.77679769479424898</v>
      </c>
    </row>
    <row r="80" spans="1:30" s="459" customFormat="1"/>
    <row r="81" spans="1:14" s="459" customFormat="1"/>
    <row r="82" spans="1:14" s="459" customFormat="1"/>
    <row r="83" spans="1:14">
      <c r="E83" s="448"/>
      <c r="F83" s="448"/>
      <c r="G83" s="448"/>
      <c r="H83" s="448"/>
    </row>
    <row r="87" spans="1:14">
      <c r="A87" s="448" t="s">
        <v>459</v>
      </c>
      <c r="B87" s="448"/>
      <c r="E87" s="448"/>
      <c r="F87" s="448"/>
      <c r="G87" s="448"/>
      <c r="H87" s="448"/>
      <c r="I87" s="448"/>
      <c r="J87" s="448"/>
      <c r="K87" s="448"/>
      <c r="L87" s="448"/>
      <c r="M87" s="448"/>
      <c r="N87" s="448"/>
    </row>
    <row r="88" spans="1:14">
      <c r="A88" s="1"/>
      <c r="B88" s="1"/>
      <c r="C88" s="552" t="s">
        <v>14</v>
      </c>
      <c r="D88" s="552"/>
      <c r="E88" s="552"/>
      <c r="F88" s="552"/>
      <c r="G88" s="553" t="s">
        <v>15</v>
      </c>
      <c r="H88" s="554"/>
      <c r="I88" s="554"/>
      <c r="J88" s="555"/>
      <c r="K88" s="459"/>
      <c r="L88" s="459"/>
      <c r="M88" s="448"/>
    </row>
    <row r="89" spans="1:14">
      <c r="A89" s="1"/>
      <c r="B89" s="1"/>
      <c r="C89" s="421">
        <v>1</v>
      </c>
      <c r="D89" s="420">
        <v>2</v>
      </c>
      <c r="E89" s="420">
        <v>3</v>
      </c>
      <c r="F89" s="422">
        <v>4</v>
      </c>
      <c r="G89" s="420">
        <v>6</v>
      </c>
      <c r="H89" s="420">
        <v>7</v>
      </c>
      <c r="I89" s="420">
        <v>8</v>
      </c>
      <c r="J89" s="422">
        <v>9</v>
      </c>
      <c r="K89" s="459"/>
      <c r="L89" s="459" t="s">
        <v>455</v>
      </c>
      <c r="M89" s="448"/>
    </row>
    <row r="90" spans="1:14">
      <c r="A90" s="1"/>
      <c r="B90" s="416" t="s">
        <v>454</v>
      </c>
      <c r="C90" s="423">
        <v>2540</v>
      </c>
      <c r="D90" s="419">
        <v>2680</v>
      </c>
      <c r="E90" s="419">
        <v>522</v>
      </c>
      <c r="F90" s="422">
        <v>522</v>
      </c>
      <c r="G90" s="419">
        <v>1300</v>
      </c>
      <c r="H90" s="419">
        <v>780</v>
      </c>
      <c r="I90" s="419">
        <v>208</v>
      </c>
      <c r="J90" s="424">
        <v>208</v>
      </c>
      <c r="K90" s="459"/>
      <c r="L90" s="387" t="s">
        <v>3</v>
      </c>
      <c r="M90" s="386">
        <f>SUM(C90:J90)</f>
        <v>8760</v>
      </c>
    </row>
    <row r="91" spans="1:14" ht="45">
      <c r="A91" s="1"/>
      <c r="B91" s="417" t="s">
        <v>4</v>
      </c>
      <c r="C91" s="418" t="s">
        <v>5</v>
      </c>
      <c r="D91" s="418" t="s">
        <v>6</v>
      </c>
      <c r="E91" s="418" t="s">
        <v>7</v>
      </c>
      <c r="F91" s="418" t="s">
        <v>8</v>
      </c>
      <c r="G91" s="418" t="s">
        <v>5</v>
      </c>
      <c r="H91" s="418" t="s">
        <v>6</v>
      </c>
      <c r="I91" s="418" t="s">
        <v>7</v>
      </c>
      <c r="J91" s="418" t="s">
        <v>8</v>
      </c>
      <c r="K91" s="459"/>
      <c r="L91" s="414" t="s">
        <v>109</v>
      </c>
      <c r="M91" s="415">
        <f>((C90/M90)*C98)+((D90/M90)*D98)+((E90/M90)*E98)+((F90/M90)*F98)+((G90/M90)*G98)+((H90/M90)*H98)+((I90/M90)*I98)+((J90/M90)*J98)</f>
        <v>1.49201152283105</v>
      </c>
    </row>
    <row r="92" spans="1:14">
      <c r="A92" s="836" t="s">
        <v>9</v>
      </c>
      <c r="B92" s="444" t="s">
        <v>457</v>
      </c>
      <c r="C92" s="386">
        <v>1.24</v>
      </c>
      <c r="D92" s="386">
        <v>1.25</v>
      </c>
      <c r="E92" s="386">
        <v>1.26</v>
      </c>
      <c r="F92" s="386">
        <v>1.26</v>
      </c>
      <c r="G92" s="386">
        <v>1.33</v>
      </c>
      <c r="H92" s="386">
        <v>1.34</v>
      </c>
      <c r="I92" s="386">
        <v>1.38</v>
      </c>
      <c r="J92" s="386">
        <v>1.38</v>
      </c>
      <c r="K92" s="459"/>
      <c r="L92" s="459"/>
      <c r="M92" s="448"/>
    </row>
    <row r="93" spans="1:14">
      <c r="A93" s="836"/>
      <c r="B93" s="444" t="s">
        <v>456</v>
      </c>
      <c r="C93" s="412">
        <v>0.10299999999999999</v>
      </c>
      <c r="D93" s="412">
        <v>0.16900000000000001</v>
      </c>
      <c r="E93" s="412">
        <v>0.13300000000000001</v>
      </c>
      <c r="F93" s="412">
        <v>0.12</v>
      </c>
      <c r="G93" s="412">
        <v>4.4999999999999998E-2</v>
      </c>
      <c r="H93" s="412">
        <v>1.7999999999999999E-2</v>
      </c>
      <c r="I93" s="412">
        <v>2.7E-2</v>
      </c>
      <c r="J93" s="412">
        <v>2.7E-2</v>
      </c>
      <c r="K93" s="459"/>
      <c r="L93" s="459"/>
      <c r="M93" s="448"/>
    </row>
    <row r="94" spans="1:14">
      <c r="A94" s="836" t="s">
        <v>10</v>
      </c>
      <c r="B94" s="444" t="s">
        <v>457</v>
      </c>
      <c r="C94" s="386">
        <v>1.21</v>
      </c>
      <c r="D94" s="386">
        <v>1.22</v>
      </c>
      <c r="E94" s="386">
        <v>1.23</v>
      </c>
      <c r="F94" s="386">
        <v>1.23</v>
      </c>
      <c r="G94" s="386">
        <v>1.2</v>
      </c>
      <c r="H94" s="386">
        <v>1.23</v>
      </c>
      <c r="I94" s="386">
        <v>1.22</v>
      </c>
      <c r="J94" s="386">
        <v>1.22</v>
      </c>
      <c r="K94" s="459"/>
      <c r="L94" s="459"/>
      <c r="M94" s="448"/>
    </row>
    <row r="95" spans="1:14">
      <c r="A95" s="836"/>
      <c r="B95" s="444" t="s">
        <v>456</v>
      </c>
      <c r="C95" s="412">
        <v>0.42199999999999999</v>
      </c>
      <c r="D95" s="412">
        <v>0.36699999999999999</v>
      </c>
      <c r="E95" s="412">
        <v>0.442</v>
      </c>
      <c r="F95" s="412">
        <v>0.42899999999999999</v>
      </c>
      <c r="G95" s="412">
        <v>0.24199999999999999</v>
      </c>
      <c r="H95" s="412">
        <v>7.9000000000000001E-2</v>
      </c>
      <c r="I95" s="412">
        <v>6.5000000000000002E-2</v>
      </c>
      <c r="J95" s="412">
        <v>6.5000000000000002E-2</v>
      </c>
      <c r="K95" s="459"/>
      <c r="L95" s="459"/>
      <c r="M95" s="448"/>
    </row>
    <row r="96" spans="1:14">
      <c r="A96" s="836" t="s">
        <v>11</v>
      </c>
      <c r="B96" s="444" t="s">
        <v>457</v>
      </c>
      <c r="C96" s="386">
        <v>1.64</v>
      </c>
      <c r="D96" s="386">
        <v>1.65</v>
      </c>
      <c r="E96" s="386">
        <v>1.66</v>
      </c>
      <c r="F96" s="386">
        <v>1.68</v>
      </c>
      <c r="G96" s="386">
        <v>1.7</v>
      </c>
      <c r="H96" s="386">
        <v>1.83</v>
      </c>
      <c r="I96" s="386">
        <v>1.85</v>
      </c>
      <c r="J96" s="386">
        <v>1.85</v>
      </c>
      <c r="K96" s="459"/>
      <c r="L96" s="459"/>
      <c r="M96" s="448"/>
    </row>
    <row r="97" spans="1:13">
      <c r="A97" s="836"/>
      <c r="B97" s="444" t="s">
        <v>456</v>
      </c>
      <c r="C97" s="412">
        <v>0.47499999999999998</v>
      </c>
      <c r="D97" s="412">
        <v>0.46400000000000002</v>
      </c>
      <c r="E97" s="412">
        <v>0.42499999999999999</v>
      </c>
      <c r="F97" s="412">
        <v>0.45100000000000001</v>
      </c>
      <c r="G97" s="412">
        <v>0.71299999999999997</v>
      </c>
      <c r="H97" s="412">
        <v>0.90300000000000002</v>
      </c>
      <c r="I97" s="412">
        <v>0.90900000000000003</v>
      </c>
      <c r="J97" s="412">
        <v>0.90900000000000003</v>
      </c>
      <c r="K97" s="459"/>
      <c r="L97" s="459"/>
      <c r="M97" s="448"/>
    </row>
    <row r="98" spans="1:13">
      <c r="A98" s="387" t="s">
        <v>12</v>
      </c>
      <c r="B98" s="387" t="s">
        <v>457</v>
      </c>
      <c r="C98" s="413">
        <f>(C92*C93)+(C94*C95)+(C96*C97)</f>
        <v>1.4173399999999998</v>
      </c>
      <c r="D98" s="413">
        <f t="shared" ref="D98:J98" si="65">(D92*D93)+(D94*D95)+(D96*D97)</f>
        <v>1.4245899999999998</v>
      </c>
      <c r="E98" s="413">
        <f t="shared" si="65"/>
        <v>1.4167399999999999</v>
      </c>
      <c r="F98" s="413">
        <f t="shared" si="65"/>
        <v>1.43655</v>
      </c>
      <c r="G98" s="413">
        <f t="shared" si="65"/>
        <v>1.5623499999999999</v>
      </c>
      <c r="H98" s="413">
        <f t="shared" si="65"/>
        <v>1.7737799999999999</v>
      </c>
      <c r="I98" s="413">
        <f t="shared" si="65"/>
        <v>1.7982100000000001</v>
      </c>
      <c r="J98" s="413">
        <f t="shared" si="65"/>
        <v>1.7982100000000001</v>
      </c>
      <c r="K98" s="459"/>
      <c r="L98" s="459"/>
      <c r="M98" s="448"/>
    </row>
    <row r="99" spans="1:13">
      <c r="A99" s="448" t="s">
        <v>458</v>
      </c>
      <c r="B99" s="448"/>
      <c r="D99" s="459"/>
      <c r="E99" s="459"/>
      <c r="F99" s="459"/>
      <c r="G99" s="459"/>
      <c r="H99" s="459"/>
      <c r="I99" s="459"/>
      <c r="J99" s="459"/>
      <c r="K99" s="459"/>
      <c r="L99" s="459"/>
      <c r="M99" s="448"/>
    </row>
    <row r="105" spans="1:13" ht="15.75">
      <c r="A105" s="401" t="s">
        <v>337</v>
      </c>
      <c r="B105" s="401"/>
      <c r="D105" s="445"/>
    </row>
    <row r="106" spans="1:13">
      <c r="A106" s="476"/>
      <c r="B106" s="611" t="s">
        <v>803</v>
      </c>
      <c r="D106" s="445"/>
    </row>
    <row r="107" spans="1:13">
      <c r="A107" s="128" t="s">
        <v>26</v>
      </c>
      <c r="B107" s="483">
        <f>Demands!B167+Demands!C167</f>
        <v>4065479</v>
      </c>
      <c r="D107" s="445"/>
    </row>
    <row r="108" spans="1:13">
      <c r="A108" s="128" t="s">
        <v>35</v>
      </c>
      <c r="B108" s="483">
        <f>Demands!B168+Demands!C168</f>
        <v>317186237</v>
      </c>
      <c r="D108" s="445"/>
    </row>
    <row r="109" spans="1:13">
      <c r="A109" s="496" t="s">
        <v>804</v>
      </c>
      <c r="B109" s="612">
        <f>B108/B107</f>
        <v>78.019401157895544</v>
      </c>
      <c r="D109" s="445"/>
    </row>
    <row r="110" spans="1:13">
      <c r="A110" s="498" t="s">
        <v>603</v>
      </c>
      <c r="B110" s="498"/>
      <c r="D110" s="445"/>
    </row>
  </sheetData>
  <mergeCells count="4">
    <mergeCell ref="A92:A93"/>
    <mergeCell ref="A94:A95"/>
    <mergeCell ref="A96:A97"/>
    <mergeCell ref="A3:D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topLeftCell="A23" zoomScale="85" zoomScaleNormal="85" workbookViewId="0">
      <selection activeCell="E40" sqref="E40:E59"/>
    </sheetView>
  </sheetViews>
  <sheetFormatPr defaultRowHeight="15"/>
  <cols>
    <col min="1" max="1" width="22.42578125" bestFit="1" customWidth="1"/>
    <col min="2" max="2" width="12.140625" style="459" customWidth="1"/>
    <col min="3" max="3" width="11" customWidth="1"/>
    <col min="4" max="29" width="9.5703125" customWidth="1"/>
  </cols>
  <sheetData>
    <row r="1" spans="1:31">
      <c r="A1" s="459"/>
      <c r="E1" s="135"/>
    </row>
    <row r="2" spans="1:31">
      <c r="A2" s="448"/>
      <c r="C2" s="448"/>
      <c r="D2" s="448"/>
      <c r="E2" s="448"/>
    </row>
    <row r="3" spans="1:31">
      <c r="A3" s="459"/>
      <c r="C3" s="453"/>
      <c r="D3" s="448"/>
      <c r="E3" s="448"/>
      <c r="AD3" s="448"/>
      <c r="AE3" s="448"/>
    </row>
    <row r="4" spans="1:31" ht="15.7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982</v>
      </c>
      <c r="C5" s="459" t="s">
        <v>870</v>
      </c>
      <c r="D5" s="567">
        <v>1500</v>
      </c>
      <c r="E5" s="567">
        <v>1500</v>
      </c>
      <c r="F5" s="567">
        <v>1500</v>
      </c>
      <c r="G5" s="567">
        <v>1500</v>
      </c>
      <c r="H5" s="567">
        <v>1500</v>
      </c>
      <c r="I5" s="567">
        <v>1500</v>
      </c>
      <c r="J5" s="567">
        <v>1500</v>
      </c>
      <c r="K5" s="567">
        <v>1500</v>
      </c>
      <c r="L5" s="567">
        <v>1500</v>
      </c>
      <c r="M5" s="567">
        <v>1500</v>
      </c>
      <c r="N5" s="567">
        <v>1500</v>
      </c>
      <c r="O5" s="567">
        <v>1500</v>
      </c>
      <c r="P5" s="567">
        <v>1500</v>
      </c>
      <c r="Q5" s="567">
        <v>1500</v>
      </c>
      <c r="R5" s="567">
        <v>1500</v>
      </c>
      <c r="S5" s="567">
        <v>1500</v>
      </c>
      <c r="T5" s="567">
        <v>1500</v>
      </c>
      <c r="U5" s="567">
        <v>1500</v>
      </c>
      <c r="V5" s="567">
        <v>1500</v>
      </c>
      <c r="W5" s="567">
        <v>1500</v>
      </c>
      <c r="X5" s="567">
        <v>1500</v>
      </c>
      <c r="Y5" s="567">
        <v>1500</v>
      </c>
      <c r="Z5" s="567">
        <v>1500</v>
      </c>
      <c r="AA5" s="567">
        <v>1500</v>
      </c>
      <c r="AB5" s="567">
        <v>1500</v>
      </c>
      <c r="AC5" s="567">
        <v>1500</v>
      </c>
      <c r="AD5" s="567">
        <v>1500</v>
      </c>
    </row>
    <row r="6" spans="1:31" s="459" customFormat="1">
      <c r="A6" s="459" t="str">
        <f>Commodities!K9</f>
        <v>T-CYC_CYC</v>
      </c>
      <c r="B6" s="459" t="s">
        <v>982</v>
      </c>
      <c r="C6" s="459" t="s">
        <v>870</v>
      </c>
      <c r="D6" s="567">
        <v>1500</v>
      </c>
      <c r="E6" s="567">
        <v>1500</v>
      </c>
      <c r="F6" s="567">
        <v>1500</v>
      </c>
      <c r="G6" s="567">
        <v>1500</v>
      </c>
      <c r="H6" s="567">
        <v>1500</v>
      </c>
      <c r="I6" s="567">
        <v>1500</v>
      </c>
      <c r="J6" s="567">
        <v>1500</v>
      </c>
      <c r="K6" s="567">
        <v>1500</v>
      </c>
      <c r="L6" s="567">
        <v>1500</v>
      </c>
      <c r="M6" s="567">
        <v>1500</v>
      </c>
      <c r="N6" s="567">
        <v>1500</v>
      </c>
      <c r="O6" s="567">
        <v>1500</v>
      </c>
      <c r="P6" s="567">
        <v>1500</v>
      </c>
      <c r="Q6" s="567">
        <v>1500</v>
      </c>
      <c r="R6" s="567">
        <v>1500</v>
      </c>
      <c r="S6" s="567">
        <v>1500</v>
      </c>
      <c r="T6" s="567">
        <v>1500</v>
      </c>
      <c r="U6" s="567">
        <v>1500</v>
      </c>
      <c r="V6" s="567">
        <v>1500</v>
      </c>
      <c r="W6" s="567">
        <v>1500</v>
      </c>
      <c r="X6" s="567">
        <v>1500</v>
      </c>
      <c r="Y6" s="567">
        <v>1500</v>
      </c>
      <c r="Z6" s="567">
        <v>1500</v>
      </c>
      <c r="AA6" s="567">
        <v>1500</v>
      </c>
      <c r="AB6" s="567">
        <v>1500</v>
      </c>
      <c r="AC6" s="567">
        <v>1500</v>
      </c>
      <c r="AD6" s="567">
        <v>1500</v>
      </c>
    </row>
    <row r="7" spans="1:31">
      <c r="A7" s="448" t="str">
        <f>Commodities!K11</f>
        <v>T-MOT-ICE_GSL00</v>
      </c>
      <c r="B7" s="459" t="s">
        <v>982</v>
      </c>
      <c r="C7" t="s">
        <v>870</v>
      </c>
      <c r="D7" s="567">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T-CAR-ICE_GSL00</v>
      </c>
      <c r="B8" s="459" t="s">
        <v>982</v>
      </c>
      <c r="C8" s="459" t="s">
        <v>870</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T-CAR-ICE_DST00</v>
      </c>
      <c r="B9" s="459" t="s">
        <v>982</v>
      </c>
      <c r="C9" s="459" t="s">
        <v>870</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T-CAR-ICE_DF00</v>
      </c>
      <c r="B10" s="459" t="s">
        <v>982</v>
      </c>
      <c r="C10" s="459" t="s">
        <v>870</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T-CAR-ICE_E8500</v>
      </c>
      <c r="B11" s="459" t="s">
        <v>982</v>
      </c>
      <c r="C11" s="459" t="s">
        <v>870</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T-CAR-HEV_GSL00</v>
      </c>
      <c r="B12" s="459" t="s">
        <v>982</v>
      </c>
      <c r="C12" s="459" t="s">
        <v>870</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T-CAR-HEV_DST00</v>
      </c>
      <c r="B13" s="459" t="s">
        <v>982</v>
      </c>
      <c r="C13" s="459" t="s">
        <v>870</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T-CAR-PHEV_GSL00</v>
      </c>
      <c r="B14" s="459" t="s">
        <v>982</v>
      </c>
      <c r="C14" s="459" t="s">
        <v>870</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T-CAR-PHEV_DST00</v>
      </c>
      <c r="B15" s="459" t="s">
        <v>982</v>
      </c>
      <c r="C15" s="459" t="s">
        <v>870</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T-CAR-BEV_ELC00</v>
      </c>
      <c r="B16" s="459" t="s">
        <v>982</v>
      </c>
      <c r="C16" s="459" t="s">
        <v>870</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T-TAX-ICE_GSL00</v>
      </c>
      <c r="B17" s="459" t="s">
        <v>982</v>
      </c>
      <c r="C17" s="459" t="s">
        <v>870</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T-TAX-ICE_DST00</v>
      </c>
      <c r="B18" s="459" t="s">
        <v>982</v>
      </c>
      <c r="C18" s="459" t="s">
        <v>870</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T-TAX-HEV_GSL00</v>
      </c>
      <c r="B19" s="459" t="s">
        <v>982</v>
      </c>
      <c r="C19" s="459" t="s">
        <v>870</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T-BUS-ICE_DST00</v>
      </c>
      <c r="B20" s="459" t="s">
        <v>982</v>
      </c>
      <c r="C20" s="459" t="s">
        <v>870</v>
      </c>
      <c r="D20" s="568">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T-LPT-EV_ELC00</v>
      </c>
      <c r="B21" s="459" t="s">
        <v>982</v>
      </c>
      <c r="C21" s="459" t="s">
        <v>870</v>
      </c>
      <c r="D21" s="568">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T-HPT-EV_ELC00</v>
      </c>
      <c r="B22" s="459" t="s">
        <v>982</v>
      </c>
      <c r="C22" s="459" t="s">
        <v>870</v>
      </c>
      <c r="D22" s="568">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T-HPT-ICE_DST00</v>
      </c>
      <c r="B23" s="459" t="s">
        <v>982</v>
      </c>
      <c r="C23" s="459" t="s">
        <v>870</v>
      </c>
      <c r="D23" s="568">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T-LGT-ICE_GSL00</v>
      </c>
      <c r="B24" s="459" t="s">
        <v>982</v>
      </c>
      <c r="C24" s="459" t="s">
        <v>870</v>
      </c>
      <c r="D24" s="568">
        <v>177.89527717035119</v>
      </c>
      <c r="E24" s="641">
        <f>D24</f>
        <v>177.89527717035119</v>
      </c>
      <c r="F24" s="641">
        <f t="shared" si="1"/>
        <v>177.89527717035119</v>
      </c>
      <c r="G24" s="641">
        <f t="shared" si="1"/>
        <v>177.89527717035119</v>
      </c>
      <c r="H24" s="641">
        <f t="shared" si="1"/>
        <v>177.89527717035119</v>
      </c>
      <c r="I24" s="641">
        <f t="shared" si="1"/>
        <v>177.89527717035119</v>
      </c>
      <c r="J24" s="641">
        <f t="shared" si="1"/>
        <v>177.89527717035119</v>
      </c>
      <c r="K24" s="641">
        <f t="shared" si="1"/>
        <v>177.89527717035119</v>
      </c>
      <c r="L24" s="641">
        <f t="shared" si="1"/>
        <v>177.89527717035119</v>
      </c>
      <c r="M24" s="641">
        <f t="shared" si="1"/>
        <v>177.89527717035119</v>
      </c>
      <c r="N24" s="641">
        <f t="shared" si="1"/>
        <v>177.89527717035119</v>
      </c>
      <c r="O24" s="641">
        <f t="shared" si="1"/>
        <v>177.89527717035119</v>
      </c>
      <c r="P24" s="641">
        <f t="shared" si="1"/>
        <v>177.89527717035119</v>
      </c>
      <c r="Q24" s="641">
        <f t="shared" si="1"/>
        <v>177.89527717035119</v>
      </c>
      <c r="R24" s="641">
        <f t="shared" si="1"/>
        <v>177.89527717035119</v>
      </c>
      <c r="S24" s="641">
        <f t="shared" si="1"/>
        <v>177.89527717035119</v>
      </c>
      <c r="T24" s="641">
        <f t="shared" si="1"/>
        <v>177.89527717035119</v>
      </c>
      <c r="U24" s="641">
        <f t="shared" si="1"/>
        <v>177.89527717035119</v>
      </c>
      <c r="V24" s="641">
        <f t="shared" si="1"/>
        <v>177.89527717035119</v>
      </c>
      <c r="W24" s="641">
        <f t="shared" si="1"/>
        <v>177.89527717035119</v>
      </c>
      <c r="X24" s="641">
        <f t="shared" si="1"/>
        <v>177.89527717035119</v>
      </c>
      <c r="Y24" s="641">
        <f t="shared" si="1"/>
        <v>177.89527717035119</v>
      </c>
      <c r="Z24" s="641">
        <f t="shared" si="1"/>
        <v>177.89527717035119</v>
      </c>
      <c r="AA24" s="641">
        <f t="shared" si="1"/>
        <v>177.89527717035119</v>
      </c>
      <c r="AB24" s="641">
        <f t="shared" si="1"/>
        <v>177.89527717035119</v>
      </c>
      <c r="AC24" s="641">
        <f t="shared" si="1"/>
        <v>177.89527717035119</v>
      </c>
      <c r="AD24" s="641">
        <f t="shared" si="1"/>
        <v>177.89527717035119</v>
      </c>
    </row>
    <row r="25" spans="1:30" s="459" customFormat="1">
      <c r="A25" s="459" t="str">
        <f>Commodities!K35</f>
        <v>T-HGT-ICE_DST00</v>
      </c>
      <c r="B25" s="459" t="s">
        <v>982</v>
      </c>
      <c r="C25" s="459" t="s">
        <v>870</v>
      </c>
      <c r="D25" s="568">
        <v>177.9</v>
      </c>
      <c r="E25" s="641">
        <f t="shared" ref="E25:T26" si="2">D25</f>
        <v>177.9</v>
      </c>
      <c r="F25" s="641">
        <f t="shared" si="2"/>
        <v>177.9</v>
      </c>
      <c r="G25" s="641">
        <f t="shared" si="2"/>
        <v>177.9</v>
      </c>
      <c r="H25" s="641">
        <f t="shared" si="2"/>
        <v>177.9</v>
      </c>
      <c r="I25" s="641">
        <f t="shared" si="2"/>
        <v>177.9</v>
      </c>
      <c r="J25" s="641">
        <f t="shared" si="2"/>
        <v>177.9</v>
      </c>
      <c r="K25" s="641">
        <f t="shared" si="2"/>
        <v>177.9</v>
      </c>
      <c r="L25" s="641">
        <f t="shared" si="2"/>
        <v>177.9</v>
      </c>
      <c r="M25" s="641">
        <f t="shared" si="2"/>
        <v>177.9</v>
      </c>
      <c r="N25" s="641">
        <f t="shared" si="2"/>
        <v>177.9</v>
      </c>
      <c r="O25" s="641">
        <f t="shared" si="2"/>
        <v>177.9</v>
      </c>
      <c r="P25" s="641">
        <f t="shared" si="2"/>
        <v>177.9</v>
      </c>
      <c r="Q25" s="641">
        <f t="shared" si="2"/>
        <v>177.9</v>
      </c>
      <c r="R25" s="641">
        <f t="shared" si="2"/>
        <v>177.9</v>
      </c>
      <c r="S25" s="641">
        <f t="shared" si="2"/>
        <v>177.9</v>
      </c>
      <c r="T25" s="641">
        <f t="shared" si="2"/>
        <v>177.9</v>
      </c>
      <c r="U25" s="641">
        <f t="shared" si="1"/>
        <v>177.9</v>
      </c>
      <c r="V25" s="641">
        <f t="shared" si="1"/>
        <v>177.9</v>
      </c>
      <c r="W25" s="641">
        <f t="shared" si="1"/>
        <v>177.9</v>
      </c>
      <c r="X25" s="641">
        <f t="shared" si="1"/>
        <v>177.9</v>
      </c>
      <c r="Y25" s="641">
        <f t="shared" si="1"/>
        <v>177.9</v>
      </c>
      <c r="Z25" s="641">
        <f t="shared" si="1"/>
        <v>177.9</v>
      </c>
      <c r="AA25" s="641">
        <f t="shared" si="1"/>
        <v>177.9</v>
      </c>
      <c r="AB25" s="641">
        <f t="shared" si="1"/>
        <v>177.9</v>
      </c>
      <c r="AC25" s="641">
        <f t="shared" si="1"/>
        <v>177.9</v>
      </c>
      <c r="AD25" s="641">
        <f t="shared" si="1"/>
        <v>177.9</v>
      </c>
    </row>
    <row r="26" spans="1:30" s="459" customFormat="1">
      <c r="A26" s="459" t="str">
        <f>Commodities!K36</f>
        <v>T-GTR-ICE_DST00</v>
      </c>
      <c r="B26" s="459" t="s">
        <v>982</v>
      </c>
      <c r="C26" s="459" t="s">
        <v>870</v>
      </c>
      <c r="D26" s="569">
        <v>4.7112409841113401</v>
      </c>
      <c r="E26" s="641">
        <f t="shared" si="2"/>
        <v>4.7112409841113401</v>
      </c>
      <c r="F26" s="641">
        <f t="shared" si="1"/>
        <v>4.7112409841113401</v>
      </c>
      <c r="G26" s="641">
        <f t="shared" si="1"/>
        <v>4.7112409841113401</v>
      </c>
      <c r="H26" s="641">
        <f t="shared" si="1"/>
        <v>4.7112409841113401</v>
      </c>
      <c r="I26" s="641">
        <f t="shared" si="1"/>
        <v>4.7112409841113401</v>
      </c>
      <c r="J26" s="641">
        <f t="shared" si="1"/>
        <v>4.7112409841113401</v>
      </c>
      <c r="K26" s="641">
        <f t="shared" si="1"/>
        <v>4.7112409841113401</v>
      </c>
      <c r="L26" s="641">
        <f t="shared" si="1"/>
        <v>4.7112409841113401</v>
      </c>
      <c r="M26" s="641">
        <f t="shared" si="1"/>
        <v>4.7112409841113401</v>
      </c>
      <c r="N26" s="641">
        <f t="shared" si="1"/>
        <v>4.7112409841113401</v>
      </c>
      <c r="O26" s="641">
        <f t="shared" si="1"/>
        <v>4.7112409841113401</v>
      </c>
      <c r="P26" s="641">
        <f t="shared" si="1"/>
        <v>4.7112409841113401</v>
      </c>
      <c r="Q26" s="641">
        <f t="shared" si="1"/>
        <v>4.7112409841113401</v>
      </c>
      <c r="R26" s="641">
        <f t="shared" si="1"/>
        <v>4.7112409841113401</v>
      </c>
      <c r="S26" s="641">
        <f t="shared" si="1"/>
        <v>4.7112409841113401</v>
      </c>
      <c r="T26" s="641">
        <f t="shared" si="1"/>
        <v>4.7112409841113401</v>
      </c>
      <c r="U26" s="641">
        <f t="shared" si="1"/>
        <v>4.7112409841113401</v>
      </c>
      <c r="V26" s="641">
        <f t="shared" si="1"/>
        <v>4.7112409841113401</v>
      </c>
      <c r="W26" s="641">
        <f t="shared" si="1"/>
        <v>4.7112409841113401</v>
      </c>
      <c r="X26" s="641">
        <f t="shared" si="1"/>
        <v>4.7112409841113401</v>
      </c>
      <c r="Y26" s="641">
        <f t="shared" si="1"/>
        <v>4.7112409841113401</v>
      </c>
      <c r="Z26" s="641">
        <f t="shared" si="1"/>
        <v>4.7112409841113401</v>
      </c>
      <c r="AA26" s="641">
        <f t="shared" si="1"/>
        <v>4.7112409841113401</v>
      </c>
      <c r="AB26" s="641">
        <f t="shared" si="1"/>
        <v>4.7112409841113401</v>
      </c>
      <c r="AC26" s="641">
        <f t="shared" si="1"/>
        <v>4.7112409841113401</v>
      </c>
      <c r="AD26" s="641">
        <f t="shared" si="1"/>
        <v>4.7112409841113401</v>
      </c>
    </row>
    <row r="27" spans="1:30" s="459" customFormat="1">
      <c r="A27" s="459" t="str">
        <f>Commodities!K38</f>
        <v>T-TUR_CON00</v>
      </c>
      <c r="B27" s="459" t="s">
        <v>17</v>
      </c>
      <c r="C27" s="459" t="s">
        <v>870</v>
      </c>
      <c r="D27" s="567">
        <v>1</v>
      </c>
      <c r="E27" s="567">
        <v>1</v>
      </c>
      <c r="F27" s="567">
        <v>1</v>
      </c>
      <c r="G27" s="567">
        <v>1</v>
      </c>
      <c r="H27" s="567">
        <v>1</v>
      </c>
      <c r="I27" s="567">
        <v>1</v>
      </c>
      <c r="J27" s="567">
        <v>1</v>
      </c>
      <c r="K27" s="567">
        <v>1</v>
      </c>
      <c r="L27" s="567">
        <v>1</v>
      </c>
      <c r="M27" s="567">
        <v>1</v>
      </c>
      <c r="N27" s="567">
        <v>1</v>
      </c>
      <c r="O27" s="567">
        <v>1</v>
      </c>
      <c r="P27" s="567">
        <v>1</v>
      </c>
      <c r="Q27" s="567">
        <v>1</v>
      </c>
      <c r="R27" s="567">
        <v>1</v>
      </c>
      <c r="S27" s="567">
        <v>1</v>
      </c>
      <c r="T27" s="567">
        <v>1</v>
      </c>
      <c r="U27" s="567">
        <v>1</v>
      </c>
      <c r="V27" s="567">
        <v>1</v>
      </c>
      <c r="W27" s="567">
        <v>1</v>
      </c>
      <c r="X27" s="567">
        <v>1</v>
      </c>
      <c r="Y27" s="567">
        <v>1</v>
      </c>
      <c r="Z27" s="567">
        <v>1</v>
      </c>
      <c r="AA27" s="567">
        <v>1</v>
      </c>
      <c r="AB27" s="567">
        <v>1</v>
      </c>
      <c r="AC27" s="567">
        <v>1</v>
      </c>
      <c r="AD27" s="567">
        <v>1</v>
      </c>
    </row>
    <row r="28" spans="1:30" s="459" customFormat="1">
      <c r="A28" s="459" t="str">
        <f>Commodities!K39</f>
        <v>T-NAV_CON00</v>
      </c>
      <c r="B28" s="459" t="s">
        <v>17</v>
      </c>
      <c r="C28" s="459" t="s">
        <v>870</v>
      </c>
      <c r="D28" s="567">
        <v>1</v>
      </c>
      <c r="E28" s="567">
        <v>1</v>
      </c>
      <c r="F28" s="567">
        <v>1</v>
      </c>
      <c r="G28" s="567">
        <v>1</v>
      </c>
      <c r="H28" s="567">
        <v>1</v>
      </c>
      <c r="I28" s="567">
        <v>1</v>
      </c>
      <c r="J28" s="567">
        <v>1</v>
      </c>
      <c r="K28" s="567">
        <v>1</v>
      </c>
      <c r="L28" s="567">
        <v>1</v>
      </c>
      <c r="M28" s="567">
        <v>1</v>
      </c>
      <c r="N28" s="567">
        <v>1</v>
      </c>
      <c r="O28" s="567">
        <v>1</v>
      </c>
      <c r="P28" s="567">
        <v>1</v>
      </c>
      <c r="Q28" s="567">
        <v>1</v>
      </c>
      <c r="R28" s="567">
        <v>1</v>
      </c>
      <c r="S28" s="567">
        <v>1</v>
      </c>
      <c r="T28" s="567">
        <v>1</v>
      </c>
      <c r="U28" s="567">
        <v>1</v>
      </c>
      <c r="V28" s="567">
        <v>1</v>
      </c>
      <c r="W28" s="567">
        <v>1</v>
      </c>
      <c r="X28" s="567">
        <v>1</v>
      </c>
      <c r="Y28" s="567">
        <v>1</v>
      </c>
      <c r="Z28" s="567">
        <v>1</v>
      </c>
      <c r="AA28" s="567">
        <v>1</v>
      </c>
      <c r="AB28" s="567">
        <v>1</v>
      </c>
      <c r="AC28" s="567">
        <v>1</v>
      </c>
      <c r="AD28" s="567">
        <v>1</v>
      </c>
    </row>
    <row r="29" spans="1:30" s="459" customFormat="1">
      <c r="A29" s="459" t="str">
        <f>Commodities!K40</f>
        <v>T-OTH_CON00</v>
      </c>
      <c r="B29" s="459" t="s">
        <v>17</v>
      </c>
      <c r="C29" s="459" t="s">
        <v>870</v>
      </c>
      <c r="D29" s="567">
        <v>1</v>
      </c>
      <c r="E29" s="567">
        <v>1</v>
      </c>
      <c r="F29" s="567">
        <v>1</v>
      </c>
      <c r="G29" s="567">
        <v>1</v>
      </c>
      <c r="H29" s="567">
        <v>1</v>
      </c>
      <c r="I29" s="567">
        <v>1</v>
      </c>
      <c r="J29" s="567">
        <v>1</v>
      </c>
      <c r="K29" s="567">
        <v>1</v>
      </c>
      <c r="L29" s="567">
        <v>1</v>
      </c>
      <c r="M29" s="567">
        <v>1</v>
      </c>
      <c r="N29" s="567">
        <v>1</v>
      </c>
      <c r="O29" s="567">
        <v>1</v>
      </c>
      <c r="P29" s="567">
        <v>1</v>
      </c>
      <c r="Q29" s="567">
        <v>1</v>
      </c>
      <c r="R29" s="567">
        <v>1</v>
      </c>
      <c r="S29" s="567">
        <v>1</v>
      </c>
      <c r="T29" s="567">
        <v>1</v>
      </c>
      <c r="U29" s="567">
        <v>1</v>
      </c>
      <c r="V29" s="567">
        <v>1</v>
      </c>
      <c r="W29" s="567">
        <v>1</v>
      </c>
      <c r="X29" s="567">
        <v>1</v>
      </c>
      <c r="Y29" s="567">
        <v>1</v>
      </c>
      <c r="Z29" s="567">
        <v>1</v>
      </c>
      <c r="AA29" s="567">
        <v>1</v>
      </c>
      <c r="AB29" s="567">
        <v>1</v>
      </c>
      <c r="AC29" s="567">
        <v>1</v>
      </c>
      <c r="AD29" s="567">
        <v>1</v>
      </c>
    </row>
    <row r="30" spans="1:30" s="459" customFormat="1">
      <c r="A30" s="459" t="str">
        <f>Commodities!K42</f>
        <v>T-AVI_DOM00</v>
      </c>
      <c r="B30" s="459" t="s">
        <v>17</v>
      </c>
      <c r="C30" s="459" t="s">
        <v>870</v>
      </c>
      <c r="D30" s="567">
        <v>1</v>
      </c>
      <c r="E30" s="567">
        <v>1</v>
      </c>
      <c r="F30" s="567">
        <v>1</v>
      </c>
      <c r="G30" s="567">
        <v>1</v>
      </c>
      <c r="H30" s="567">
        <v>1</v>
      </c>
      <c r="I30" s="567">
        <v>1</v>
      </c>
      <c r="J30" s="567">
        <v>1</v>
      </c>
      <c r="K30" s="567">
        <v>1</v>
      </c>
      <c r="L30" s="567">
        <v>1</v>
      </c>
      <c r="M30" s="567">
        <v>1</v>
      </c>
      <c r="N30" s="567">
        <v>1</v>
      </c>
      <c r="O30" s="567">
        <v>1</v>
      </c>
      <c r="P30" s="567">
        <v>1</v>
      </c>
      <c r="Q30" s="567">
        <v>1</v>
      </c>
      <c r="R30" s="567">
        <v>1</v>
      </c>
      <c r="S30" s="567">
        <v>1</v>
      </c>
      <c r="T30" s="567">
        <v>1</v>
      </c>
      <c r="U30" s="567">
        <v>1</v>
      </c>
      <c r="V30" s="567">
        <v>1</v>
      </c>
      <c r="W30" s="567">
        <v>1</v>
      </c>
      <c r="X30" s="567">
        <v>1</v>
      </c>
      <c r="Y30" s="567">
        <v>1</v>
      </c>
      <c r="Z30" s="567">
        <v>1</v>
      </c>
      <c r="AA30" s="567">
        <v>1</v>
      </c>
      <c r="AB30" s="567">
        <v>1</v>
      </c>
      <c r="AC30" s="567">
        <v>1</v>
      </c>
      <c r="AD30" s="567">
        <v>1</v>
      </c>
    </row>
    <row r="31" spans="1:30" s="459" customFormat="1">
      <c r="A31" s="458" t="str">
        <f>Commodities!K43</f>
        <v>T-AVI_INT00</v>
      </c>
      <c r="B31" s="458" t="s">
        <v>17</v>
      </c>
      <c r="C31" s="458" t="s">
        <v>870</v>
      </c>
      <c r="D31" s="642">
        <v>1</v>
      </c>
      <c r="E31" s="642">
        <v>1</v>
      </c>
      <c r="F31" s="642">
        <v>1</v>
      </c>
      <c r="G31" s="642">
        <v>1</v>
      </c>
      <c r="H31" s="642">
        <v>1</v>
      </c>
      <c r="I31" s="642">
        <v>1</v>
      </c>
      <c r="J31" s="642">
        <v>1</v>
      </c>
      <c r="K31" s="642">
        <v>1</v>
      </c>
      <c r="L31" s="642">
        <v>1</v>
      </c>
      <c r="M31" s="642">
        <v>1</v>
      </c>
      <c r="N31" s="642">
        <v>1</v>
      </c>
      <c r="O31" s="642">
        <v>1</v>
      </c>
      <c r="P31" s="642">
        <v>1</v>
      </c>
      <c r="Q31" s="642">
        <v>1</v>
      </c>
      <c r="R31" s="642">
        <v>1</v>
      </c>
      <c r="S31" s="642">
        <v>1</v>
      </c>
      <c r="T31" s="642">
        <v>1</v>
      </c>
      <c r="U31" s="642">
        <v>1</v>
      </c>
      <c r="V31" s="642">
        <v>1</v>
      </c>
      <c r="W31" s="642">
        <v>1</v>
      </c>
      <c r="X31" s="642">
        <v>1</v>
      </c>
      <c r="Y31" s="642">
        <v>1</v>
      </c>
      <c r="Z31" s="642">
        <v>1</v>
      </c>
      <c r="AA31" s="642">
        <v>1</v>
      </c>
      <c r="AB31" s="642">
        <v>1</v>
      </c>
      <c r="AC31" s="642">
        <v>1</v>
      </c>
      <c r="AD31" s="642">
        <v>1</v>
      </c>
    </row>
    <row r="32" spans="1:30">
      <c r="A32" s="28" t="s">
        <v>799</v>
      </c>
    </row>
    <row r="33" spans="1:31" s="459" customFormat="1">
      <c r="A33" s="28"/>
    </row>
    <row r="34" spans="1:31" s="459" customFormat="1">
      <c r="A34" s="28"/>
    </row>
    <row r="35" spans="1:31" s="459" customFormat="1">
      <c r="A35" s="28"/>
    </row>
    <row r="36" spans="1:31" s="459" customFormat="1">
      <c r="C36" s="453" t="s">
        <v>76</v>
      </c>
    </row>
    <row r="37" spans="1:31" s="459" customFormat="1" ht="15.7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874</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874</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T-MOT-ICE_GSL00</v>
      </c>
      <c r="B40" s="459" t="s">
        <v>874</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T-CAR-ICE_GSL00</v>
      </c>
      <c r="B41" s="459" t="s">
        <v>874</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T-CAR-ICE_DST00</v>
      </c>
      <c r="B42" s="459" t="s">
        <v>874</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T-CAR-ICE_DF00</v>
      </c>
      <c r="B43" s="459" t="s">
        <v>874</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T-CAR-ICE_E8500</v>
      </c>
      <c r="B44" s="459" t="s">
        <v>874</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T-CAR-HEV_GSL00</v>
      </c>
      <c r="B45" s="459" t="s">
        <v>874</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T-CAR-HEV_DST00</v>
      </c>
      <c r="B46" s="459" t="s">
        <v>874</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T-CAR-PHEV_GSL00</v>
      </c>
      <c r="B47" s="459" t="s">
        <v>874</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T-CAR-PHEV_DST00</v>
      </c>
      <c r="B48" s="459" t="s">
        <v>874</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T-CAR-BEV_ELC00</v>
      </c>
      <c r="B49" s="459" t="s">
        <v>874</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T-TAX-ICE_GSL00</v>
      </c>
      <c r="B50" s="459" t="s">
        <v>874</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T-TAX-ICE_DST00</v>
      </c>
      <c r="B51" s="459" t="s">
        <v>874</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T-TAX-HEV_GSL00</v>
      </c>
      <c r="B52" s="459" t="s">
        <v>874</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T-BUS-ICE_DST00</v>
      </c>
      <c r="B53" s="459" t="s">
        <v>874</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T-LPT-EV_ELC00</v>
      </c>
      <c r="B54" s="459" t="s">
        <v>874</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T-HPT-EV_ELC00</v>
      </c>
      <c r="B55" s="459" t="s">
        <v>874</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T-HPT-ICE_DST00</v>
      </c>
      <c r="B56" s="459" t="s">
        <v>874</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T-LGT-ICE_GSL00</v>
      </c>
      <c r="B57" s="716" t="s">
        <v>874</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T-HGT-ICE_DST00</v>
      </c>
      <c r="B58" s="716" t="s">
        <v>874</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T-GTR-ICE_DST00</v>
      </c>
      <c r="B59" s="716" t="s">
        <v>874</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T-TUR_CON00</v>
      </c>
      <c r="B60" s="459" t="s">
        <v>17</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T-NAV_CON00</v>
      </c>
      <c r="B61" s="716" t="s">
        <v>17</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T-OTH_CON00</v>
      </c>
      <c r="B62" s="716" t="s">
        <v>17</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T-AVI_DOM00</v>
      </c>
      <c r="B63" s="716" t="s">
        <v>17</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T-AVI_INT00</v>
      </c>
      <c r="B64" s="458" t="s">
        <v>17</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799</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75">
      <c r="A90" s="425" t="s">
        <v>608</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607</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346</v>
      </c>
      <c r="B92" s="459" t="s">
        <v>532</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347</v>
      </c>
      <c r="B93" s="459" t="s">
        <v>532</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348</v>
      </c>
      <c r="B94" s="459" t="s">
        <v>532</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349</v>
      </c>
      <c r="B95" s="459" t="s">
        <v>532</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350</v>
      </c>
      <c r="B96" s="459" t="s">
        <v>532</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351</v>
      </c>
      <c r="B97" s="459" t="s">
        <v>532</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352</v>
      </c>
      <c r="B98" s="459" t="s">
        <v>532</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532</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618</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75">
      <c r="A104" s="425" t="s">
        <v>609</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607</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346</v>
      </c>
      <c r="B106" s="507" t="s">
        <v>611</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347</v>
      </c>
      <c r="B107" s="1" t="s">
        <v>611</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348</v>
      </c>
      <c r="B108" s="1" t="s">
        <v>611</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349</v>
      </c>
      <c r="B109" s="1" t="s">
        <v>611</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350</v>
      </c>
      <c r="B110" s="1" t="s">
        <v>611</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351</v>
      </c>
      <c r="B111" s="1" t="s">
        <v>611</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352</v>
      </c>
      <c r="B112" s="1" t="s">
        <v>611</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611</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75">
      <c r="A117" s="425" t="s">
        <v>610</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607</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346</v>
      </c>
      <c r="B119" s="459" t="s">
        <v>612</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347</v>
      </c>
      <c r="B120" s="459" t="s">
        <v>612</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348</v>
      </c>
      <c r="B121" s="459" t="s">
        <v>612</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349</v>
      </c>
      <c r="B122" s="459" t="s">
        <v>612</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350</v>
      </c>
      <c r="B123" s="459" t="s">
        <v>612</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351</v>
      </c>
      <c r="B124" s="459" t="s">
        <v>612</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352</v>
      </c>
      <c r="B125" s="458" t="s">
        <v>612</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616</v>
      </c>
      <c r="C126" s="459"/>
    </row>
    <row r="128" spans="1:29" s="459" customFormat="1"/>
    <row r="130" spans="1:29" ht="15.75">
      <c r="A130" s="425" t="s">
        <v>610</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607</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628</v>
      </c>
      <c r="B132" s="459" t="s">
        <v>612</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600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75">
      <c r="A137" s="425" t="s">
        <v>613</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607</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346</v>
      </c>
      <c r="B139" s="459" t="s">
        <v>532</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347</v>
      </c>
      <c r="B140" s="459" t="s">
        <v>532</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348</v>
      </c>
      <c r="B141" s="459" t="s">
        <v>532</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349</v>
      </c>
      <c r="B142" s="459" t="s">
        <v>532</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350</v>
      </c>
      <c r="B143" s="459" t="s">
        <v>532</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351</v>
      </c>
      <c r="B144" s="459" t="s">
        <v>532</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352</v>
      </c>
      <c r="B145" s="459" t="s">
        <v>532</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532</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618</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75">
      <c r="A151" s="425" t="s">
        <v>614</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607</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346</v>
      </c>
      <c r="B153" s="507" t="s">
        <v>611</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347</v>
      </c>
      <c r="B154" s="1" t="s">
        <v>611</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348</v>
      </c>
      <c r="B155" s="1" t="s">
        <v>611</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349</v>
      </c>
      <c r="B156" s="1" t="s">
        <v>611</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350</v>
      </c>
      <c r="B157" s="1" t="s">
        <v>611</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351</v>
      </c>
      <c r="B158" s="1" t="s">
        <v>611</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352</v>
      </c>
      <c r="B159" s="1" t="s">
        <v>611</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611</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75">
      <c r="A164" s="425" t="s">
        <v>615</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607</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346</v>
      </c>
      <c r="B166" s="459" t="s">
        <v>612</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347</v>
      </c>
      <c r="B167" s="459" t="s">
        <v>612</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348</v>
      </c>
      <c r="B168" s="459" t="s">
        <v>612</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349</v>
      </c>
      <c r="B169" s="459" t="s">
        <v>612</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350</v>
      </c>
      <c r="B170" s="459" t="s">
        <v>612</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351</v>
      </c>
      <c r="B171" s="459" t="s">
        <v>612</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352</v>
      </c>
      <c r="B172" s="458" t="s">
        <v>612</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616</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75">
      <c r="A176" s="425" t="s">
        <v>615</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607</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628</v>
      </c>
      <c r="B178" s="459" t="s">
        <v>612</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600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75">
      <c r="A184" s="401" t="s">
        <v>624</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607</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346</v>
      </c>
      <c r="B186" s="459" t="s">
        <v>532</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347</v>
      </c>
      <c r="B187" s="459" t="s">
        <v>532</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348</v>
      </c>
      <c r="B188" s="459" t="s">
        <v>532</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349</v>
      </c>
      <c r="B189" s="459" t="s">
        <v>532</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350</v>
      </c>
      <c r="B190" s="459" t="s">
        <v>532</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351</v>
      </c>
      <c r="B191" s="459" t="s">
        <v>532</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352</v>
      </c>
      <c r="B192" s="459" t="s">
        <v>532</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532</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618</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75">
      <c r="A198" s="425" t="s">
        <v>623</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607</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346</v>
      </c>
      <c r="B200" s="507" t="s">
        <v>611</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347</v>
      </c>
      <c r="B201" s="1" t="s">
        <v>611</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348</v>
      </c>
      <c r="B202" s="1" t="s">
        <v>611</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349</v>
      </c>
      <c r="B203" s="1" t="s">
        <v>611</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350</v>
      </c>
      <c r="B204" s="1" t="s">
        <v>611</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351</v>
      </c>
      <c r="B205" s="1" t="s">
        <v>611</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352</v>
      </c>
      <c r="B206" s="1" t="s">
        <v>611</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611</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75">
      <c r="A211" s="425" t="s">
        <v>622</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607</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346</v>
      </c>
      <c r="B213" s="459" t="s">
        <v>612</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347</v>
      </c>
      <c r="B214" s="459" t="s">
        <v>612</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348</v>
      </c>
      <c r="B215" s="459" t="s">
        <v>612</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349</v>
      </c>
      <c r="B216" s="459" t="s">
        <v>612</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350</v>
      </c>
      <c r="B217" s="459" t="s">
        <v>612</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351</v>
      </c>
      <c r="B218" s="459" t="s">
        <v>612</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352</v>
      </c>
      <c r="B219" s="458" t="s">
        <v>612</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616</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75">
      <c r="A224" s="425" t="s">
        <v>622</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607</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628</v>
      </c>
      <c r="B226" s="459" t="s">
        <v>612</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600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617</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75">
      <c r="A233" s="401" t="s">
        <v>621</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607</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346</v>
      </c>
      <c r="B235" s="459" t="s">
        <v>532</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347</v>
      </c>
      <c r="B236" s="459" t="s">
        <v>532</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348</v>
      </c>
      <c r="B237" s="459" t="s">
        <v>532</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349</v>
      </c>
      <c r="B238" s="459" t="s">
        <v>532</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350</v>
      </c>
      <c r="B239" s="459" t="s">
        <v>532</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351</v>
      </c>
      <c r="B240" s="459" t="s">
        <v>532</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352</v>
      </c>
      <c r="B241" s="459" t="s">
        <v>532</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532</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618</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75">
      <c r="A247" s="425" t="s">
        <v>619</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607</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346</v>
      </c>
      <c r="B249" s="507" t="s">
        <v>611</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347</v>
      </c>
      <c r="B250" s="1" t="s">
        <v>611</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348</v>
      </c>
      <c r="B251" s="1" t="s">
        <v>611</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349</v>
      </c>
      <c r="B252" s="1" t="s">
        <v>611</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350</v>
      </c>
      <c r="B253" s="1" t="s">
        <v>611</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351</v>
      </c>
      <c r="B254" s="1" t="s">
        <v>611</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352</v>
      </c>
      <c r="B255" s="1" t="s">
        <v>611</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611</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75">
      <c r="A260" s="425" t="s">
        <v>620</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607</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346</v>
      </c>
      <c r="B262" s="459" t="s">
        <v>612</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347</v>
      </c>
      <c r="B263" s="459" t="s">
        <v>612</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348</v>
      </c>
      <c r="B264" s="459" t="s">
        <v>612</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349</v>
      </c>
      <c r="B265" s="459" t="s">
        <v>612</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350</v>
      </c>
      <c r="B266" s="459" t="s">
        <v>612</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351</v>
      </c>
      <c r="B267" s="459" t="s">
        <v>612</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352</v>
      </c>
      <c r="B268" s="458" t="s">
        <v>612</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616</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75">
      <c r="A273" s="425" t="s">
        <v>620</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607</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628</v>
      </c>
      <c r="B275" s="459" t="s">
        <v>612</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600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75">
      <c r="A281" s="401" t="s">
        <v>627</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607</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346</v>
      </c>
      <c r="B283" s="459" t="s">
        <v>532</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347</v>
      </c>
      <c r="B284" s="459" t="s">
        <v>532</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348</v>
      </c>
      <c r="B285" s="459" t="s">
        <v>532</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349</v>
      </c>
      <c r="B286" s="459" t="s">
        <v>532</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350</v>
      </c>
      <c r="B287" s="459" t="s">
        <v>532</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351</v>
      </c>
      <c r="B288" s="459" t="s">
        <v>532</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352</v>
      </c>
      <c r="B289" s="459" t="s">
        <v>532</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532</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618</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75">
      <c r="A295" s="401" t="s">
        <v>626</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607</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346</v>
      </c>
      <c r="B297" s="507" t="s">
        <v>611</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347</v>
      </c>
      <c r="B298" s="1" t="s">
        <v>611</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348</v>
      </c>
      <c r="B299" s="1" t="s">
        <v>611</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349</v>
      </c>
      <c r="B300" s="1" t="s">
        <v>611</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350</v>
      </c>
      <c r="B301" s="1" t="s">
        <v>611</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351</v>
      </c>
      <c r="B302" s="1" t="s">
        <v>611</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352</v>
      </c>
      <c r="B303" s="1" t="s">
        <v>611</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611</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75">
      <c r="A308" s="425" t="s">
        <v>625</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607</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346</v>
      </c>
      <c r="B310" s="459" t="s">
        <v>612</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347</v>
      </c>
      <c r="B311" s="459" t="s">
        <v>612</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348</v>
      </c>
      <c r="B312" s="459" t="s">
        <v>612</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349</v>
      </c>
      <c r="B313" s="459" t="s">
        <v>612</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350</v>
      </c>
      <c r="B314" s="459" t="s">
        <v>612</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351</v>
      </c>
      <c r="B315" s="459" t="s">
        <v>612</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352</v>
      </c>
      <c r="B316" s="458" t="s">
        <v>612</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616</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75">
      <c r="A321" s="425" t="s">
        <v>625</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607</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628</v>
      </c>
      <c r="B323" s="459" t="s">
        <v>612</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600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75">
      <c r="A329" s="401" t="s">
        <v>629</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607</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346</v>
      </c>
      <c r="B331" s="459" t="s">
        <v>532</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347</v>
      </c>
      <c r="B332" s="459" t="s">
        <v>532</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348</v>
      </c>
      <c r="B333" s="459" t="s">
        <v>532</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349</v>
      </c>
      <c r="B334" s="459" t="s">
        <v>532</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350</v>
      </c>
      <c r="B335" s="459" t="s">
        <v>532</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351</v>
      </c>
      <c r="B336" s="459" t="s">
        <v>532</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352</v>
      </c>
      <c r="B337" s="459" t="s">
        <v>532</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532</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618</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75">
      <c r="A343" s="401" t="s">
        <v>630</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607</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346</v>
      </c>
      <c r="B345" s="507" t="s">
        <v>611</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347</v>
      </c>
      <c r="B346" s="1" t="s">
        <v>611</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348</v>
      </c>
      <c r="B347" s="1" t="s">
        <v>611</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349</v>
      </c>
      <c r="B348" s="1" t="s">
        <v>611</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350</v>
      </c>
      <c r="B349" s="1" t="s">
        <v>611</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351</v>
      </c>
      <c r="B350" s="1" t="s">
        <v>611</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352</v>
      </c>
      <c r="B351" s="1" t="s">
        <v>611</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611</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75">
      <c r="A356" s="425" t="s">
        <v>631</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607</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346</v>
      </c>
      <c r="B358" s="459" t="s">
        <v>612</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347</v>
      </c>
      <c r="B359" s="459" t="s">
        <v>612</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348</v>
      </c>
      <c r="B360" s="459" t="s">
        <v>612</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349</v>
      </c>
      <c r="B361" s="459" t="s">
        <v>612</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350</v>
      </c>
      <c r="B362" s="459" t="s">
        <v>612</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351</v>
      </c>
      <c r="B363" s="459" t="s">
        <v>612</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352</v>
      </c>
      <c r="B364" s="458" t="s">
        <v>612</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616</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75">
      <c r="A369" s="425" t="s">
        <v>631</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607</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628</v>
      </c>
      <c r="B371" s="459" t="s">
        <v>612</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600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75">
      <c r="A377" s="401" t="s">
        <v>633</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607</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346</v>
      </c>
      <c r="B379" s="459" t="s">
        <v>532</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347</v>
      </c>
      <c r="B380" s="459" t="s">
        <v>532</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348</v>
      </c>
      <c r="B381" s="459" t="s">
        <v>532</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349</v>
      </c>
      <c r="B382" s="459" t="s">
        <v>532</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350</v>
      </c>
      <c r="B383" s="459" t="s">
        <v>532</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351</v>
      </c>
      <c r="B384" s="459" t="s">
        <v>532</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352</v>
      </c>
      <c r="B385" s="459" t="s">
        <v>532</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532</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618</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75">
      <c r="A391" s="401" t="s">
        <v>634</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607</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346</v>
      </c>
      <c r="B393" s="507" t="s">
        <v>611</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347</v>
      </c>
      <c r="B394" s="1" t="s">
        <v>611</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348</v>
      </c>
      <c r="B395" s="1" t="s">
        <v>611</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349</v>
      </c>
      <c r="B396" s="1" t="s">
        <v>611</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350</v>
      </c>
      <c r="B397" s="1" t="s">
        <v>611</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351</v>
      </c>
      <c r="B398" s="1" t="s">
        <v>611</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352</v>
      </c>
      <c r="B399" s="1" t="s">
        <v>611</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611</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75">
      <c r="A404" s="425" t="s">
        <v>635</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607</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346</v>
      </c>
      <c r="B406" s="459" t="s">
        <v>612</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347</v>
      </c>
      <c r="B407" s="459" t="s">
        <v>612</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348</v>
      </c>
      <c r="B408" s="459" t="s">
        <v>612</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349</v>
      </c>
      <c r="B409" s="459" t="s">
        <v>612</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350</v>
      </c>
      <c r="B410" s="459" t="s">
        <v>612</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351</v>
      </c>
      <c r="B411" s="459" t="s">
        <v>612</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352</v>
      </c>
      <c r="B412" s="458" t="s">
        <v>612</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616</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75">
      <c r="A417" s="425" t="s">
        <v>635</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607</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628</v>
      </c>
      <c r="B419" s="459" t="s">
        <v>612</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600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75">
      <c r="A425" s="401" t="s">
        <v>636</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607</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346</v>
      </c>
      <c r="B427" s="459" t="s">
        <v>532</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347</v>
      </c>
      <c r="B428" s="459" t="s">
        <v>532</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348</v>
      </c>
      <c r="B429" s="459" t="s">
        <v>532</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349</v>
      </c>
      <c r="B430" s="459" t="s">
        <v>532</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350</v>
      </c>
      <c r="B431" s="459" t="s">
        <v>532</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351</v>
      </c>
      <c r="B432" s="459" t="s">
        <v>532</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352</v>
      </c>
      <c r="B433" s="459" t="s">
        <v>532</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532</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618</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75">
      <c r="A439" s="401" t="s">
        <v>637</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607</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346</v>
      </c>
      <c r="B441" s="507" t="s">
        <v>611</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347</v>
      </c>
      <c r="B442" s="1" t="s">
        <v>611</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348</v>
      </c>
      <c r="B443" s="1" t="s">
        <v>611</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349</v>
      </c>
      <c r="B444" s="1" t="s">
        <v>611</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350</v>
      </c>
      <c r="B445" s="1" t="s">
        <v>611</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351</v>
      </c>
      <c r="B446" s="1" t="s">
        <v>611</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352</v>
      </c>
      <c r="B447" s="1" t="s">
        <v>611</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611</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75">
      <c r="A452" s="425" t="s">
        <v>638</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607</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346</v>
      </c>
      <c r="B454" s="459" t="s">
        <v>612</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347</v>
      </c>
      <c r="B455" s="459" t="s">
        <v>612</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348</v>
      </c>
      <c r="B456" s="459" t="s">
        <v>612</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349</v>
      </c>
      <c r="B457" s="459" t="s">
        <v>612</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350</v>
      </c>
      <c r="B458" s="459" t="s">
        <v>612</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351</v>
      </c>
      <c r="B459" s="459" t="s">
        <v>612</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352</v>
      </c>
      <c r="B460" s="458" t="s">
        <v>612</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616</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75">
      <c r="A465" s="425" t="s">
        <v>638</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607</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628</v>
      </c>
      <c r="B467" s="459" t="s">
        <v>612</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600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75">
      <c r="A473" s="401" t="s">
        <v>639</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642</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649</v>
      </c>
      <c r="B475" s="459" t="s">
        <v>532</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651</v>
      </c>
      <c r="B476" s="459" t="s">
        <v>532</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652</v>
      </c>
      <c r="B477" s="459" t="s">
        <v>532</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653</v>
      </c>
      <c r="B478" s="459" t="s">
        <v>532</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654</v>
      </c>
      <c r="B479" s="459" t="s">
        <v>532</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655</v>
      </c>
      <c r="B480" s="459" t="s">
        <v>532</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656</v>
      </c>
      <c r="B481" s="459" t="s">
        <v>532</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532</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618</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75">
      <c r="A487" s="401" t="s">
        <v>640</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642</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649</v>
      </c>
      <c r="B489" s="507" t="s">
        <v>611</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643</v>
      </c>
      <c r="B490" s="1" t="s">
        <v>611</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644</v>
      </c>
      <c r="B491" s="1" t="s">
        <v>611</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645</v>
      </c>
      <c r="B492" s="1" t="s">
        <v>611</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646</v>
      </c>
      <c r="B493" s="1" t="s">
        <v>611</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647</v>
      </c>
      <c r="B494" s="1" t="s">
        <v>611</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650</v>
      </c>
      <c r="B495" s="1" t="s">
        <v>611</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611</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75">
      <c r="A500" s="425" t="s">
        <v>641</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642</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649</v>
      </c>
      <c r="B502" s="459" t="s">
        <v>612</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643</v>
      </c>
      <c r="B503" s="459" t="s">
        <v>612</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644</v>
      </c>
      <c r="B504" s="459" t="s">
        <v>612</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645</v>
      </c>
      <c r="B505" s="459" t="s">
        <v>612</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646</v>
      </c>
      <c r="B506" s="459" t="s">
        <v>612</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647</v>
      </c>
      <c r="B507" s="1" t="s">
        <v>612</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650</v>
      </c>
      <c r="B508" s="458" t="s">
        <v>612</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616</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75">
      <c r="A513" s="425" t="s">
        <v>641</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642</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648</v>
      </c>
      <c r="B515" s="459" t="s">
        <v>612</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600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75">
      <c r="A521" s="425" t="s">
        <v>657</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607</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346</v>
      </c>
      <c r="B523" s="459" t="s">
        <v>532</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347</v>
      </c>
      <c r="B524" s="459" t="s">
        <v>532</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348</v>
      </c>
      <c r="B525" s="459" t="s">
        <v>532</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349</v>
      </c>
      <c r="B526" s="459" t="s">
        <v>532</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350</v>
      </c>
      <c r="B527" s="459" t="s">
        <v>532</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351</v>
      </c>
      <c r="B528" s="459" t="s">
        <v>532</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352</v>
      </c>
      <c r="B529" s="459" t="s">
        <v>532</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532</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618</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75">
      <c r="A535" s="425" t="s">
        <v>658</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607</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346</v>
      </c>
      <c r="B537" s="507" t="s">
        <v>611</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347</v>
      </c>
      <c r="B538" s="1" t="s">
        <v>611</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348</v>
      </c>
      <c r="B539" s="1" t="s">
        <v>611</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349</v>
      </c>
      <c r="B540" s="1" t="s">
        <v>611</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350</v>
      </c>
      <c r="B541" s="1" t="s">
        <v>611</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351</v>
      </c>
      <c r="B542" s="1" t="s">
        <v>611</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352</v>
      </c>
      <c r="B543" s="1" t="s">
        <v>611</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611</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75">
      <c r="A548" s="425" t="s">
        <v>659</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607</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346</v>
      </c>
      <c r="B550" s="459" t="s">
        <v>612</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347</v>
      </c>
      <c r="B551" s="459" t="s">
        <v>612</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348</v>
      </c>
      <c r="B552" s="459" t="s">
        <v>612</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349</v>
      </c>
      <c r="B553" s="459" t="s">
        <v>612</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350</v>
      </c>
      <c r="B554" s="459" t="s">
        <v>612</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351</v>
      </c>
      <c r="B555" s="459" t="s">
        <v>612</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352</v>
      </c>
      <c r="B556" s="458" t="s">
        <v>612</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616</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75">
      <c r="A561" s="425" t="s">
        <v>659</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607</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628</v>
      </c>
      <c r="B563" s="459" t="s">
        <v>612</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600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75">
      <c r="A569" s="425" t="s">
        <v>660</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607</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346</v>
      </c>
      <c r="B571" s="459" t="s">
        <v>532</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347</v>
      </c>
      <c r="B572" s="459" t="s">
        <v>532</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348</v>
      </c>
      <c r="B573" s="459" t="s">
        <v>532</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349</v>
      </c>
      <c r="B574" s="459" t="s">
        <v>532</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350</v>
      </c>
      <c r="B575" s="459" t="s">
        <v>532</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351</v>
      </c>
      <c r="B576" s="459" t="s">
        <v>532</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352</v>
      </c>
      <c r="B577" s="459" t="s">
        <v>532</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532</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618</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75">
      <c r="A583" s="425" t="s">
        <v>661</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607</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346</v>
      </c>
      <c r="B585" s="507" t="s">
        <v>611</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347</v>
      </c>
      <c r="B586" s="1" t="s">
        <v>611</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348</v>
      </c>
      <c r="B587" s="1" t="s">
        <v>611</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349</v>
      </c>
      <c r="B588" s="1" t="s">
        <v>611</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350</v>
      </c>
      <c r="B589" s="1" t="s">
        <v>611</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351</v>
      </c>
      <c r="B590" s="1" t="s">
        <v>611</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352</v>
      </c>
      <c r="B591" s="1" t="s">
        <v>611</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611</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75">
      <c r="A596" s="425" t="s">
        <v>662</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607</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346</v>
      </c>
      <c r="B598" s="459" t="s">
        <v>612</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347</v>
      </c>
      <c r="B599" s="459" t="s">
        <v>612</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348</v>
      </c>
      <c r="B600" s="459" t="s">
        <v>612</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349</v>
      </c>
      <c r="B601" s="459" t="s">
        <v>612</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350</v>
      </c>
      <c r="B602" s="459" t="s">
        <v>612</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351</v>
      </c>
      <c r="B603" s="459" t="s">
        <v>612</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352</v>
      </c>
      <c r="B604" s="458" t="s">
        <v>612</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616</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75">
      <c r="A609" s="425" t="s">
        <v>662</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607</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628</v>
      </c>
      <c r="B611" s="459" t="s">
        <v>612</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600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75">
      <c r="A617" s="401" t="s">
        <v>663</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607</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346</v>
      </c>
      <c r="B619" s="459" t="s">
        <v>532</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347</v>
      </c>
      <c r="B620" s="459" t="s">
        <v>532</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348</v>
      </c>
      <c r="B621" s="459" t="s">
        <v>532</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349</v>
      </c>
      <c r="B622" s="459" t="s">
        <v>532</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350</v>
      </c>
      <c r="B623" s="459" t="s">
        <v>532</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351</v>
      </c>
      <c r="B624" s="459" t="s">
        <v>532</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352</v>
      </c>
      <c r="B625" s="459" t="s">
        <v>532</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532</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618</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75">
      <c r="A631" s="401" t="s">
        <v>664</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607</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346</v>
      </c>
      <c r="B633" s="507" t="s">
        <v>611</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347</v>
      </c>
      <c r="B634" s="1" t="s">
        <v>611</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348</v>
      </c>
      <c r="B635" s="1" t="s">
        <v>611</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349</v>
      </c>
      <c r="B636" s="1" t="s">
        <v>611</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350</v>
      </c>
      <c r="B637" s="1" t="s">
        <v>611</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351</v>
      </c>
      <c r="B638" s="1" t="s">
        <v>611</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352</v>
      </c>
      <c r="B639" s="1" t="s">
        <v>611</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611</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75">
      <c r="A644" s="425" t="s">
        <v>665</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607</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346</v>
      </c>
      <c r="B646" s="459" t="s">
        <v>612</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347</v>
      </c>
      <c r="B647" s="459" t="s">
        <v>612</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348</v>
      </c>
      <c r="B648" s="459" t="s">
        <v>612</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349</v>
      </c>
      <c r="B649" s="459" t="s">
        <v>612</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350</v>
      </c>
      <c r="B650" s="459" t="s">
        <v>612</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351</v>
      </c>
      <c r="B651" s="459" t="s">
        <v>612</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352</v>
      </c>
      <c r="B652" s="458" t="s">
        <v>612</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616</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75">
      <c r="A657" s="425" t="s">
        <v>665</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607</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628</v>
      </c>
      <c r="B659" s="459" t="s">
        <v>612</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600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807</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806</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355</v>
      </c>
      <c r="C690" s="459"/>
      <c r="D690" s="459"/>
      <c r="F690" s="459"/>
      <c r="G690" s="459"/>
      <c r="H690" s="459"/>
      <c r="I690" s="459"/>
      <c r="J690" s="459"/>
      <c r="K690" s="459"/>
      <c r="L690" s="459"/>
      <c r="M690" s="459"/>
      <c r="N690" s="459"/>
    </row>
    <row r="691" spans="1:14">
      <c r="A691" s="389" t="s">
        <v>356</v>
      </c>
      <c r="B691" s="134"/>
      <c r="C691" s="134"/>
      <c r="D691" s="134"/>
      <c r="F691" s="134"/>
      <c r="G691" s="134"/>
      <c r="H691" s="134"/>
      <c r="I691" s="134"/>
    </row>
    <row r="694" spans="1:14">
      <c r="A694" s="16"/>
      <c r="B694" s="16" t="s">
        <v>492</v>
      </c>
      <c r="C694" s="16">
        <v>2014</v>
      </c>
      <c r="D694" s="16">
        <v>2015</v>
      </c>
      <c r="E694" s="16">
        <v>2016</v>
      </c>
      <c r="F694" s="16">
        <v>2017</v>
      </c>
      <c r="G694" s="16">
        <v>2018</v>
      </c>
    </row>
    <row r="695" spans="1:14">
      <c r="A695" s="21" t="s">
        <v>812</v>
      </c>
      <c r="B695" s="459" t="s">
        <v>808</v>
      </c>
      <c r="C695" s="134">
        <f>C673+C675</f>
        <v>56600</v>
      </c>
      <c r="D695" s="134">
        <f t="shared" ref="D695:G695" si="555">D673+D675</f>
        <v>56600</v>
      </c>
      <c r="E695" s="134">
        <f t="shared" si="555"/>
        <v>61347</v>
      </c>
      <c r="F695" s="134">
        <f t="shared" si="555"/>
        <v>62056</v>
      </c>
      <c r="G695" s="134">
        <f t="shared" si="555"/>
        <v>63253</v>
      </c>
    </row>
    <row r="696" spans="1:14">
      <c r="A696" s="21" t="s">
        <v>811</v>
      </c>
      <c r="B696" s="459" t="s">
        <v>808</v>
      </c>
      <c r="C696" s="134">
        <f>C672+C674</f>
        <v>430200</v>
      </c>
      <c r="D696" s="134">
        <f t="shared" ref="D696:G696" si="556">D672+D674</f>
        <v>430200</v>
      </c>
      <c r="E696" s="134">
        <f t="shared" si="556"/>
        <v>444700</v>
      </c>
      <c r="F696" s="134">
        <f t="shared" si="556"/>
        <v>453527</v>
      </c>
      <c r="G696" s="134">
        <f t="shared" si="556"/>
        <v>460505</v>
      </c>
    </row>
    <row r="697" spans="1:14">
      <c r="A697" s="21" t="s">
        <v>814</v>
      </c>
      <c r="B697" s="459" t="s">
        <v>813</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815</v>
      </c>
      <c r="B698" s="459" t="s">
        <v>813</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813</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809</v>
      </c>
      <c r="B700" s="459" t="s">
        <v>810</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816</v>
      </c>
      <c r="C701">
        <v>80</v>
      </c>
      <c r="D701" s="459">
        <v>80</v>
      </c>
      <c r="E701" s="459">
        <v>80</v>
      </c>
      <c r="F701" s="459">
        <v>80</v>
      </c>
      <c r="G701" s="459">
        <v>80</v>
      </c>
    </row>
    <row r="702" spans="1:14">
      <c r="A702" s="614" t="s">
        <v>817</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20"/>
  <sheetViews>
    <sheetView zoomScaleNormal="100" workbookViewId="0">
      <selection activeCell="D11" sqref="D11"/>
    </sheetView>
  </sheetViews>
  <sheetFormatPr defaultRowHeight="15"/>
  <cols>
    <col min="1" max="1" width="5.42578125" customWidth="1"/>
    <col min="2" max="2" width="22.42578125" bestFit="1" customWidth="1"/>
    <col min="3" max="3" width="22.42578125" style="459" customWidth="1"/>
    <col min="31" max="31" width="16.42578125" bestFit="1" customWidth="1"/>
  </cols>
  <sheetData>
    <row r="1" spans="2:65">
      <c r="AE1" s="448"/>
      <c r="AF1" s="716"/>
      <c r="AG1" s="716"/>
      <c r="AH1" s="716"/>
      <c r="AI1" s="716"/>
      <c r="AJ1" s="716"/>
      <c r="AK1" s="716"/>
      <c r="AL1" s="716"/>
      <c r="AM1" s="716"/>
      <c r="AN1" s="716"/>
      <c r="AO1" s="716"/>
      <c r="AP1" s="716"/>
      <c r="AQ1" s="716"/>
      <c r="AR1" s="716"/>
      <c r="AS1" s="716"/>
      <c r="AT1" s="716"/>
      <c r="AU1" s="716"/>
      <c r="AV1" s="716"/>
      <c r="AW1" s="716"/>
      <c r="AX1" s="716"/>
      <c r="AY1" s="716"/>
      <c r="AZ1" s="716"/>
      <c r="BA1" s="716"/>
      <c r="BB1" s="716"/>
      <c r="BC1" s="716"/>
      <c r="BD1" s="716"/>
      <c r="BE1" s="716"/>
      <c r="BF1" s="716"/>
      <c r="BG1" s="716"/>
      <c r="BH1" s="716"/>
      <c r="BI1" s="716"/>
      <c r="BJ1" s="716"/>
      <c r="BK1" s="716"/>
      <c r="BL1" s="716"/>
      <c r="BM1" s="716"/>
    </row>
    <row r="2" spans="2:65">
      <c r="C2" s="453" t="s">
        <v>989</v>
      </c>
      <c r="D2" s="448"/>
      <c r="E2" s="448"/>
      <c r="AE2" s="448"/>
      <c r="AF2" s="716"/>
      <c r="AG2" s="716"/>
      <c r="AH2" s="716"/>
      <c r="AI2" s="716"/>
      <c r="AJ2" s="716"/>
      <c r="AK2" s="716"/>
      <c r="AL2" s="716"/>
      <c r="AM2" s="716"/>
      <c r="AN2" s="716"/>
      <c r="AO2" s="716"/>
      <c r="AP2" s="716"/>
      <c r="AQ2" s="716"/>
      <c r="AR2" s="716"/>
      <c r="AS2" s="716"/>
      <c r="AT2" s="716"/>
      <c r="AU2" s="716"/>
      <c r="AV2" s="716"/>
      <c r="AW2" s="716"/>
      <c r="AX2" s="716"/>
      <c r="AY2" s="716"/>
      <c r="AZ2" s="716"/>
      <c r="BA2" s="716"/>
      <c r="BB2" s="716"/>
      <c r="BC2" s="716"/>
      <c r="BD2" s="716"/>
      <c r="BE2" s="716"/>
      <c r="BF2" s="716"/>
      <c r="BG2" s="716"/>
      <c r="BH2" s="716"/>
      <c r="BI2" s="716"/>
      <c r="BJ2" s="716"/>
      <c r="BK2" s="716"/>
      <c r="BL2" s="716"/>
      <c r="BM2" s="716"/>
    </row>
    <row r="3" spans="2:65" ht="15.7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6"/>
      <c r="AG3" s="716"/>
      <c r="AH3" s="716"/>
      <c r="AI3" s="716"/>
      <c r="AJ3" s="716"/>
      <c r="AK3" s="716"/>
      <c r="AL3" s="716"/>
      <c r="AM3" s="716"/>
      <c r="AN3" s="716"/>
      <c r="AO3" s="716"/>
      <c r="AP3" s="716"/>
      <c r="AQ3" s="716"/>
      <c r="AR3" s="716"/>
      <c r="AS3" s="716"/>
      <c r="AT3" s="716"/>
      <c r="AU3" s="716"/>
      <c r="AV3" s="716"/>
      <c r="AW3" s="716"/>
      <c r="AX3" s="716"/>
      <c r="AY3" s="716"/>
      <c r="AZ3" s="716"/>
      <c r="BA3" s="716"/>
      <c r="BB3" s="716"/>
      <c r="BC3" s="716"/>
      <c r="BD3" s="716"/>
      <c r="BE3" s="716"/>
      <c r="BF3" s="716"/>
      <c r="BG3" s="716"/>
      <c r="BH3" s="716"/>
      <c r="BI3" s="716"/>
      <c r="BJ3" s="716"/>
      <c r="BK3" s="716"/>
      <c r="BL3" s="716"/>
      <c r="BM3" s="716"/>
    </row>
    <row r="4" spans="2:65" s="459" customFormat="1">
      <c r="B4" s="459" t="str">
        <f>Commodities!K8</f>
        <v>T-WLK_WLK</v>
      </c>
      <c r="C4" s="459" t="s">
        <v>792</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6"/>
      <c r="AG4" s="716"/>
      <c r="AH4" s="716"/>
      <c r="AI4" s="716"/>
      <c r="AJ4" s="716"/>
      <c r="AK4" s="716"/>
      <c r="AL4" s="716"/>
      <c r="AM4" s="716"/>
      <c r="AN4" s="716"/>
      <c r="AO4" s="716"/>
      <c r="AP4" s="716"/>
      <c r="AQ4" s="716"/>
      <c r="AR4" s="716"/>
      <c r="AS4" s="716"/>
      <c r="AT4" s="716"/>
      <c r="AU4" s="716"/>
      <c r="AV4" s="716"/>
      <c r="AW4" s="716"/>
      <c r="AX4" s="716"/>
      <c r="AY4" s="716"/>
      <c r="AZ4" s="716"/>
      <c r="BA4" s="716"/>
      <c r="BB4" s="716"/>
      <c r="BC4" s="716"/>
      <c r="BD4" s="716"/>
      <c r="BE4" s="716"/>
      <c r="BF4" s="716"/>
      <c r="BG4" s="716"/>
      <c r="BH4" s="716"/>
      <c r="BI4" s="716"/>
      <c r="BJ4" s="716"/>
      <c r="BK4" s="716"/>
      <c r="BL4" s="716"/>
      <c r="BM4" s="716"/>
    </row>
    <row r="5" spans="2:65" s="459" customFormat="1">
      <c r="B5" s="459" t="str">
        <f>Commodities!K9</f>
        <v>T-CYC_CYC</v>
      </c>
      <c r="C5" s="459" t="s">
        <v>792</v>
      </c>
      <c r="D5" s="721">
        <v>8</v>
      </c>
      <c r="E5" s="721">
        <v>8</v>
      </c>
      <c r="F5" s="721">
        <v>8</v>
      </c>
      <c r="G5" s="721">
        <v>8</v>
      </c>
      <c r="H5" s="721">
        <v>8</v>
      </c>
      <c r="I5" s="721">
        <v>8</v>
      </c>
      <c r="J5" s="721">
        <v>8</v>
      </c>
      <c r="K5" s="721">
        <v>8</v>
      </c>
      <c r="L5" s="721">
        <v>8</v>
      </c>
      <c r="M5" s="721">
        <v>8</v>
      </c>
      <c r="N5" s="721">
        <v>8</v>
      </c>
      <c r="O5" s="721">
        <v>8</v>
      </c>
      <c r="P5" s="721">
        <v>8</v>
      </c>
      <c r="Q5" s="721">
        <v>8</v>
      </c>
      <c r="R5" s="721">
        <v>8</v>
      </c>
      <c r="S5" s="721">
        <v>8</v>
      </c>
      <c r="T5" s="721">
        <v>8</v>
      </c>
      <c r="U5" s="721">
        <v>8</v>
      </c>
      <c r="V5" s="721">
        <v>8</v>
      </c>
      <c r="W5" s="721">
        <v>8</v>
      </c>
      <c r="X5" s="721">
        <v>8</v>
      </c>
      <c r="Y5" s="721">
        <v>8</v>
      </c>
      <c r="Z5" s="721">
        <v>8</v>
      </c>
      <c r="AA5" s="721">
        <v>8</v>
      </c>
      <c r="AB5" s="721">
        <v>8</v>
      </c>
      <c r="AC5" s="721">
        <v>8</v>
      </c>
      <c r="AD5" s="721">
        <v>8</v>
      </c>
      <c r="AF5" s="716"/>
      <c r="AG5" s="716"/>
      <c r="AH5" s="716"/>
      <c r="AI5" s="716"/>
      <c r="AJ5" s="716"/>
      <c r="AK5" s="716"/>
      <c r="AL5" s="716"/>
      <c r="AM5" s="716"/>
      <c r="AN5" s="716"/>
      <c r="AO5" s="716"/>
      <c r="AP5" s="716"/>
      <c r="AQ5" s="716"/>
      <c r="AR5" s="716"/>
      <c r="AS5" s="716"/>
      <c r="AT5" s="716"/>
      <c r="AU5" s="716"/>
      <c r="AV5" s="716"/>
      <c r="AW5" s="716"/>
      <c r="AX5" s="716"/>
      <c r="AY5" s="716"/>
      <c r="AZ5" s="716"/>
      <c r="BA5" s="716"/>
      <c r="BB5" s="716"/>
      <c r="BC5" s="716"/>
      <c r="BD5" s="716"/>
      <c r="BE5" s="716"/>
      <c r="BF5" s="716"/>
      <c r="BG5" s="716"/>
      <c r="BH5" s="716"/>
      <c r="BI5" s="716"/>
      <c r="BJ5" s="716"/>
      <c r="BK5" s="716"/>
      <c r="BL5" s="716"/>
      <c r="BM5" s="716"/>
    </row>
    <row r="6" spans="2:65">
      <c r="B6" s="716" t="str">
        <f>Commodities!K11</f>
        <v>T-MOT-ICE_GSL00</v>
      </c>
      <c r="C6" s="459" t="s">
        <v>792</v>
      </c>
      <c r="D6" s="721">
        <f>D72</f>
        <v>2.7309999999999999</v>
      </c>
      <c r="E6" s="721">
        <f t="shared" ref="E6:AD16" si="0">E72</f>
        <v>2.637</v>
      </c>
      <c r="F6" s="721">
        <f t="shared" ref="F6" si="1">F72</f>
        <v>2.798</v>
      </c>
      <c r="G6" s="721">
        <f t="shared" si="0"/>
        <v>2.7280000000000002</v>
      </c>
      <c r="H6" s="721">
        <f t="shared" si="0"/>
        <v>2.6520000000000001</v>
      </c>
      <c r="I6" s="721">
        <f t="shared" si="0"/>
        <v>2.71</v>
      </c>
      <c r="J6" s="721">
        <f t="shared" si="0"/>
        <v>2.669</v>
      </c>
      <c r="K6" s="721">
        <f t="shared" si="0"/>
        <v>2.758</v>
      </c>
      <c r="L6" s="721">
        <f t="shared" si="0"/>
        <v>2.722</v>
      </c>
      <c r="M6" s="721">
        <f t="shared" si="0"/>
        <v>2.6560000000000001</v>
      </c>
      <c r="N6" s="721">
        <f t="shared" si="0"/>
        <v>2.706</v>
      </c>
      <c r="O6" s="721">
        <f t="shared" si="0"/>
        <v>2.657</v>
      </c>
      <c r="P6" s="721">
        <f t="shared" si="0"/>
        <v>2.72</v>
      </c>
      <c r="Q6" s="721">
        <f t="shared" si="0"/>
        <v>2.726</v>
      </c>
      <c r="R6" s="721">
        <f t="shared" si="0"/>
        <v>2.6880000000000002</v>
      </c>
      <c r="S6" s="721">
        <f t="shared" si="0"/>
        <v>2.68</v>
      </c>
      <c r="T6" s="721">
        <f t="shared" si="0"/>
        <v>2.7</v>
      </c>
      <c r="U6" s="721">
        <f t="shared" si="0"/>
        <v>2.694</v>
      </c>
      <c r="V6" s="721">
        <f t="shared" si="0"/>
        <v>2.6480000000000001</v>
      </c>
      <c r="W6" s="721">
        <f t="shared" si="0"/>
        <v>2.7010000000000001</v>
      </c>
      <c r="X6" s="721">
        <f t="shared" si="0"/>
        <v>2.7250000000000001</v>
      </c>
      <c r="Y6" s="721">
        <f t="shared" si="0"/>
        <v>2.718</v>
      </c>
      <c r="Z6" s="721">
        <f t="shared" si="0"/>
        <v>2.7290000000000001</v>
      </c>
      <c r="AA6" s="721">
        <f t="shared" si="0"/>
        <v>2.6480000000000001</v>
      </c>
      <c r="AB6" s="721">
        <f t="shared" si="0"/>
        <v>2.7109999999999999</v>
      </c>
      <c r="AC6" s="721">
        <f t="shared" si="0"/>
        <v>2.7930000000000001</v>
      </c>
      <c r="AD6" s="721">
        <f t="shared" si="0"/>
        <v>2.7800000000000002</v>
      </c>
      <c r="AF6" s="716"/>
      <c r="AG6" s="716"/>
      <c r="AH6" s="716"/>
      <c r="AI6" s="716"/>
      <c r="AJ6" s="716"/>
      <c r="AK6" s="716"/>
      <c r="AL6" s="716"/>
      <c r="AM6" s="716"/>
      <c r="AN6" s="716"/>
      <c r="AO6" s="716"/>
      <c r="AP6" s="716"/>
      <c r="AQ6" s="716"/>
      <c r="AR6" s="716"/>
      <c r="AS6" s="716"/>
      <c r="AT6" s="716"/>
      <c r="AU6" s="716"/>
      <c r="AV6" s="716"/>
      <c r="AW6" s="716"/>
      <c r="AX6" s="716"/>
      <c r="AY6" s="716"/>
      <c r="AZ6" s="716"/>
      <c r="BA6" s="716"/>
      <c r="BB6" s="716"/>
      <c r="BC6" s="716"/>
      <c r="BD6" s="716"/>
      <c r="BE6" s="716"/>
      <c r="BF6" s="716"/>
      <c r="BG6" s="716"/>
      <c r="BH6" s="716"/>
      <c r="BI6" s="716"/>
      <c r="BJ6" s="716"/>
      <c r="BK6" s="716"/>
      <c r="BL6" s="716"/>
      <c r="BM6" s="716"/>
    </row>
    <row r="7" spans="2:65">
      <c r="B7" s="716" t="str">
        <f>Commodities!K13</f>
        <v>T-CAR-ICE_GSL00</v>
      </c>
      <c r="C7" s="459" t="s">
        <v>792</v>
      </c>
      <c r="D7" s="721">
        <f t="shared" ref="D7:S22" si="2">D73</f>
        <v>12.817</v>
      </c>
      <c r="E7" s="721">
        <f t="shared" si="2"/>
        <v>13.538</v>
      </c>
      <c r="F7" s="721">
        <f t="shared" ref="F7" si="3">F73</f>
        <v>11.021000000000001</v>
      </c>
      <c r="G7" s="721">
        <f t="shared" si="2"/>
        <v>13.529</v>
      </c>
      <c r="H7" s="721">
        <f t="shared" si="2"/>
        <v>13.763999999999999</v>
      </c>
      <c r="I7" s="721">
        <f t="shared" si="2"/>
        <v>14.083</v>
      </c>
      <c r="J7" s="721">
        <f t="shared" si="2"/>
        <v>14.022</v>
      </c>
      <c r="K7" s="721">
        <f t="shared" si="2"/>
        <v>13.183</v>
      </c>
      <c r="L7" s="721">
        <f t="shared" si="2"/>
        <v>13.941000000000001</v>
      </c>
      <c r="M7" s="721">
        <f t="shared" si="2"/>
        <v>14.13</v>
      </c>
      <c r="N7" s="721">
        <f t="shared" si="2"/>
        <v>13.906000000000001</v>
      </c>
      <c r="O7" s="721">
        <f t="shared" si="2"/>
        <v>13.939</v>
      </c>
      <c r="P7" s="721">
        <f t="shared" si="2"/>
        <v>13.411</v>
      </c>
      <c r="Q7" s="721">
        <f t="shared" si="2"/>
        <v>14.196999999999999</v>
      </c>
      <c r="R7" s="721">
        <f t="shared" si="2"/>
        <v>13.069000000000001</v>
      </c>
      <c r="S7" s="721">
        <f t="shared" si="2"/>
        <v>13.894</v>
      </c>
      <c r="T7" s="721">
        <f t="shared" si="0"/>
        <v>13.465999999999999</v>
      </c>
      <c r="U7" s="721">
        <f t="shared" si="0"/>
        <v>14.237</v>
      </c>
      <c r="V7" s="721">
        <f t="shared" si="0"/>
        <v>13.135999999999999</v>
      </c>
      <c r="W7" s="721">
        <f t="shared" si="0"/>
        <v>13.557</v>
      </c>
      <c r="X7" s="721">
        <f t="shared" si="0"/>
        <v>14.583</v>
      </c>
      <c r="Y7" s="721">
        <f t="shared" si="0"/>
        <v>13.987</v>
      </c>
      <c r="Z7" s="721">
        <f t="shared" si="0"/>
        <v>15.377000000000001</v>
      </c>
      <c r="AA7" s="721">
        <f t="shared" si="0"/>
        <v>13.425000000000001</v>
      </c>
      <c r="AB7" s="721">
        <f t="shared" si="0"/>
        <v>14.218</v>
      </c>
      <c r="AC7" s="721">
        <f t="shared" si="0"/>
        <v>13.877000000000001</v>
      </c>
      <c r="AD7" s="721">
        <f t="shared" si="0"/>
        <v>13.781000000000001</v>
      </c>
      <c r="AF7" s="716"/>
      <c r="AG7" s="716"/>
      <c r="AH7" s="716"/>
      <c r="AI7" s="716"/>
      <c r="AJ7" s="716"/>
      <c r="AK7" s="716"/>
      <c r="AL7" s="716"/>
      <c r="AM7" s="716"/>
      <c r="AN7" s="716"/>
      <c r="AO7" s="716"/>
      <c r="AP7" s="716"/>
      <c r="AQ7" s="716"/>
      <c r="AR7" s="716"/>
      <c r="AS7" s="716"/>
      <c r="AT7" s="716"/>
      <c r="AU7" s="716"/>
      <c r="AV7" s="716"/>
      <c r="AW7" s="716"/>
      <c r="AX7" s="716"/>
      <c r="AY7" s="716"/>
      <c r="AZ7" s="716"/>
      <c r="BA7" s="716"/>
      <c r="BB7" s="716"/>
      <c r="BC7" s="716"/>
      <c r="BD7" s="716"/>
      <c r="BE7" s="716"/>
      <c r="BF7" s="716"/>
      <c r="BG7" s="716"/>
      <c r="BH7" s="716"/>
      <c r="BI7" s="716"/>
      <c r="BJ7" s="716"/>
      <c r="BK7" s="716"/>
      <c r="BL7" s="716"/>
      <c r="BM7" s="716"/>
    </row>
    <row r="8" spans="2:65">
      <c r="B8" s="716" t="str">
        <f>Commodities!K14</f>
        <v>T-CAR-ICE_DST00</v>
      </c>
      <c r="C8" s="459" t="s">
        <v>792</v>
      </c>
      <c r="D8" s="721">
        <f t="shared" si="2"/>
        <v>20.617000000000001</v>
      </c>
      <c r="E8" s="721">
        <f t="shared" si="0"/>
        <v>21.731000000000002</v>
      </c>
      <c r="F8" s="721">
        <f t="shared" ref="F8" si="4">F74</f>
        <v>18.106000000000002</v>
      </c>
      <c r="G8" s="721">
        <f t="shared" si="0"/>
        <v>20.908999999999999</v>
      </c>
      <c r="H8" s="721">
        <f t="shared" si="0"/>
        <v>21.75</v>
      </c>
      <c r="I8" s="721">
        <f t="shared" si="0"/>
        <v>22.298999999999999</v>
      </c>
      <c r="J8" s="721">
        <f t="shared" si="0"/>
        <v>22.722999999999999</v>
      </c>
      <c r="K8" s="721">
        <f t="shared" si="0"/>
        <v>20.613</v>
      </c>
      <c r="L8" s="721">
        <f t="shared" si="0"/>
        <v>21.196999999999999</v>
      </c>
      <c r="M8" s="721">
        <f t="shared" si="0"/>
        <v>22.055</v>
      </c>
      <c r="N8" s="721">
        <f t="shared" si="0"/>
        <v>22.035</v>
      </c>
      <c r="O8" s="721">
        <f t="shared" si="0"/>
        <v>21.408000000000001</v>
      </c>
      <c r="P8" s="721">
        <f t="shared" si="0"/>
        <v>20.399999999999999</v>
      </c>
      <c r="Q8" s="721">
        <f t="shared" si="0"/>
        <v>22.021000000000001</v>
      </c>
      <c r="R8" s="721">
        <f t="shared" si="0"/>
        <v>20.07</v>
      </c>
      <c r="S8" s="721">
        <f t="shared" si="0"/>
        <v>20.986000000000001</v>
      </c>
      <c r="T8" s="721">
        <f t="shared" si="0"/>
        <v>21.373999999999999</v>
      </c>
      <c r="U8" s="721">
        <f t="shared" si="0"/>
        <v>22.268999999999998</v>
      </c>
      <c r="V8" s="721">
        <f t="shared" si="0"/>
        <v>20.774999999999999</v>
      </c>
      <c r="W8" s="721">
        <f t="shared" si="0"/>
        <v>21.388000000000002</v>
      </c>
      <c r="X8" s="721">
        <f t="shared" si="0"/>
        <v>22.28</v>
      </c>
      <c r="Y8" s="721">
        <f t="shared" si="0"/>
        <v>21.443000000000001</v>
      </c>
      <c r="Z8" s="721">
        <f t="shared" si="0"/>
        <v>23.317</v>
      </c>
      <c r="AA8" s="721">
        <f t="shared" si="0"/>
        <v>21.324000000000002</v>
      </c>
      <c r="AB8" s="721">
        <f t="shared" si="0"/>
        <v>21.887</v>
      </c>
      <c r="AC8" s="721">
        <f t="shared" si="0"/>
        <v>20.55</v>
      </c>
      <c r="AD8" s="721">
        <f t="shared" si="0"/>
        <v>21.584</v>
      </c>
      <c r="AF8" s="716"/>
      <c r="AG8" s="716"/>
      <c r="AH8" s="716"/>
      <c r="AI8" s="716"/>
      <c r="AJ8" s="716"/>
      <c r="AK8" s="716"/>
      <c r="AL8" s="716"/>
      <c r="AM8" s="716"/>
      <c r="AN8" s="716"/>
      <c r="AO8" s="716"/>
      <c r="AP8" s="716"/>
      <c r="AQ8" s="716"/>
      <c r="AR8" s="716"/>
      <c r="AS8" s="716"/>
      <c r="AT8" s="716"/>
      <c r="AU8" s="716"/>
      <c r="AV8" s="716"/>
      <c r="AW8" s="716"/>
      <c r="AX8" s="716"/>
      <c r="AY8" s="716"/>
      <c r="AZ8" s="716"/>
      <c r="BA8" s="716"/>
      <c r="BB8" s="716"/>
      <c r="BC8" s="716"/>
      <c r="BD8" s="716"/>
      <c r="BE8" s="716"/>
      <c r="BF8" s="716"/>
      <c r="BG8" s="716"/>
      <c r="BH8" s="716"/>
      <c r="BI8" s="716"/>
      <c r="BJ8" s="716"/>
      <c r="BK8" s="716"/>
      <c r="BL8" s="716"/>
      <c r="BM8" s="716"/>
    </row>
    <row r="9" spans="2:65">
      <c r="B9" s="716" t="str">
        <f>Commodities!K15</f>
        <v>T-CAR-ICE_DF00</v>
      </c>
      <c r="C9" s="459" t="s">
        <v>792</v>
      </c>
      <c r="D9" s="721">
        <f t="shared" si="2"/>
        <v>13.444000000000001</v>
      </c>
      <c r="E9" s="721">
        <f t="shared" si="0"/>
        <v>14.090999999999999</v>
      </c>
      <c r="F9" s="721">
        <f t="shared" ref="F9" si="5">F75</f>
        <v>12.847</v>
      </c>
      <c r="G9" s="721">
        <f t="shared" si="0"/>
        <v>13.913</v>
      </c>
      <c r="H9" s="721">
        <f t="shared" si="0"/>
        <v>14.358000000000001</v>
      </c>
      <c r="I9" s="721">
        <f t="shared" si="0"/>
        <v>14.586</v>
      </c>
      <c r="J9" s="721">
        <f t="shared" si="0"/>
        <v>14.004</v>
      </c>
      <c r="K9" s="721">
        <f t="shared" si="0"/>
        <v>13.414</v>
      </c>
      <c r="L9" s="721">
        <f t="shared" si="0"/>
        <v>14.103</v>
      </c>
      <c r="M9" s="721">
        <f t="shared" si="0"/>
        <v>14.503</v>
      </c>
      <c r="N9" s="721">
        <f t="shared" si="0"/>
        <v>14.009</v>
      </c>
      <c r="O9" s="721">
        <f t="shared" si="0"/>
        <v>14.132</v>
      </c>
      <c r="P9" s="721">
        <f t="shared" si="0"/>
        <v>13.914999999999999</v>
      </c>
      <c r="Q9" s="721">
        <f t="shared" si="0"/>
        <v>14.077999999999999</v>
      </c>
      <c r="R9" s="721">
        <f t="shared" si="0"/>
        <v>13.355</v>
      </c>
      <c r="S9" s="721">
        <f t="shared" si="0"/>
        <v>13.78</v>
      </c>
      <c r="T9" s="721">
        <f t="shared" si="0"/>
        <v>13.922000000000001</v>
      </c>
      <c r="U9" s="721">
        <f t="shared" si="0"/>
        <v>13.884</v>
      </c>
      <c r="V9" s="721">
        <f t="shared" si="0"/>
        <v>13.941000000000001</v>
      </c>
      <c r="W9" s="721">
        <f t="shared" si="0"/>
        <v>13.930999999999999</v>
      </c>
      <c r="X9" s="721">
        <f t="shared" si="0"/>
        <v>14.143000000000001</v>
      </c>
      <c r="Y9" s="721">
        <f t="shared" si="0"/>
        <v>14.191000000000001</v>
      </c>
      <c r="Z9" s="721">
        <f t="shared" si="0"/>
        <v>14.154</v>
      </c>
      <c r="AA9" s="721">
        <f t="shared" si="0"/>
        <v>13.852</v>
      </c>
      <c r="AB9" s="721">
        <f t="shared" si="0"/>
        <v>14.061999999999999</v>
      </c>
      <c r="AC9" s="721">
        <f t="shared" si="0"/>
        <v>14.304</v>
      </c>
      <c r="AD9" s="721">
        <f t="shared" si="0"/>
        <v>13.791</v>
      </c>
      <c r="AF9" s="716"/>
      <c r="AG9" s="716"/>
      <c r="AH9" s="716"/>
      <c r="AI9" s="716"/>
      <c r="AJ9" s="716"/>
      <c r="AK9" s="716"/>
      <c r="AL9" s="716"/>
      <c r="AM9" s="716"/>
      <c r="AN9" s="716"/>
      <c r="AO9" s="716"/>
      <c r="AP9" s="716"/>
      <c r="AQ9" s="716"/>
      <c r="AR9" s="716"/>
      <c r="AS9" s="716"/>
      <c r="AT9" s="716"/>
      <c r="AU9" s="716"/>
      <c r="AV9" s="716"/>
      <c r="AW9" s="716"/>
      <c r="AX9" s="716"/>
      <c r="AY9" s="716"/>
      <c r="AZ9" s="716"/>
      <c r="BA9" s="716"/>
      <c r="BB9" s="716"/>
      <c r="BC9" s="716"/>
      <c r="BD9" s="716"/>
      <c r="BE9" s="716"/>
      <c r="BF9" s="716"/>
      <c r="BG9" s="716"/>
      <c r="BH9" s="716"/>
      <c r="BI9" s="716"/>
      <c r="BJ9" s="716"/>
      <c r="BK9" s="716"/>
      <c r="BL9" s="716"/>
      <c r="BM9" s="716"/>
    </row>
    <row r="10" spans="2:65">
      <c r="B10" s="716" t="str">
        <f>Commodities!K16</f>
        <v>T-CAR-ICE_E8500</v>
      </c>
      <c r="C10" s="459" t="s">
        <v>792</v>
      </c>
      <c r="D10" s="721">
        <f t="shared" si="2"/>
        <v>13.444000000000001</v>
      </c>
      <c r="E10" s="721">
        <f t="shared" si="0"/>
        <v>14.090999999999999</v>
      </c>
      <c r="F10" s="721">
        <f t="shared" ref="F10" si="6">F76</f>
        <v>12.847</v>
      </c>
      <c r="G10" s="721">
        <f t="shared" si="0"/>
        <v>13.913</v>
      </c>
      <c r="H10" s="721">
        <f t="shared" si="0"/>
        <v>14.358000000000001</v>
      </c>
      <c r="I10" s="721">
        <f t="shared" si="0"/>
        <v>14.586</v>
      </c>
      <c r="J10" s="721">
        <f t="shared" si="0"/>
        <v>14.004</v>
      </c>
      <c r="K10" s="721">
        <f t="shared" si="0"/>
        <v>13.414</v>
      </c>
      <c r="L10" s="721">
        <f t="shared" si="0"/>
        <v>14.103</v>
      </c>
      <c r="M10" s="721">
        <f t="shared" si="0"/>
        <v>14.503</v>
      </c>
      <c r="N10" s="721">
        <f t="shared" si="0"/>
        <v>14.009</v>
      </c>
      <c r="O10" s="721">
        <f t="shared" si="0"/>
        <v>14.132</v>
      </c>
      <c r="P10" s="721">
        <f t="shared" si="0"/>
        <v>13.914999999999999</v>
      </c>
      <c r="Q10" s="721">
        <f t="shared" si="0"/>
        <v>14.077999999999999</v>
      </c>
      <c r="R10" s="721">
        <f t="shared" si="0"/>
        <v>13.355</v>
      </c>
      <c r="S10" s="721">
        <f t="shared" si="0"/>
        <v>13.78</v>
      </c>
      <c r="T10" s="721">
        <f t="shared" si="0"/>
        <v>13.922000000000001</v>
      </c>
      <c r="U10" s="721">
        <f t="shared" si="0"/>
        <v>13.884</v>
      </c>
      <c r="V10" s="721">
        <f t="shared" si="0"/>
        <v>13.941000000000001</v>
      </c>
      <c r="W10" s="721">
        <f t="shared" si="0"/>
        <v>13.930999999999999</v>
      </c>
      <c r="X10" s="721">
        <f t="shared" si="0"/>
        <v>14.143000000000001</v>
      </c>
      <c r="Y10" s="721">
        <f t="shared" si="0"/>
        <v>14.191000000000001</v>
      </c>
      <c r="Z10" s="721">
        <f t="shared" si="0"/>
        <v>14.154</v>
      </c>
      <c r="AA10" s="721">
        <f t="shared" si="0"/>
        <v>13.852</v>
      </c>
      <c r="AB10" s="721">
        <f t="shared" si="0"/>
        <v>14.061999999999999</v>
      </c>
      <c r="AC10" s="721">
        <f t="shared" si="0"/>
        <v>14.304</v>
      </c>
      <c r="AD10" s="721">
        <f t="shared" si="0"/>
        <v>13.791</v>
      </c>
      <c r="AF10" s="716"/>
      <c r="AG10" s="716"/>
      <c r="AH10" s="716"/>
      <c r="AI10" s="716"/>
      <c r="AJ10" s="716"/>
      <c r="AK10" s="716"/>
      <c r="AL10" s="716"/>
      <c r="AM10" s="716"/>
      <c r="AN10" s="716"/>
      <c r="AO10" s="716"/>
      <c r="AP10" s="716"/>
      <c r="AQ10" s="716"/>
      <c r="AR10" s="716"/>
      <c r="AS10" s="716"/>
      <c r="AT10" s="716"/>
      <c r="AU10" s="716"/>
      <c r="AV10" s="716"/>
      <c r="AW10" s="716"/>
      <c r="AX10" s="716"/>
      <c r="AY10" s="716"/>
      <c r="AZ10" s="716"/>
      <c r="BA10" s="716"/>
      <c r="BB10" s="716"/>
      <c r="BC10" s="716"/>
      <c r="BD10" s="716"/>
      <c r="BE10" s="716"/>
      <c r="BF10" s="716"/>
      <c r="BG10" s="716"/>
      <c r="BH10" s="716"/>
      <c r="BI10" s="716"/>
      <c r="BJ10" s="716"/>
      <c r="BK10" s="716"/>
      <c r="BL10" s="716"/>
      <c r="BM10" s="716"/>
    </row>
    <row r="11" spans="2:65">
      <c r="B11" s="716" t="str">
        <f>Commodities!K17</f>
        <v>T-CAR-HEV_GSL00</v>
      </c>
      <c r="C11" s="459" t="s">
        <v>792</v>
      </c>
      <c r="D11" s="721">
        <f t="shared" si="2"/>
        <v>12.817</v>
      </c>
      <c r="E11" s="721">
        <f t="shared" si="0"/>
        <v>13.538</v>
      </c>
      <c r="F11" s="721">
        <f t="shared" ref="F11" si="7">F77</f>
        <v>11.021000000000001</v>
      </c>
      <c r="G11" s="721">
        <f t="shared" si="0"/>
        <v>13.529</v>
      </c>
      <c r="H11" s="721">
        <f t="shared" si="0"/>
        <v>13.763999999999999</v>
      </c>
      <c r="I11" s="721">
        <f t="shared" si="0"/>
        <v>14.083</v>
      </c>
      <c r="J11" s="721">
        <f t="shared" si="0"/>
        <v>14.022</v>
      </c>
      <c r="K11" s="721">
        <f t="shared" si="0"/>
        <v>13.183</v>
      </c>
      <c r="L11" s="721">
        <f t="shared" si="0"/>
        <v>13.941000000000001</v>
      </c>
      <c r="M11" s="721">
        <f t="shared" si="0"/>
        <v>14.13</v>
      </c>
      <c r="N11" s="721">
        <f t="shared" si="0"/>
        <v>13.906000000000001</v>
      </c>
      <c r="O11" s="721">
        <f t="shared" si="0"/>
        <v>13.939</v>
      </c>
      <c r="P11" s="721">
        <f t="shared" si="0"/>
        <v>13.411</v>
      </c>
      <c r="Q11" s="721">
        <f t="shared" si="0"/>
        <v>14.196999999999999</v>
      </c>
      <c r="R11" s="721">
        <f t="shared" si="0"/>
        <v>13.069000000000001</v>
      </c>
      <c r="S11" s="721">
        <f t="shared" si="0"/>
        <v>13.894</v>
      </c>
      <c r="T11" s="721">
        <f t="shared" si="0"/>
        <v>13.465999999999999</v>
      </c>
      <c r="U11" s="721">
        <f t="shared" si="0"/>
        <v>14.237</v>
      </c>
      <c r="V11" s="721">
        <f t="shared" si="0"/>
        <v>13.135999999999999</v>
      </c>
      <c r="W11" s="721">
        <f t="shared" si="0"/>
        <v>13.557</v>
      </c>
      <c r="X11" s="721">
        <f t="shared" si="0"/>
        <v>14.583</v>
      </c>
      <c r="Y11" s="721">
        <f t="shared" si="0"/>
        <v>13.987</v>
      </c>
      <c r="Z11" s="721">
        <f t="shared" si="0"/>
        <v>15.377000000000001</v>
      </c>
      <c r="AA11" s="721">
        <f t="shared" si="0"/>
        <v>13.425000000000001</v>
      </c>
      <c r="AB11" s="721">
        <f t="shared" si="0"/>
        <v>14.218</v>
      </c>
      <c r="AC11" s="721">
        <f t="shared" si="0"/>
        <v>13.877000000000001</v>
      </c>
      <c r="AD11" s="721">
        <f t="shared" si="0"/>
        <v>13.781000000000001</v>
      </c>
      <c r="AF11" s="716"/>
      <c r="AG11" s="716"/>
      <c r="AH11" s="716"/>
      <c r="AI11" s="716"/>
      <c r="AJ11" s="716"/>
      <c r="AK11" s="716"/>
      <c r="AL11" s="716"/>
      <c r="AM11" s="716"/>
      <c r="AN11" s="716"/>
      <c r="AO11" s="716"/>
      <c r="AP11" s="716"/>
      <c r="AQ11" s="716"/>
      <c r="AR11" s="716"/>
      <c r="AS11" s="716"/>
      <c r="AT11" s="716"/>
      <c r="AU11" s="716"/>
      <c r="AV11" s="716"/>
      <c r="AW11" s="716"/>
      <c r="AX11" s="716"/>
      <c r="AY11" s="716"/>
      <c r="AZ11" s="716"/>
      <c r="BA11" s="716"/>
      <c r="BB11" s="716"/>
      <c r="BC11" s="716"/>
      <c r="BD11" s="716"/>
      <c r="BE11" s="716"/>
      <c r="BF11" s="716"/>
      <c r="BG11" s="716"/>
      <c r="BH11" s="716"/>
      <c r="BI11" s="716"/>
      <c r="BJ11" s="716"/>
      <c r="BK11" s="716"/>
      <c r="BL11" s="716"/>
      <c r="BM11" s="716"/>
    </row>
    <row r="12" spans="2:65" s="459" customFormat="1">
      <c r="B12" s="716" t="str">
        <f>Commodities!K18</f>
        <v>T-CAR-HEV_DST00</v>
      </c>
      <c r="C12" s="459" t="s">
        <v>792</v>
      </c>
      <c r="D12" s="721">
        <f t="shared" si="2"/>
        <v>20.617000000000001</v>
      </c>
      <c r="E12" s="721">
        <f t="shared" si="0"/>
        <v>21.731000000000002</v>
      </c>
      <c r="F12" s="721">
        <f t="shared" ref="F12" si="8">F78</f>
        <v>18.106000000000002</v>
      </c>
      <c r="G12" s="721">
        <f t="shared" si="0"/>
        <v>20.908999999999999</v>
      </c>
      <c r="H12" s="721">
        <f t="shared" si="0"/>
        <v>21.75</v>
      </c>
      <c r="I12" s="721">
        <f t="shared" si="0"/>
        <v>22.298999999999999</v>
      </c>
      <c r="J12" s="721">
        <f t="shared" si="0"/>
        <v>22.722999999999999</v>
      </c>
      <c r="K12" s="721">
        <f t="shared" si="0"/>
        <v>20.613</v>
      </c>
      <c r="L12" s="721">
        <f t="shared" si="0"/>
        <v>21.196999999999999</v>
      </c>
      <c r="M12" s="721">
        <f t="shared" si="0"/>
        <v>22.055</v>
      </c>
      <c r="N12" s="721">
        <f t="shared" si="0"/>
        <v>22.035</v>
      </c>
      <c r="O12" s="721">
        <f t="shared" si="0"/>
        <v>21.408000000000001</v>
      </c>
      <c r="P12" s="721">
        <f t="shared" si="0"/>
        <v>20.399999999999999</v>
      </c>
      <c r="Q12" s="721">
        <f t="shared" si="0"/>
        <v>22.021000000000001</v>
      </c>
      <c r="R12" s="721">
        <f t="shared" si="0"/>
        <v>20.07</v>
      </c>
      <c r="S12" s="721">
        <f t="shared" si="0"/>
        <v>20.986000000000001</v>
      </c>
      <c r="T12" s="721">
        <f t="shared" si="0"/>
        <v>21.373999999999999</v>
      </c>
      <c r="U12" s="721">
        <f t="shared" si="0"/>
        <v>22.268999999999998</v>
      </c>
      <c r="V12" s="721">
        <f t="shared" si="0"/>
        <v>20.774999999999999</v>
      </c>
      <c r="W12" s="721">
        <f t="shared" si="0"/>
        <v>21.388000000000002</v>
      </c>
      <c r="X12" s="721">
        <f t="shared" si="0"/>
        <v>22.28</v>
      </c>
      <c r="Y12" s="721">
        <f t="shared" si="0"/>
        <v>21.443000000000001</v>
      </c>
      <c r="Z12" s="721">
        <f t="shared" si="0"/>
        <v>23.317</v>
      </c>
      <c r="AA12" s="721">
        <f t="shared" si="0"/>
        <v>21.324000000000002</v>
      </c>
      <c r="AB12" s="721">
        <f t="shared" si="0"/>
        <v>21.887</v>
      </c>
      <c r="AC12" s="721">
        <f t="shared" si="0"/>
        <v>20.55</v>
      </c>
      <c r="AD12" s="721">
        <f t="shared" si="0"/>
        <v>21.584</v>
      </c>
      <c r="AF12" s="716"/>
      <c r="AG12" s="716"/>
      <c r="AH12" s="716"/>
      <c r="AI12" s="716"/>
      <c r="AJ12" s="716"/>
      <c r="AK12" s="716"/>
      <c r="AL12" s="716"/>
      <c r="AM12" s="716"/>
      <c r="AN12" s="716"/>
      <c r="AO12" s="716"/>
      <c r="AP12" s="716"/>
      <c r="AQ12" s="716"/>
      <c r="AR12" s="716"/>
      <c r="AS12" s="716"/>
      <c r="AT12" s="716"/>
      <c r="AU12" s="716"/>
      <c r="AV12" s="716"/>
      <c r="AW12" s="716"/>
      <c r="AX12" s="716"/>
      <c r="AY12" s="716"/>
      <c r="AZ12" s="716"/>
      <c r="BA12" s="716"/>
      <c r="BB12" s="716"/>
      <c r="BC12" s="716"/>
      <c r="BD12" s="716"/>
      <c r="BE12" s="716"/>
      <c r="BF12" s="716"/>
      <c r="BG12" s="716"/>
      <c r="BH12" s="716"/>
      <c r="BI12" s="716"/>
      <c r="BJ12" s="716"/>
      <c r="BK12" s="716"/>
      <c r="BL12" s="716"/>
      <c r="BM12" s="716"/>
    </row>
    <row r="13" spans="2:65">
      <c r="B13" s="716" t="str">
        <f>Commodities!K19</f>
        <v>T-CAR-PHEV_GSL00</v>
      </c>
      <c r="C13" s="459" t="s">
        <v>792</v>
      </c>
      <c r="D13" s="721">
        <f t="shared" si="2"/>
        <v>12.817</v>
      </c>
      <c r="E13" s="721">
        <f t="shared" si="0"/>
        <v>13.538</v>
      </c>
      <c r="F13" s="721">
        <f t="shared" ref="F13" si="9">F79</f>
        <v>11.021000000000001</v>
      </c>
      <c r="G13" s="721">
        <f t="shared" si="0"/>
        <v>13.529</v>
      </c>
      <c r="H13" s="721">
        <f t="shared" si="0"/>
        <v>13.763999999999999</v>
      </c>
      <c r="I13" s="721">
        <f t="shared" si="0"/>
        <v>14.083</v>
      </c>
      <c r="J13" s="721">
        <f t="shared" si="0"/>
        <v>14.022</v>
      </c>
      <c r="K13" s="721">
        <f t="shared" si="0"/>
        <v>13.183</v>
      </c>
      <c r="L13" s="721">
        <f t="shared" si="0"/>
        <v>13.941000000000001</v>
      </c>
      <c r="M13" s="721">
        <f t="shared" si="0"/>
        <v>14.13</v>
      </c>
      <c r="N13" s="721">
        <f t="shared" si="0"/>
        <v>13.906000000000001</v>
      </c>
      <c r="O13" s="721">
        <f t="shared" si="0"/>
        <v>13.939</v>
      </c>
      <c r="P13" s="721">
        <f t="shared" si="0"/>
        <v>13.411</v>
      </c>
      <c r="Q13" s="721">
        <f t="shared" si="0"/>
        <v>14.196999999999999</v>
      </c>
      <c r="R13" s="721">
        <f t="shared" si="0"/>
        <v>13.069000000000001</v>
      </c>
      <c r="S13" s="721">
        <f t="shared" si="0"/>
        <v>13.894</v>
      </c>
      <c r="T13" s="721">
        <f t="shared" si="0"/>
        <v>13.465999999999999</v>
      </c>
      <c r="U13" s="721">
        <f t="shared" si="0"/>
        <v>14.237</v>
      </c>
      <c r="V13" s="721">
        <f t="shared" si="0"/>
        <v>13.135999999999999</v>
      </c>
      <c r="W13" s="721">
        <f t="shared" si="0"/>
        <v>13.557</v>
      </c>
      <c r="X13" s="721">
        <f t="shared" si="0"/>
        <v>14.583</v>
      </c>
      <c r="Y13" s="721">
        <f t="shared" si="0"/>
        <v>13.987</v>
      </c>
      <c r="Z13" s="721">
        <f t="shared" si="0"/>
        <v>15.377000000000001</v>
      </c>
      <c r="AA13" s="721">
        <f t="shared" si="0"/>
        <v>13.425000000000001</v>
      </c>
      <c r="AB13" s="721">
        <f t="shared" si="0"/>
        <v>14.218</v>
      </c>
      <c r="AC13" s="721">
        <f t="shared" si="0"/>
        <v>13.877000000000001</v>
      </c>
      <c r="AD13" s="721">
        <f t="shared" si="0"/>
        <v>13.781000000000001</v>
      </c>
      <c r="AF13" s="716"/>
      <c r="AG13" s="716"/>
      <c r="AH13" s="716"/>
      <c r="AI13" s="716"/>
      <c r="AJ13" s="716"/>
      <c r="AK13" s="716"/>
      <c r="AL13" s="716"/>
      <c r="AM13" s="716"/>
      <c r="AN13" s="716"/>
      <c r="AO13" s="716"/>
      <c r="AP13" s="716"/>
      <c r="AQ13" s="716"/>
      <c r="AR13" s="716"/>
      <c r="AS13" s="716"/>
      <c r="AT13" s="716"/>
      <c r="AU13" s="716"/>
      <c r="AV13" s="716"/>
      <c r="AW13" s="716"/>
      <c r="AX13" s="716"/>
      <c r="AY13" s="716"/>
      <c r="AZ13" s="716"/>
      <c r="BA13" s="716"/>
      <c r="BB13" s="716"/>
      <c r="BC13" s="716"/>
      <c r="BD13" s="716"/>
      <c r="BE13" s="716"/>
      <c r="BF13" s="716"/>
      <c r="BG13" s="716"/>
      <c r="BH13" s="716"/>
      <c r="BI13" s="716"/>
      <c r="BJ13" s="716"/>
      <c r="BK13" s="716"/>
      <c r="BL13" s="716"/>
      <c r="BM13" s="716"/>
    </row>
    <row r="14" spans="2:65">
      <c r="B14" s="716" t="str">
        <f>Commodities!K20</f>
        <v>T-CAR-PHEV_DST00</v>
      </c>
      <c r="C14" s="459" t="s">
        <v>792</v>
      </c>
      <c r="D14" s="721">
        <f t="shared" si="2"/>
        <v>20.617000000000001</v>
      </c>
      <c r="E14" s="721">
        <f t="shared" si="0"/>
        <v>21.731000000000002</v>
      </c>
      <c r="F14" s="721">
        <f t="shared" ref="F14" si="10">F80</f>
        <v>18.106000000000002</v>
      </c>
      <c r="G14" s="721">
        <f t="shared" si="0"/>
        <v>20.908999999999999</v>
      </c>
      <c r="H14" s="721">
        <f t="shared" si="0"/>
        <v>21.75</v>
      </c>
      <c r="I14" s="721">
        <f t="shared" si="0"/>
        <v>22.298999999999999</v>
      </c>
      <c r="J14" s="721">
        <f t="shared" si="0"/>
        <v>22.722999999999999</v>
      </c>
      <c r="K14" s="721">
        <f t="shared" si="0"/>
        <v>20.613</v>
      </c>
      <c r="L14" s="721">
        <f t="shared" si="0"/>
        <v>21.196999999999999</v>
      </c>
      <c r="M14" s="721">
        <f t="shared" si="0"/>
        <v>22.055</v>
      </c>
      <c r="N14" s="721">
        <f t="shared" si="0"/>
        <v>22.035</v>
      </c>
      <c r="O14" s="721">
        <f t="shared" si="0"/>
        <v>21.408000000000001</v>
      </c>
      <c r="P14" s="721">
        <f t="shared" si="0"/>
        <v>20.399999999999999</v>
      </c>
      <c r="Q14" s="721">
        <f t="shared" si="0"/>
        <v>22.021000000000001</v>
      </c>
      <c r="R14" s="721">
        <f t="shared" si="0"/>
        <v>20.07</v>
      </c>
      <c r="S14" s="721">
        <f t="shared" si="0"/>
        <v>20.986000000000001</v>
      </c>
      <c r="T14" s="721">
        <f t="shared" si="0"/>
        <v>21.373999999999999</v>
      </c>
      <c r="U14" s="721">
        <f t="shared" si="0"/>
        <v>22.268999999999998</v>
      </c>
      <c r="V14" s="721">
        <f t="shared" si="0"/>
        <v>20.774999999999999</v>
      </c>
      <c r="W14" s="721">
        <f t="shared" si="0"/>
        <v>21.388000000000002</v>
      </c>
      <c r="X14" s="721">
        <f t="shared" si="0"/>
        <v>22.28</v>
      </c>
      <c r="Y14" s="721">
        <f t="shared" si="0"/>
        <v>21.443000000000001</v>
      </c>
      <c r="Z14" s="721">
        <f t="shared" si="0"/>
        <v>23.317</v>
      </c>
      <c r="AA14" s="721">
        <f t="shared" si="0"/>
        <v>21.324000000000002</v>
      </c>
      <c r="AB14" s="721">
        <f t="shared" si="0"/>
        <v>21.887</v>
      </c>
      <c r="AC14" s="721">
        <f t="shared" si="0"/>
        <v>20.55</v>
      </c>
      <c r="AD14" s="721">
        <f t="shared" si="0"/>
        <v>21.584</v>
      </c>
      <c r="AF14" s="716"/>
      <c r="AG14" s="716"/>
      <c r="AH14" s="716"/>
      <c r="AI14" s="716"/>
      <c r="AJ14" s="716"/>
      <c r="AK14" s="716"/>
      <c r="AL14" s="716"/>
      <c r="AM14" s="716"/>
      <c r="AN14" s="716"/>
      <c r="AO14" s="716"/>
      <c r="AP14" s="716"/>
      <c r="AQ14" s="716"/>
      <c r="AR14" s="716"/>
      <c r="AS14" s="716"/>
      <c r="AT14" s="716"/>
      <c r="AU14" s="716"/>
      <c r="AV14" s="716"/>
      <c r="AW14" s="716"/>
      <c r="AX14" s="716"/>
      <c r="AY14" s="716"/>
      <c r="AZ14" s="716"/>
      <c r="BA14" s="716"/>
      <c r="BB14" s="716"/>
      <c r="BC14" s="716"/>
      <c r="BD14" s="716"/>
      <c r="BE14" s="716"/>
      <c r="BF14" s="716"/>
      <c r="BG14" s="716"/>
      <c r="BH14" s="716"/>
      <c r="BI14" s="716"/>
      <c r="BJ14" s="716"/>
      <c r="BK14" s="716"/>
      <c r="BL14" s="716"/>
      <c r="BM14" s="716"/>
    </row>
    <row r="15" spans="2:65">
      <c r="B15" s="716" t="str">
        <f>Commodities!K21</f>
        <v>T-CAR-BEV_ELC00</v>
      </c>
      <c r="C15" s="459" t="s">
        <v>792</v>
      </c>
      <c r="D15" s="721">
        <f t="shared" si="2"/>
        <v>13.444000000000001</v>
      </c>
      <c r="E15" s="721">
        <f t="shared" si="0"/>
        <v>14.090999999999999</v>
      </c>
      <c r="F15" s="721">
        <f t="shared" ref="F15" si="11">F81</f>
        <v>12.847</v>
      </c>
      <c r="G15" s="721">
        <f t="shared" si="0"/>
        <v>13.913</v>
      </c>
      <c r="H15" s="721">
        <f t="shared" si="0"/>
        <v>14.358000000000001</v>
      </c>
      <c r="I15" s="721">
        <f t="shared" si="0"/>
        <v>14.586</v>
      </c>
      <c r="J15" s="721">
        <f t="shared" si="0"/>
        <v>14.004</v>
      </c>
      <c r="K15" s="721">
        <f t="shared" si="0"/>
        <v>13.414</v>
      </c>
      <c r="L15" s="721">
        <f t="shared" si="0"/>
        <v>14.103</v>
      </c>
      <c r="M15" s="721">
        <f t="shared" si="0"/>
        <v>14.503</v>
      </c>
      <c r="N15" s="721">
        <f t="shared" si="0"/>
        <v>14.009</v>
      </c>
      <c r="O15" s="721">
        <f t="shared" si="0"/>
        <v>14.132</v>
      </c>
      <c r="P15" s="721">
        <f t="shared" si="0"/>
        <v>13.914999999999999</v>
      </c>
      <c r="Q15" s="721">
        <f t="shared" si="0"/>
        <v>14.077999999999999</v>
      </c>
      <c r="R15" s="721">
        <f t="shared" si="0"/>
        <v>13.355</v>
      </c>
      <c r="S15" s="721">
        <f t="shared" si="0"/>
        <v>13.78</v>
      </c>
      <c r="T15" s="721">
        <f t="shared" si="0"/>
        <v>13.922000000000001</v>
      </c>
      <c r="U15" s="721">
        <f t="shared" si="0"/>
        <v>13.884</v>
      </c>
      <c r="V15" s="721">
        <f t="shared" si="0"/>
        <v>13.941000000000001</v>
      </c>
      <c r="W15" s="721">
        <f t="shared" si="0"/>
        <v>13.930999999999999</v>
      </c>
      <c r="X15" s="721">
        <f t="shared" si="0"/>
        <v>14.143000000000001</v>
      </c>
      <c r="Y15" s="721">
        <f t="shared" si="0"/>
        <v>14.191000000000001</v>
      </c>
      <c r="Z15" s="721">
        <f t="shared" si="0"/>
        <v>14.154</v>
      </c>
      <c r="AA15" s="721">
        <f t="shared" si="0"/>
        <v>13.852</v>
      </c>
      <c r="AB15" s="721">
        <f t="shared" si="0"/>
        <v>14.061999999999999</v>
      </c>
      <c r="AC15" s="721">
        <f t="shared" si="0"/>
        <v>14.304</v>
      </c>
      <c r="AD15" s="721">
        <f t="shared" si="0"/>
        <v>13.791</v>
      </c>
      <c r="AF15" s="716"/>
      <c r="AG15" s="716"/>
      <c r="AH15" s="716"/>
      <c r="AI15" s="716"/>
      <c r="AJ15" s="716"/>
      <c r="AK15" s="716"/>
      <c r="AL15" s="716"/>
      <c r="AM15" s="716"/>
      <c r="AN15" s="716"/>
      <c r="AO15" s="716"/>
      <c r="AP15" s="716"/>
      <c r="AQ15" s="716"/>
      <c r="AR15" s="716"/>
      <c r="AS15" s="716"/>
      <c r="AT15" s="716"/>
      <c r="AU15" s="716"/>
      <c r="AV15" s="716"/>
      <c r="AW15" s="716"/>
      <c r="AX15" s="716"/>
      <c r="AY15" s="716"/>
      <c r="AZ15" s="716"/>
      <c r="BA15" s="716"/>
      <c r="BB15" s="716"/>
      <c r="BC15" s="716"/>
      <c r="BD15" s="716"/>
      <c r="BE15" s="716"/>
      <c r="BF15" s="716"/>
      <c r="BG15" s="716"/>
      <c r="BH15" s="716"/>
      <c r="BI15" s="716"/>
      <c r="BJ15" s="716"/>
      <c r="BK15" s="716"/>
      <c r="BL15" s="716"/>
      <c r="BM15" s="716"/>
    </row>
    <row r="16" spans="2:65">
      <c r="B16" s="716" t="str">
        <f>Commodities!K23</f>
        <v>T-TAX-ICE_GSL00</v>
      </c>
      <c r="C16" s="459" t="s">
        <v>792</v>
      </c>
      <c r="D16" s="721">
        <f t="shared" si="2"/>
        <v>35.606999999999999</v>
      </c>
      <c r="E16" s="721">
        <f t="shared" si="0"/>
        <v>22.277000000000001</v>
      </c>
      <c r="F16" s="721">
        <f t="shared" ref="F16" si="12">F82</f>
        <v>35.493000000000002</v>
      </c>
      <c r="G16" s="721">
        <f t="shared" si="0"/>
        <v>41.204999999999998</v>
      </c>
      <c r="H16" s="721">
        <f t="shared" si="0"/>
        <v>41.378</v>
      </c>
      <c r="I16" s="721">
        <f t="shared" si="0"/>
        <v>32.383000000000003</v>
      </c>
      <c r="J16" s="721">
        <f t="shared" si="0"/>
        <v>41.290999999999997</v>
      </c>
      <c r="K16" s="721">
        <f t="shared" si="0"/>
        <v>36.228999999999999</v>
      </c>
      <c r="L16" s="721">
        <f t="shared" si="0"/>
        <v>41.643999999999998</v>
      </c>
      <c r="M16" s="721">
        <f t="shared" si="0"/>
        <v>27.047000000000001</v>
      </c>
      <c r="N16" s="721">
        <f t="shared" si="0"/>
        <v>44.625</v>
      </c>
      <c r="O16" s="721">
        <f t="shared" ref="E16:AD22" si="13">O82</f>
        <v>32.718000000000004</v>
      </c>
      <c r="P16" s="721">
        <f t="shared" si="13"/>
        <v>31.013000000000002</v>
      </c>
      <c r="Q16" s="721">
        <f t="shared" si="13"/>
        <v>37.658999999999999</v>
      </c>
      <c r="R16" s="721">
        <f t="shared" si="13"/>
        <v>34.145000000000003</v>
      </c>
      <c r="S16" s="721">
        <f t="shared" si="13"/>
        <v>31.021999999999998</v>
      </c>
      <c r="T16" s="721">
        <f t="shared" si="13"/>
        <v>37.139000000000003</v>
      </c>
      <c r="U16" s="721">
        <f t="shared" si="13"/>
        <v>33.700000000000003</v>
      </c>
      <c r="V16" s="721">
        <f t="shared" si="13"/>
        <v>29.905999999999999</v>
      </c>
      <c r="W16" s="721">
        <f t="shared" si="13"/>
        <v>36.619999999999997</v>
      </c>
      <c r="X16" s="721">
        <f t="shared" si="13"/>
        <v>28.806999999999999</v>
      </c>
      <c r="Y16" s="721">
        <f t="shared" si="13"/>
        <v>32.491999999999997</v>
      </c>
      <c r="Z16" s="721">
        <f t="shared" si="13"/>
        <v>24.44</v>
      </c>
      <c r="AA16" s="721">
        <f t="shared" si="13"/>
        <v>27.395</v>
      </c>
      <c r="AB16" s="721">
        <f t="shared" si="13"/>
        <v>35.872999999999998</v>
      </c>
      <c r="AC16" s="721">
        <f t="shared" si="13"/>
        <v>34.793999999999997</v>
      </c>
      <c r="AD16" s="721">
        <f t="shared" si="13"/>
        <v>13.925000000000001</v>
      </c>
      <c r="AF16" s="716"/>
      <c r="AG16" s="716"/>
      <c r="AH16" s="716"/>
      <c r="AI16" s="716"/>
      <c r="AJ16" s="716"/>
      <c r="AK16" s="716"/>
      <c r="AL16" s="716"/>
      <c r="AM16" s="716"/>
      <c r="AN16" s="716"/>
      <c r="AO16" s="716"/>
      <c r="AP16" s="716"/>
      <c r="AQ16" s="716"/>
      <c r="AR16" s="716"/>
      <c r="AS16" s="716"/>
      <c r="AT16" s="716"/>
      <c r="AU16" s="716"/>
      <c r="AV16" s="716"/>
      <c r="AW16" s="716"/>
      <c r="AX16" s="716"/>
      <c r="AY16" s="716"/>
      <c r="AZ16" s="716"/>
      <c r="BA16" s="716"/>
      <c r="BB16" s="716"/>
      <c r="BC16" s="716"/>
      <c r="BD16" s="716"/>
      <c r="BE16" s="716"/>
      <c r="BF16" s="716"/>
      <c r="BG16" s="716"/>
      <c r="BH16" s="716"/>
      <c r="BI16" s="716"/>
      <c r="BJ16" s="716"/>
      <c r="BK16" s="716"/>
      <c r="BL16" s="716"/>
      <c r="BM16" s="716"/>
    </row>
    <row r="17" spans="2:65">
      <c r="B17" s="716" t="str">
        <f>Commodities!K24</f>
        <v>T-TAX-ICE_DST00</v>
      </c>
      <c r="C17" s="459" t="s">
        <v>792</v>
      </c>
      <c r="D17" s="721">
        <f t="shared" si="2"/>
        <v>39.924999999999997</v>
      </c>
      <c r="E17" s="721">
        <f t="shared" si="13"/>
        <v>36.674999999999997</v>
      </c>
      <c r="F17" s="721">
        <f t="shared" ref="F17" si="14">F83</f>
        <v>38.923999999999999</v>
      </c>
      <c r="G17" s="721">
        <f t="shared" si="13"/>
        <v>42.279000000000003</v>
      </c>
      <c r="H17" s="721">
        <f t="shared" si="13"/>
        <v>41.710999999999999</v>
      </c>
      <c r="I17" s="721">
        <f t="shared" si="13"/>
        <v>41.725000000000001</v>
      </c>
      <c r="J17" s="721">
        <f t="shared" si="13"/>
        <v>45.546999999999997</v>
      </c>
      <c r="K17" s="721">
        <f t="shared" si="13"/>
        <v>42.713000000000001</v>
      </c>
      <c r="L17" s="721">
        <f t="shared" si="13"/>
        <v>43.365000000000002</v>
      </c>
      <c r="M17" s="721">
        <f t="shared" si="13"/>
        <v>38.703000000000003</v>
      </c>
      <c r="N17" s="721">
        <f t="shared" si="13"/>
        <v>41.908000000000001</v>
      </c>
      <c r="O17" s="721">
        <f t="shared" si="13"/>
        <v>38.863999999999997</v>
      </c>
      <c r="P17" s="721">
        <f t="shared" si="13"/>
        <v>39.012</v>
      </c>
      <c r="Q17" s="721">
        <f t="shared" si="13"/>
        <v>40.003999999999998</v>
      </c>
      <c r="R17" s="721">
        <f t="shared" si="13"/>
        <v>40.366</v>
      </c>
      <c r="S17" s="721">
        <f t="shared" si="13"/>
        <v>39.216999999999999</v>
      </c>
      <c r="T17" s="721">
        <f t="shared" si="13"/>
        <v>40.262</v>
      </c>
      <c r="U17" s="721">
        <f t="shared" si="13"/>
        <v>40.31</v>
      </c>
      <c r="V17" s="721">
        <f t="shared" si="13"/>
        <v>39.709000000000003</v>
      </c>
      <c r="W17" s="721">
        <f t="shared" si="13"/>
        <v>40.692999999999998</v>
      </c>
      <c r="X17" s="721">
        <f t="shared" si="13"/>
        <v>42.972000000000001</v>
      </c>
      <c r="Y17" s="721">
        <f t="shared" si="13"/>
        <v>38.369</v>
      </c>
      <c r="Z17" s="721">
        <f t="shared" si="13"/>
        <v>39.170999999999999</v>
      </c>
      <c r="AA17" s="721">
        <f t="shared" si="13"/>
        <v>40.359000000000002</v>
      </c>
      <c r="AB17" s="721">
        <f t="shared" si="13"/>
        <v>44.034999999999997</v>
      </c>
      <c r="AC17" s="721">
        <f t="shared" si="13"/>
        <v>40.661000000000001</v>
      </c>
      <c r="AD17" s="721">
        <f t="shared" si="13"/>
        <v>42.5</v>
      </c>
      <c r="AF17" s="716"/>
      <c r="AG17" s="716"/>
      <c r="AH17" s="716"/>
      <c r="AI17" s="716"/>
      <c r="AJ17" s="716"/>
      <c r="AK17" s="716"/>
      <c r="AL17" s="716"/>
      <c r="AM17" s="716"/>
      <c r="AN17" s="716"/>
      <c r="AO17" s="716"/>
      <c r="AP17" s="716"/>
      <c r="AQ17" s="716"/>
      <c r="AR17" s="716"/>
      <c r="AS17" s="716"/>
      <c r="AT17" s="716"/>
      <c r="AU17" s="716"/>
      <c r="AV17" s="716"/>
      <c r="AW17" s="716"/>
      <c r="AX17" s="716"/>
      <c r="AY17" s="716"/>
      <c r="AZ17" s="716"/>
      <c r="BA17" s="716"/>
      <c r="BB17" s="716"/>
      <c r="BC17" s="716"/>
      <c r="BD17" s="716"/>
      <c r="BE17" s="716"/>
      <c r="BF17" s="716"/>
      <c r="BG17" s="716"/>
      <c r="BH17" s="716"/>
      <c r="BI17" s="716"/>
      <c r="BJ17" s="716"/>
      <c r="BK17" s="716"/>
      <c r="BL17" s="716"/>
      <c r="BM17" s="716"/>
    </row>
    <row r="18" spans="2:65">
      <c r="B18" s="716" t="str">
        <f>Commodities!K25</f>
        <v>T-TAX-HEV_GSL00</v>
      </c>
      <c r="C18" s="459" t="s">
        <v>792</v>
      </c>
      <c r="D18" s="721">
        <f t="shared" si="2"/>
        <v>41.210999999999999</v>
      </c>
      <c r="E18" s="721">
        <f t="shared" si="13"/>
        <v>46.207999999999998</v>
      </c>
      <c r="F18" s="721">
        <f t="shared" ref="F18" si="15">F84</f>
        <v>40.334000000000003</v>
      </c>
      <c r="G18" s="721">
        <f t="shared" si="13"/>
        <v>46.970999999999997</v>
      </c>
      <c r="H18" s="721">
        <f t="shared" si="13"/>
        <v>42.451000000000001</v>
      </c>
      <c r="I18" s="721">
        <f t="shared" si="13"/>
        <v>40.606000000000002</v>
      </c>
      <c r="J18" s="721">
        <f t="shared" si="13"/>
        <v>0</v>
      </c>
      <c r="K18" s="721">
        <f t="shared" si="13"/>
        <v>42.247</v>
      </c>
      <c r="L18" s="721">
        <f t="shared" si="13"/>
        <v>47.298000000000002</v>
      </c>
      <c r="M18" s="721">
        <f t="shared" si="13"/>
        <v>39.761000000000003</v>
      </c>
      <c r="N18" s="721">
        <f t="shared" si="13"/>
        <v>49.19</v>
      </c>
      <c r="O18" s="721">
        <f t="shared" si="13"/>
        <v>41.015000000000001</v>
      </c>
      <c r="P18" s="721">
        <f t="shared" si="13"/>
        <v>39.994999999999997</v>
      </c>
      <c r="Q18" s="721">
        <f t="shared" si="13"/>
        <v>37.396999999999998</v>
      </c>
      <c r="R18" s="721">
        <f t="shared" si="13"/>
        <v>45.326999999999998</v>
      </c>
      <c r="S18" s="721">
        <f t="shared" si="13"/>
        <v>35.898000000000003</v>
      </c>
      <c r="T18" s="721">
        <f t="shared" si="13"/>
        <v>45.386000000000003</v>
      </c>
      <c r="U18" s="721">
        <f t="shared" si="13"/>
        <v>38.015000000000001</v>
      </c>
      <c r="V18" s="721">
        <f t="shared" si="13"/>
        <v>60.183999999999997</v>
      </c>
      <c r="W18" s="721">
        <f t="shared" si="13"/>
        <v>40.619999999999997</v>
      </c>
      <c r="X18" s="721">
        <f t="shared" si="13"/>
        <v>0</v>
      </c>
      <c r="Y18" s="721">
        <f t="shared" si="13"/>
        <v>54.843000000000004</v>
      </c>
      <c r="Z18" s="721">
        <f t="shared" si="13"/>
        <v>0</v>
      </c>
      <c r="AA18" s="721">
        <f t="shared" si="13"/>
        <v>25.759</v>
      </c>
      <c r="AB18" s="721">
        <f t="shared" si="13"/>
        <v>42.872999999999998</v>
      </c>
      <c r="AC18" s="721">
        <f t="shared" si="13"/>
        <v>59.003999999999998</v>
      </c>
      <c r="AD18" s="721">
        <f t="shared" si="13"/>
        <v>0</v>
      </c>
      <c r="AF18" s="716"/>
      <c r="AG18" s="716"/>
      <c r="AH18" s="716"/>
      <c r="AI18" s="716"/>
      <c r="AJ18" s="716"/>
      <c r="AK18" s="716"/>
      <c r="AL18" s="716"/>
      <c r="AM18" s="716"/>
      <c r="AN18" s="716"/>
      <c r="AO18" s="716"/>
      <c r="AP18" s="716"/>
      <c r="AQ18" s="716"/>
      <c r="AR18" s="716"/>
      <c r="AS18" s="716"/>
      <c r="AT18" s="716"/>
      <c r="AU18" s="716"/>
      <c r="AV18" s="716"/>
      <c r="AW18" s="716"/>
      <c r="AX18" s="716"/>
      <c r="AY18" s="716"/>
      <c r="AZ18" s="716"/>
      <c r="BA18" s="716"/>
      <c r="BB18" s="716"/>
      <c r="BC18" s="716"/>
      <c r="BD18" s="716"/>
      <c r="BE18" s="716"/>
      <c r="BF18" s="716"/>
      <c r="BG18" s="716"/>
      <c r="BH18" s="716"/>
      <c r="BI18" s="716"/>
      <c r="BJ18" s="716"/>
      <c r="BK18" s="716"/>
      <c r="BL18" s="716"/>
      <c r="BM18" s="716"/>
    </row>
    <row r="19" spans="2:65">
      <c r="B19" s="716" t="str">
        <f>Commodities!K27</f>
        <v>T-BUS-ICE_DST00</v>
      </c>
      <c r="C19" s="459" t="s">
        <v>792</v>
      </c>
      <c r="D19" s="721">
        <f t="shared" si="2"/>
        <v>36.094999999999999</v>
      </c>
      <c r="E19" s="721">
        <f t="shared" si="13"/>
        <v>29.084</v>
      </c>
      <c r="F19" s="721">
        <f t="shared" ref="F19" si="16">F85</f>
        <v>42.320999999999998</v>
      </c>
      <c r="G19" s="721">
        <f t="shared" si="13"/>
        <v>33.158999999999999</v>
      </c>
      <c r="H19" s="721">
        <f t="shared" si="13"/>
        <v>36.375999999999998</v>
      </c>
      <c r="I19" s="721">
        <f t="shared" si="13"/>
        <v>27.684999999999999</v>
      </c>
      <c r="J19" s="721">
        <f t="shared" si="13"/>
        <v>29.504999999999999</v>
      </c>
      <c r="K19" s="721">
        <f t="shared" si="13"/>
        <v>36.526000000000003</v>
      </c>
      <c r="L19" s="721">
        <f t="shared" si="13"/>
        <v>29.387</v>
      </c>
      <c r="M19" s="721">
        <f t="shared" si="13"/>
        <v>31.809000000000001</v>
      </c>
      <c r="N19" s="721">
        <f t="shared" si="13"/>
        <v>32.343000000000004</v>
      </c>
      <c r="O19" s="721">
        <f t="shared" si="13"/>
        <v>33.917999999999999</v>
      </c>
      <c r="P19" s="721">
        <f t="shared" si="13"/>
        <v>35.256999999999998</v>
      </c>
      <c r="Q19" s="721">
        <f t="shared" si="13"/>
        <v>30.913</v>
      </c>
      <c r="R19" s="721">
        <f t="shared" si="13"/>
        <v>32.386000000000003</v>
      </c>
      <c r="S19" s="721">
        <f t="shared" si="13"/>
        <v>35.008000000000003</v>
      </c>
      <c r="T19" s="721">
        <f t="shared" si="13"/>
        <v>34.691000000000003</v>
      </c>
      <c r="U19" s="721">
        <f t="shared" si="13"/>
        <v>32.432000000000002</v>
      </c>
      <c r="V19" s="721">
        <f t="shared" si="13"/>
        <v>31.053999999999998</v>
      </c>
      <c r="W19" s="721">
        <f t="shared" si="13"/>
        <v>35.097999999999999</v>
      </c>
      <c r="X19" s="721">
        <f t="shared" si="13"/>
        <v>22.18</v>
      </c>
      <c r="Y19" s="721">
        <f t="shared" si="13"/>
        <v>37.491999999999997</v>
      </c>
      <c r="Z19" s="721">
        <f t="shared" si="13"/>
        <v>31.65</v>
      </c>
      <c r="AA19" s="721">
        <f t="shared" si="13"/>
        <v>34.908000000000001</v>
      </c>
      <c r="AB19" s="721">
        <f t="shared" si="13"/>
        <v>39.076999999999998</v>
      </c>
      <c r="AC19" s="721">
        <f t="shared" si="13"/>
        <v>32.835999999999999</v>
      </c>
      <c r="AD19" s="721">
        <f t="shared" si="13"/>
        <v>45.258000000000003</v>
      </c>
      <c r="AF19" s="716"/>
      <c r="AG19" s="716"/>
      <c r="AH19" s="716"/>
      <c r="AI19" s="716"/>
      <c r="AJ19" s="716"/>
      <c r="AK19" s="716"/>
      <c r="AL19" s="716"/>
      <c r="AM19" s="716"/>
      <c r="AN19" s="716"/>
      <c r="AO19" s="716"/>
      <c r="AP19" s="716"/>
      <c r="AQ19" s="716"/>
      <c r="AR19" s="716"/>
      <c r="AS19" s="716"/>
      <c r="AT19" s="716"/>
      <c r="AU19" s="716"/>
      <c r="AV19" s="716"/>
      <c r="AW19" s="716"/>
      <c r="AX19" s="716"/>
      <c r="AY19" s="716"/>
      <c r="AZ19" s="716"/>
      <c r="BA19" s="716"/>
      <c r="BB19" s="716"/>
      <c r="BC19" s="716"/>
      <c r="BD19" s="716"/>
      <c r="BE19" s="716"/>
      <c r="BF19" s="716"/>
      <c r="BG19" s="716"/>
      <c r="BH19" s="716"/>
      <c r="BI19" s="716"/>
      <c r="BJ19" s="716"/>
      <c r="BK19" s="716"/>
      <c r="BL19" s="716"/>
      <c r="BM19" s="716"/>
    </row>
    <row r="20" spans="2:65">
      <c r="B20" s="716" t="str">
        <f>Commodities!K29</f>
        <v>T-LPT-EV_ELC00</v>
      </c>
      <c r="C20" s="459" t="s">
        <v>792</v>
      </c>
      <c r="D20" s="721">
        <f t="shared" si="2"/>
        <v>55.691000000000003</v>
      </c>
      <c r="E20" s="721">
        <f t="shared" si="13"/>
        <v>55.691000000000003</v>
      </c>
      <c r="F20" s="721">
        <f t="shared" ref="F20" si="17">F86</f>
        <v>55.691000000000003</v>
      </c>
      <c r="G20" s="721">
        <f t="shared" si="13"/>
        <v>55.691000000000003</v>
      </c>
      <c r="H20" s="721">
        <f t="shared" si="13"/>
        <v>55.691000000000003</v>
      </c>
      <c r="I20" s="721">
        <f t="shared" si="13"/>
        <v>55.691000000000003</v>
      </c>
      <c r="J20" s="721">
        <f t="shared" si="13"/>
        <v>55.691000000000003</v>
      </c>
      <c r="K20" s="721">
        <f t="shared" si="13"/>
        <v>55.691000000000003</v>
      </c>
      <c r="L20" s="721">
        <f t="shared" si="13"/>
        <v>55.691000000000003</v>
      </c>
      <c r="M20" s="721">
        <f t="shared" si="13"/>
        <v>55.691000000000003</v>
      </c>
      <c r="N20" s="721">
        <f t="shared" si="13"/>
        <v>55.691000000000003</v>
      </c>
      <c r="O20" s="721">
        <f t="shared" si="13"/>
        <v>55.691000000000003</v>
      </c>
      <c r="P20" s="721">
        <f t="shared" si="13"/>
        <v>55.691000000000003</v>
      </c>
      <c r="Q20" s="721">
        <f t="shared" si="13"/>
        <v>55.691000000000003</v>
      </c>
      <c r="R20" s="721">
        <f t="shared" si="13"/>
        <v>55.691000000000003</v>
      </c>
      <c r="S20" s="721">
        <f t="shared" si="13"/>
        <v>55.691000000000003</v>
      </c>
      <c r="T20" s="721">
        <f t="shared" si="13"/>
        <v>55.691000000000003</v>
      </c>
      <c r="U20" s="721">
        <f t="shared" si="13"/>
        <v>55.691000000000003</v>
      </c>
      <c r="V20" s="721">
        <f t="shared" si="13"/>
        <v>55.691000000000003</v>
      </c>
      <c r="W20" s="721">
        <f t="shared" si="13"/>
        <v>55.691000000000003</v>
      </c>
      <c r="X20" s="721">
        <f t="shared" si="13"/>
        <v>55.691000000000003</v>
      </c>
      <c r="Y20" s="721">
        <f t="shared" si="13"/>
        <v>55.691000000000003</v>
      </c>
      <c r="Z20" s="721">
        <f t="shared" si="13"/>
        <v>55.691000000000003</v>
      </c>
      <c r="AA20" s="721">
        <f t="shared" si="13"/>
        <v>55.691000000000003</v>
      </c>
      <c r="AB20" s="721">
        <f t="shared" si="13"/>
        <v>55.691000000000003</v>
      </c>
      <c r="AC20" s="721">
        <f t="shared" si="13"/>
        <v>55.691000000000003</v>
      </c>
      <c r="AD20" s="721">
        <f t="shared" si="13"/>
        <v>55.691000000000003</v>
      </c>
      <c r="AF20" s="716"/>
      <c r="AG20" s="716"/>
      <c r="AH20" s="716"/>
      <c r="AI20" s="716"/>
      <c r="AJ20" s="716"/>
      <c r="AK20" s="716"/>
      <c r="AL20" s="716"/>
      <c r="AM20" s="716"/>
      <c r="AN20" s="716"/>
      <c r="AO20" s="716"/>
      <c r="AP20" s="716"/>
      <c r="AQ20" s="716"/>
      <c r="AR20" s="716"/>
      <c r="AS20" s="716"/>
      <c r="AT20" s="716"/>
      <c r="AU20" s="716"/>
      <c r="AV20" s="716"/>
      <c r="AW20" s="716"/>
      <c r="AX20" s="716"/>
      <c r="AY20" s="716"/>
      <c r="AZ20" s="716"/>
      <c r="BA20" s="716"/>
      <c r="BB20" s="716"/>
      <c r="BC20" s="716"/>
      <c r="BD20" s="716"/>
      <c r="BE20" s="716"/>
      <c r="BF20" s="716"/>
      <c r="BG20" s="716"/>
      <c r="BH20" s="716"/>
      <c r="BI20" s="716"/>
      <c r="BJ20" s="716"/>
      <c r="BK20" s="716"/>
      <c r="BL20" s="716"/>
      <c r="BM20" s="716"/>
    </row>
    <row r="21" spans="2:65">
      <c r="B21" s="716" t="str">
        <f>Commodities!K30</f>
        <v>T-HPT-EV_ELC00</v>
      </c>
      <c r="C21" s="459" t="s">
        <v>792</v>
      </c>
      <c r="D21" s="721">
        <f t="shared" si="2"/>
        <v>158.476</v>
      </c>
      <c r="E21" s="721">
        <f t="shared" si="13"/>
        <v>158.476</v>
      </c>
      <c r="F21" s="721">
        <f t="shared" ref="F21" si="18">F87</f>
        <v>158.476</v>
      </c>
      <c r="G21" s="721">
        <f t="shared" si="13"/>
        <v>158.476</v>
      </c>
      <c r="H21" s="721">
        <f t="shared" si="13"/>
        <v>158.476</v>
      </c>
      <c r="I21" s="721">
        <f t="shared" si="13"/>
        <v>158.476</v>
      </c>
      <c r="J21" s="721">
        <f t="shared" si="13"/>
        <v>158.476</v>
      </c>
      <c r="K21" s="721">
        <f t="shared" si="13"/>
        <v>158.476</v>
      </c>
      <c r="L21" s="721">
        <f t="shared" si="13"/>
        <v>158.476</v>
      </c>
      <c r="M21" s="721">
        <f t="shared" si="13"/>
        <v>158.476</v>
      </c>
      <c r="N21" s="721">
        <f t="shared" si="13"/>
        <v>158.476</v>
      </c>
      <c r="O21" s="721">
        <f t="shared" si="13"/>
        <v>158.476</v>
      </c>
      <c r="P21" s="721">
        <f t="shared" si="13"/>
        <v>158.476</v>
      </c>
      <c r="Q21" s="721">
        <f t="shared" si="13"/>
        <v>158.476</v>
      </c>
      <c r="R21" s="721">
        <f t="shared" si="13"/>
        <v>158.476</v>
      </c>
      <c r="S21" s="721">
        <f t="shared" si="13"/>
        <v>158.476</v>
      </c>
      <c r="T21" s="721">
        <f t="shared" si="13"/>
        <v>158.476</v>
      </c>
      <c r="U21" s="721">
        <f t="shared" si="13"/>
        <v>158.476</v>
      </c>
      <c r="V21" s="721">
        <f t="shared" si="13"/>
        <v>158.476</v>
      </c>
      <c r="W21" s="721">
        <f t="shared" si="13"/>
        <v>158.476</v>
      </c>
      <c r="X21" s="721">
        <f t="shared" si="13"/>
        <v>158.476</v>
      </c>
      <c r="Y21" s="721">
        <f t="shared" si="13"/>
        <v>158.476</v>
      </c>
      <c r="Z21" s="721">
        <f t="shared" si="13"/>
        <v>158.476</v>
      </c>
      <c r="AA21" s="721">
        <f t="shared" si="13"/>
        <v>158.476</v>
      </c>
      <c r="AB21" s="721">
        <f t="shared" si="13"/>
        <v>158.476</v>
      </c>
      <c r="AC21" s="721">
        <f t="shared" si="13"/>
        <v>158.476</v>
      </c>
      <c r="AD21" s="721">
        <f t="shared" si="13"/>
        <v>158.476</v>
      </c>
      <c r="AF21" s="716"/>
      <c r="AG21" s="716"/>
      <c r="AH21" s="716"/>
      <c r="AI21" s="716"/>
      <c r="AJ21" s="716"/>
      <c r="AK21" s="716"/>
      <c r="AL21" s="716"/>
      <c r="AM21" s="716"/>
      <c r="AN21" s="716"/>
      <c r="AO21" s="716"/>
      <c r="AP21" s="716"/>
      <c r="AQ21" s="716"/>
      <c r="AR21" s="716"/>
      <c r="AS21" s="716"/>
      <c r="AT21" s="716"/>
      <c r="AU21" s="716"/>
      <c r="AV21" s="716"/>
      <c r="AW21" s="716"/>
      <c r="AX21" s="716"/>
      <c r="AY21" s="716"/>
      <c r="AZ21" s="716"/>
      <c r="BA21" s="716"/>
      <c r="BB21" s="716"/>
      <c r="BC21" s="716"/>
      <c r="BD21" s="716"/>
      <c r="BE21" s="716"/>
      <c r="BF21" s="716"/>
      <c r="BG21" s="716"/>
      <c r="BH21" s="716"/>
      <c r="BI21" s="716"/>
      <c r="BJ21" s="716"/>
      <c r="BK21" s="716"/>
      <c r="BL21" s="716"/>
      <c r="BM21" s="716"/>
    </row>
    <row r="22" spans="2:65">
      <c r="B22" s="716" t="str">
        <f>Commodities!K31</f>
        <v>T-HPT-ICE_DST00</v>
      </c>
      <c r="C22" s="459" t="s">
        <v>792</v>
      </c>
      <c r="D22" s="721">
        <f t="shared" si="2"/>
        <v>73.884</v>
      </c>
      <c r="E22" s="721">
        <f>E88</f>
        <v>73.884</v>
      </c>
      <c r="F22" s="721">
        <f>F88</f>
        <v>73.884</v>
      </c>
      <c r="G22" s="721">
        <f t="shared" si="13"/>
        <v>73.884</v>
      </c>
      <c r="H22" s="721">
        <f t="shared" si="13"/>
        <v>73.884</v>
      </c>
      <c r="I22" s="721">
        <f t="shared" si="13"/>
        <v>73.884</v>
      </c>
      <c r="J22" s="721">
        <f t="shared" si="13"/>
        <v>73.884</v>
      </c>
      <c r="K22" s="721">
        <f t="shared" si="13"/>
        <v>73.884</v>
      </c>
      <c r="L22" s="721">
        <f t="shared" si="13"/>
        <v>73.884</v>
      </c>
      <c r="M22" s="721">
        <f t="shared" si="13"/>
        <v>73.884</v>
      </c>
      <c r="N22" s="721">
        <f t="shared" si="13"/>
        <v>73.884</v>
      </c>
      <c r="O22" s="721">
        <f t="shared" si="13"/>
        <v>73.884</v>
      </c>
      <c r="P22" s="721">
        <f t="shared" si="13"/>
        <v>73.884</v>
      </c>
      <c r="Q22" s="721">
        <f t="shared" si="13"/>
        <v>73.884</v>
      </c>
      <c r="R22" s="721">
        <f t="shared" si="13"/>
        <v>73.884</v>
      </c>
      <c r="S22" s="721">
        <f t="shared" si="13"/>
        <v>73.884</v>
      </c>
      <c r="T22" s="721">
        <f t="shared" si="13"/>
        <v>73.884</v>
      </c>
      <c r="U22" s="721">
        <f t="shared" si="13"/>
        <v>73.884</v>
      </c>
      <c r="V22" s="721">
        <f t="shared" si="13"/>
        <v>73.884</v>
      </c>
      <c r="W22" s="721">
        <f t="shared" si="13"/>
        <v>73.884</v>
      </c>
      <c r="X22" s="721">
        <f t="shared" si="13"/>
        <v>73.884</v>
      </c>
      <c r="Y22" s="721">
        <f t="shared" si="13"/>
        <v>73.884</v>
      </c>
      <c r="Z22" s="721">
        <f t="shared" si="13"/>
        <v>73.884</v>
      </c>
      <c r="AA22" s="721">
        <f t="shared" si="13"/>
        <v>73.884</v>
      </c>
      <c r="AB22" s="721">
        <f t="shared" si="13"/>
        <v>73.884</v>
      </c>
      <c r="AC22" s="721">
        <f t="shared" si="13"/>
        <v>73.884</v>
      </c>
      <c r="AD22" s="721">
        <f t="shared" si="13"/>
        <v>73.884</v>
      </c>
      <c r="AF22" s="716"/>
      <c r="AG22" s="716"/>
      <c r="AH22" s="716"/>
      <c r="AI22" s="716"/>
      <c r="AJ22" s="716"/>
      <c r="AK22" s="716"/>
      <c r="AL22" s="716"/>
      <c r="AM22" s="716"/>
      <c r="AN22" s="716"/>
      <c r="AO22" s="716"/>
      <c r="AP22" s="716"/>
      <c r="AQ22" s="716"/>
      <c r="AR22" s="716"/>
      <c r="AS22" s="716"/>
      <c r="AT22" s="716"/>
      <c r="AU22" s="716"/>
      <c r="AV22" s="716"/>
      <c r="AW22" s="716"/>
      <c r="AX22" s="716"/>
      <c r="AY22" s="716"/>
      <c r="AZ22" s="716"/>
      <c r="BA22" s="716"/>
      <c r="BB22" s="716"/>
      <c r="BC22" s="716"/>
      <c r="BD22" s="716"/>
      <c r="BE22" s="716"/>
      <c r="BF22" s="716"/>
      <c r="BG22" s="716"/>
      <c r="BH22" s="716"/>
      <c r="BI22" s="716"/>
      <c r="BJ22" s="716"/>
      <c r="BK22" s="716"/>
      <c r="BL22" s="716"/>
      <c r="BM22" s="716"/>
    </row>
    <row r="23" spans="2:65">
      <c r="B23" s="716" t="str">
        <f>Commodities!K34</f>
        <v>T-LGT-ICE_GSL00</v>
      </c>
      <c r="C23" s="459" t="s">
        <v>792</v>
      </c>
      <c r="D23" s="721">
        <f t="shared" ref="D23:AD23" si="19">D89</f>
        <v>16.637</v>
      </c>
      <c r="E23" s="721">
        <f t="shared" si="19"/>
        <v>18.2</v>
      </c>
      <c r="F23" s="721">
        <f t="shared" si="19"/>
        <v>17.184999999999999</v>
      </c>
      <c r="G23" s="721">
        <f t="shared" si="19"/>
        <v>18.103999999999999</v>
      </c>
      <c r="H23" s="721">
        <f t="shared" si="19"/>
        <v>13.529</v>
      </c>
      <c r="I23" s="721">
        <f t="shared" si="19"/>
        <v>14.763999999999999</v>
      </c>
      <c r="J23" s="721">
        <f t="shared" si="19"/>
        <v>16.236000000000001</v>
      </c>
      <c r="K23" s="721">
        <f t="shared" si="19"/>
        <v>20.882999999999999</v>
      </c>
      <c r="L23" s="721">
        <f t="shared" si="19"/>
        <v>16.834</v>
      </c>
      <c r="M23" s="721">
        <f t="shared" si="19"/>
        <v>18.277000000000001</v>
      </c>
      <c r="N23" s="721">
        <f t="shared" si="19"/>
        <v>17.556999999999999</v>
      </c>
      <c r="O23" s="721">
        <f t="shared" si="19"/>
        <v>18.234000000000002</v>
      </c>
      <c r="P23" s="721">
        <f t="shared" si="19"/>
        <v>13.991</v>
      </c>
      <c r="Q23" s="721">
        <f t="shared" si="19"/>
        <v>16.218</v>
      </c>
      <c r="R23" s="721">
        <f t="shared" si="19"/>
        <v>15.417999999999999</v>
      </c>
      <c r="S23" s="721">
        <f t="shared" si="19"/>
        <v>16.893000000000001</v>
      </c>
      <c r="T23" s="721">
        <f t="shared" si="19"/>
        <v>21.984999999999999</v>
      </c>
      <c r="U23" s="721">
        <f t="shared" si="19"/>
        <v>17.042999999999999</v>
      </c>
      <c r="V23" s="721">
        <f t="shared" si="19"/>
        <v>15.646000000000001</v>
      </c>
      <c r="W23" s="721">
        <f t="shared" si="19"/>
        <v>15.837999999999999</v>
      </c>
      <c r="X23" s="721">
        <f t="shared" si="19"/>
        <v>17.187999999999999</v>
      </c>
      <c r="Y23" s="721">
        <f t="shared" si="19"/>
        <v>15.44</v>
      </c>
      <c r="Z23" s="721">
        <f t="shared" si="19"/>
        <v>19.148</v>
      </c>
      <c r="AA23" s="721">
        <f t="shared" si="19"/>
        <v>17.276</v>
      </c>
      <c r="AB23" s="721">
        <f t="shared" si="19"/>
        <v>15.121</v>
      </c>
      <c r="AC23" s="721">
        <f t="shared" si="19"/>
        <v>16.215</v>
      </c>
      <c r="AD23" s="721">
        <f t="shared" si="19"/>
        <v>18.088000000000001</v>
      </c>
      <c r="AF23" s="716"/>
      <c r="AG23" s="716"/>
      <c r="AH23" s="716"/>
      <c r="AI23" s="716"/>
      <c r="AJ23" s="716"/>
      <c r="AK23" s="716"/>
      <c r="AL23" s="716"/>
      <c r="AM23" s="716"/>
      <c r="AN23" s="716"/>
      <c r="AO23" s="716"/>
      <c r="AP23" s="716"/>
      <c r="AQ23" s="716"/>
      <c r="AR23" s="716"/>
      <c r="AS23" s="716"/>
      <c r="AT23" s="716"/>
      <c r="AU23" s="716"/>
      <c r="AV23" s="716"/>
      <c r="AW23" s="716"/>
      <c r="AX23" s="716"/>
      <c r="AY23" s="716"/>
      <c r="AZ23" s="716"/>
      <c r="BA23" s="716"/>
      <c r="BB23" s="716"/>
      <c r="BC23" s="716"/>
      <c r="BD23" s="716"/>
      <c r="BE23" s="716"/>
      <c r="BF23" s="716"/>
      <c r="BG23" s="716"/>
      <c r="BH23" s="716"/>
      <c r="BI23" s="716"/>
      <c r="BJ23" s="716"/>
      <c r="BK23" s="716"/>
      <c r="BL23" s="716"/>
      <c r="BM23" s="716"/>
    </row>
    <row r="24" spans="2:65">
      <c r="B24" s="459" t="str">
        <f>Commodities!K35</f>
        <v>T-HGT-ICE_DST00</v>
      </c>
      <c r="C24" s="459" t="s">
        <v>792</v>
      </c>
      <c r="D24" s="721">
        <f t="shared" ref="D24:AD24" si="20">D90</f>
        <v>22.277000000000001</v>
      </c>
      <c r="E24" s="721">
        <f t="shared" si="20"/>
        <v>22.292000000000002</v>
      </c>
      <c r="F24" s="721">
        <f t="shared" si="20"/>
        <v>23.773</v>
      </c>
      <c r="G24" s="721">
        <f t="shared" si="20"/>
        <v>23.483000000000001</v>
      </c>
      <c r="H24" s="721">
        <f t="shared" si="20"/>
        <v>23.015000000000001</v>
      </c>
      <c r="I24" s="721">
        <f t="shared" si="20"/>
        <v>23.285</v>
      </c>
      <c r="J24" s="721">
        <f t="shared" si="20"/>
        <v>22.283999999999999</v>
      </c>
      <c r="K24" s="721">
        <f t="shared" si="20"/>
        <v>23.105</v>
      </c>
      <c r="L24" s="721">
        <f t="shared" si="20"/>
        <v>24.164000000000001</v>
      </c>
      <c r="M24" s="721">
        <f t="shared" si="20"/>
        <v>21.367999999999999</v>
      </c>
      <c r="N24" s="721">
        <f t="shared" si="20"/>
        <v>21.434999999999999</v>
      </c>
      <c r="O24" s="721">
        <f t="shared" si="20"/>
        <v>23.907</v>
      </c>
      <c r="P24" s="721">
        <f t="shared" si="20"/>
        <v>21.22</v>
      </c>
      <c r="Q24" s="721">
        <f t="shared" si="20"/>
        <v>20.978000000000002</v>
      </c>
      <c r="R24" s="721">
        <f t="shared" si="20"/>
        <v>21.184999999999999</v>
      </c>
      <c r="S24" s="721">
        <f t="shared" si="20"/>
        <v>20.532</v>
      </c>
      <c r="T24" s="721">
        <f t="shared" si="20"/>
        <v>23.594000000000001</v>
      </c>
      <c r="U24" s="721">
        <f t="shared" si="20"/>
        <v>21.67</v>
      </c>
      <c r="V24" s="721">
        <f t="shared" si="20"/>
        <v>19.98</v>
      </c>
      <c r="W24" s="721">
        <f t="shared" si="20"/>
        <v>21.087</v>
      </c>
      <c r="X24" s="721">
        <f t="shared" si="20"/>
        <v>20.648</v>
      </c>
      <c r="Y24" s="721">
        <f t="shared" si="20"/>
        <v>20.27</v>
      </c>
      <c r="Z24" s="721">
        <f t="shared" si="20"/>
        <v>21.571000000000002</v>
      </c>
      <c r="AA24" s="721">
        <f t="shared" si="20"/>
        <v>20.076000000000001</v>
      </c>
      <c r="AB24" s="721">
        <f t="shared" si="20"/>
        <v>22.175999999999998</v>
      </c>
      <c r="AC24" s="721">
        <f t="shared" si="20"/>
        <v>19.757999999999999</v>
      </c>
      <c r="AD24" s="721">
        <f t="shared" si="20"/>
        <v>25.042999999999999</v>
      </c>
      <c r="AF24" s="716"/>
      <c r="AG24" s="716"/>
      <c r="AH24" s="716"/>
      <c r="AI24" s="716"/>
      <c r="AJ24" s="716"/>
      <c r="AK24" s="716"/>
      <c r="AL24" s="716"/>
      <c r="AM24" s="716"/>
      <c r="AN24" s="716"/>
      <c r="AO24" s="716"/>
      <c r="AP24" s="716"/>
      <c r="AQ24" s="716"/>
      <c r="AR24" s="716"/>
      <c r="AS24" s="716"/>
      <c r="AT24" s="716"/>
      <c r="AU24" s="716"/>
      <c r="AV24" s="716"/>
      <c r="AW24" s="716"/>
      <c r="AX24" s="716"/>
      <c r="AY24" s="716"/>
      <c r="AZ24" s="716"/>
      <c r="BA24" s="716"/>
      <c r="BB24" s="716"/>
      <c r="BC24" s="716"/>
      <c r="BD24" s="716"/>
      <c r="BE24" s="716"/>
      <c r="BF24" s="716"/>
      <c r="BG24" s="716"/>
      <c r="BH24" s="716"/>
      <c r="BI24" s="716"/>
      <c r="BJ24" s="716"/>
      <c r="BK24" s="716"/>
      <c r="BL24" s="716"/>
      <c r="BM24" s="716"/>
    </row>
    <row r="25" spans="2:65">
      <c r="B25" s="458" t="str">
        <f>Commodities!K36</f>
        <v>T-GTR-ICE_DST00</v>
      </c>
      <c r="C25" s="458" t="s">
        <v>792</v>
      </c>
      <c r="D25" s="723">
        <f t="shared" ref="D25:AD25" si="21">D91</f>
        <v>39.363999999999997</v>
      </c>
      <c r="E25" s="723">
        <f t="shared" si="21"/>
        <v>39.363999999999997</v>
      </c>
      <c r="F25" s="723">
        <f t="shared" si="21"/>
        <v>39.363999999999997</v>
      </c>
      <c r="G25" s="723">
        <f t="shared" si="21"/>
        <v>39.363999999999997</v>
      </c>
      <c r="H25" s="723">
        <f t="shared" si="21"/>
        <v>39.363999999999997</v>
      </c>
      <c r="I25" s="723">
        <f t="shared" si="21"/>
        <v>39.363999999999997</v>
      </c>
      <c r="J25" s="723">
        <f t="shared" si="21"/>
        <v>39.363999999999997</v>
      </c>
      <c r="K25" s="723">
        <f t="shared" si="21"/>
        <v>39.363999999999997</v>
      </c>
      <c r="L25" s="723">
        <f t="shared" si="21"/>
        <v>39.363999999999997</v>
      </c>
      <c r="M25" s="723">
        <f t="shared" si="21"/>
        <v>39.363999999999997</v>
      </c>
      <c r="N25" s="723">
        <f t="shared" si="21"/>
        <v>39.363999999999997</v>
      </c>
      <c r="O25" s="723">
        <f t="shared" si="21"/>
        <v>39.363999999999997</v>
      </c>
      <c r="P25" s="723">
        <f t="shared" si="21"/>
        <v>39.363999999999997</v>
      </c>
      <c r="Q25" s="723">
        <f t="shared" si="21"/>
        <v>39.363999999999997</v>
      </c>
      <c r="R25" s="723">
        <f t="shared" si="21"/>
        <v>39.363999999999997</v>
      </c>
      <c r="S25" s="723">
        <f t="shared" si="21"/>
        <v>39.363999999999997</v>
      </c>
      <c r="T25" s="723">
        <f t="shared" si="21"/>
        <v>39.363999999999997</v>
      </c>
      <c r="U25" s="723">
        <f t="shared" si="21"/>
        <v>39.363999999999997</v>
      </c>
      <c r="V25" s="723">
        <f t="shared" si="21"/>
        <v>39.363999999999997</v>
      </c>
      <c r="W25" s="723">
        <f t="shared" si="21"/>
        <v>39.363999999999997</v>
      </c>
      <c r="X25" s="723">
        <f t="shared" si="21"/>
        <v>39.363999999999997</v>
      </c>
      <c r="Y25" s="723">
        <f t="shared" si="21"/>
        <v>39.363999999999997</v>
      </c>
      <c r="Z25" s="723">
        <f t="shared" si="21"/>
        <v>39.363999999999997</v>
      </c>
      <c r="AA25" s="723">
        <f t="shared" si="21"/>
        <v>39.363999999999997</v>
      </c>
      <c r="AB25" s="723">
        <f t="shared" si="21"/>
        <v>39.363999999999997</v>
      </c>
      <c r="AC25" s="723">
        <f t="shared" si="21"/>
        <v>39.363999999999997</v>
      </c>
      <c r="AD25" s="723">
        <f t="shared" si="21"/>
        <v>39.363999999999997</v>
      </c>
      <c r="AF25" s="716"/>
      <c r="AG25" s="716"/>
      <c r="AH25" s="716"/>
      <c r="AI25" s="716"/>
      <c r="AJ25" s="716"/>
      <c r="AK25" s="716"/>
      <c r="AL25" s="716"/>
      <c r="AM25" s="716"/>
      <c r="AN25" s="716"/>
      <c r="AO25" s="716"/>
      <c r="AP25" s="716"/>
      <c r="AQ25" s="716"/>
      <c r="AR25" s="716"/>
      <c r="AS25" s="716"/>
      <c r="AT25" s="716"/>
      <c r="AU25" s="716"/>
      <c r="AV25" s="716"/>
      <c r="AW25" s="716"/>
      <c r="AX25" s="716"/>
      <c r="AY25" s="716"/>
      <c r="AZ25" s="716"/>
      <c r="BA25" s="716"/>
      <c r="BB25" s="716"/>
      <c r="BC25" s="716"/>
      <c r="BD25" s="716"/>
      <c r="BE25" s="716"/>
      <c r="BF25" s="716"/>
      <c r="BG25" s="716"/>
      <c r="BH25" s="716"/>
      <c r="BI25" s="716"/>
      <c r="BJ25" s="716"/>
      <c r="BK25" s="716"/>
      <c r="BL25" s="716"/>
      <c r="BM25" s="716"/>
    </row>
    <row r="26" spans="2:65" s="716" customFormat="1">
      <c r="D26" s="652"/>
      <c r="E26" s="652"/>
      <c r="F26" s="652"/>
      <c r="G26" s="652"/>
      <c r="H26" s="652"/>
      <c r="I26" s="652"/>
      <c r="J26" s="652"/>
      <c r="K26" s="652"/>
      <c r="L26" s="652"/>
      <c r="M26" s="652"/>
      <c r="N26" s="652"/>
      <c r="O26" s="652"/>
      <c r="P26" s="652"/>
      <c r="Q26" s="652"/>
      <c r="R26" s="652"/>
      <c r="S26" s="652"/>
      <c r="T26" s="652"/>
      <c r="U26" s="652"/>
      <c r="V26" s="652"/>
      <c r="W26" s="652"/>
      <c r="X26" s="652"/>
      <c r="Y26" s="652"/>
      <c r="Z26" s="652"/>
      <c r="AA26" s="652"/>
      <c r="AB26" s="652"/>
      <c r="AC26" s="652"/>
      <c r="AD26" s="652"/>
    </row>
    <row r="27" spans="2:65" s="716" customFormat="1">
      <c r="D27" s="652"/>
      <c r="E27" s="652"/>
      <c r="F27" s="652"/>
      <c r="G27" s="652"/>
      <c r="H27" s="652"/>
      <c r="I27" s="652"/>
      <c r="J27" s="652"/>
      <c r="K27" s="652"/>
      <c r="L27" s="652"/>
      <c r="M27" s="652"/>
      <c r="N27" s="652"/>
      <c r="O27" s="652"/>
      <c r="P27" s="652"/>
      <c r="Q27" s="652"/>
      <c r="R27" s="652"/>
      <c r="S27" s="652"/>
      <c r="T27" s="652"/>
      <c r="U27" s="652"/>
      <c r="V27" s="652"/>
      <c r="W27" s="652"/>
      <c r="X27" s="652"/>
      <c r="Y27" s="652"/>
      <c r="Z27" s="652"/>
      <c r="AA27" s="652"/>
      <c r="AB27" s="652"/>
      <c r="AC27" s="652"/>
      <c r="AD27" s="652"/>
    </row>
    <row r="28" spans="2:65" s="716" customFormat="1"/>
    <row r="29" spans="2:65">
      <c r="B29" s="716"/>
      <c r="C29" s="1"/>
      <c r="D29" s="716"/>
      <c r="E29" s="716"/>
      <c r="F29" s="716"/>
      <c r="G29" s="716"/>
      <c r="H29" s="716"/>
      <c r="I29" s="716"/>
      <c r="J29" s="716"/>
      <c r="K29" s="459"/>
      <c r="L29" s="459"/>
      <c r="M29" s="459"/>
      <c r="N29" s="459"/>
      <c r="O29" s="459"/>
      <c r="P29" s="459"/>
      <c r="Q29" s="459"/>
      <c r="AF29" s="716"/>
      <c r="AG29" s="716"/>
      <c r="AH29" s="716"/>
      <c r="AI29" s="716"/>
      <c r="AJ29" s="716"/>
      <c r="AK29" s="716"/>
      <c r="AL29" s="716"/>
      <c r="AM29" s="716"/>
      <c r="AN29" s="716"/>
      <c r="AO29" s="716"/>
      <c r="AP29" s="716"/>
      <c r="AQ29" s="716"/>
      <c r="AR29" s="716"/>
      <c r="AS29" s="716"/>
      <c r="AT29" s="716"/>
      <c r="AU29" s="716"/>
      <c r="AV29" s="716"/>
      <c r="AW29" s="716"/>
      <c r="AX29" s="716"/>
      <c r="AY29" s="716"/>
      <c r="AZ29" s="716"/>
      <c r="BA29" s="716"/>
      <c r="BB29" s="716"/>
      <c r="BC29" s="716"/>
      <c r="BD29" s="716"/>
      <c r="BE29" s="716"/>
      <c r="BF29" s="716"/>
      <c r="BG29" s="716"/>
      <c r="BH29" s="716"/>
      <c r="BI29" s="716"/>
      <c r="BJ29" s="716"/>
      <c r="BK29" s="716"/>
      <c r="BL29" s="716"/>
      <c r="BM29" s="716"/>
    </row>
    <row r="30" spans="2:65" s="716" customFormat="1">
      <c r="C30" s="1"/>
    </row>
    <row r="31" spans="2:65" s="716" customFormat="1">
      <c r="C31" s="1"/>
    </row>
    <row r="32" spans="2:65" s="716" customFormat="1">
      <c r="C32" s="1"/>
    </row>
    <row r="33" spans="2:65" s="716" customFormat="1">
      <c r="C33" s="1"/>
    </row>
    <row r="34" spans="2:65" s="459" customFormat="1">
      <c r="C34" s="461"/>
      <c r="D34" s="716"/>
      <c r="E34" s="716"/>
      <c r="F34" s="716"/>
      <c r="G34" s="716"/>
      <c r="H34" s="716"/>
      <c r="I34" s="716"/>
      <c r="J34" s="716"/>
      <c r="AF34" s="716"/>
      <c r="AG34" s="716"/>
      <c r="AH34" s="716"/>
      <c r="AI34" s="716"/>
      <c r="AJ34" s="716"/>
      <c r="AK34" s="716"/>
      <c r="AL34" s="716"/>
      <c r="AM34" s="716"/>
      <c r="AN34" s="716"/>
      <c r="AO34" s="716"/>
      <c r="AP34" s="716"/>
      <c r="AQ34" s="716"/>
      <c r="AR34" s="716"/>
      <c r="AS34" s="716"/>
      <c r="AT34" s="716"/>
      <c r="AU34" s="716"/>
      <c r="AV34" s="716"/>
      <c r="AW34" s="716"/>
      <c r="AX34" s="716"/>
      <c r="AY34" s="716"/>
      <c r="AZ34" s="716"/>
      <c r="BA34" s="716"/>
      <c r="BB34" s="716"/>
      <c r="BC34" s="716"/>
      <c r="BD34" s="716"/>
      <c r="BE34" s="716"/>
      <c r="BF34" s="716"/>
      <c r="BG34" s="716"/>
      <c r="BH34" s="716"/>
      <c r="BI34" s="716"/>
      <c r="BJ34" s="716"/>
      <c r="BK34" s="716"/>
      <c r="BL34" s="716"/>
      <c r="BM34" s="716"/>
    </row>
    <row r="35" spans="2:65">
      <c r="B35" s="459"/>
      <c r="C35" s="134"/>
      <c r="D35" s="459"/>
      <c r="E35" s="459"/>
      <c r="F35" s="459"/>
      <c r="G35" s="459"/>
      <c r="H35" s="459"/>
      <c r="I35" s="459"/>
      <c r="J35" s="459"/>
      <c r="K35" s="459"/>
      <c r="L35" s="459"/>
      <c r="M35" s="459"/>
      <c r="N35" s="459"/>
      <c r="O35" s="459"/>
      <c r="P35" s="459"/>
      <c r="Q35" s="459"/>
      <c r="AF35" s="716"/>
      <c r="AG35" s="716"/>
      <c r="AH35" s="716"/>
      <c r="AI35" s="716"/>
      <c r="AJ35" s="716"/>
      <c r="AK35" s="716"/>
      <c r="AL35" s="716"/>
      <c r="AM35" s="716"/>
      <c r="AN35" s="716"/>
      <c r="AO35" s="716"/>
      <c r="AP35" s="716"/>
      <c r="AQ35" s="716"/>
      <c r="AR35" s="716"/>
      <c r="AS35" s="716"/>
      <c r="AT35" s="716"/>
      <c r="AU35" s="716"/>
      <c r="AV35" s="716"/>
      <c r="AW35" s="716"/>
      <c r="AX35" s="716"/>
      <c r="AY35" s="716"/>
      <c r="AZ35" s="716"/>
      <c r="BA35" s="716"/>
      <c r="BB35" s="716"/>
      <c r="BC35" s="716"/>
      <c r="BD35" s="716"/>
      <c r="BE35" s="716"/>
      <c r="BF35" s="716"/>
      <c r="BG35" s="716"/>
      <c r="BH35" s="716"/>
      <c r="BI35" s="716"/>
      <c r="BJ35" s="716"/>
      <c r="BK35" s="716"/>
      <c r="BL35" s="716"/>
      <c r="BM35" s="716"/>
    </row>
    <row r="36" spans="2:65">
      <c r="C36" s="453" t="s">
        <v>76</v>
      </c>
      <c r="D36" s="459"/>
      <c r="E36" s="459"/>
      <c r="F36" s="459"/>
      <c r="G36" s="459"/>
      <c r="H36" s="459"/>
      <c r="I36" s="459"/>
      <c r="J36" s="459"/>
      <c r="K36" s="459"/>
      <c r="L36" s="459"/>
      <c r="M36" s="459"/>
      <c r="N36" s="459"/>
      <c r="O36" s="459"/>
      <c r="P36" s="459"/>
      <c r="Q36" s="459"/>
      <c r="R36" s="459"/>
      <c r="S36" s="459"/>
      <c r="T36" s="459"/>
      <c r="U36" s="459"/>
      <c r="V36" s="459"/>
      <c r="W36" s="459"/>
      <c r="X36" s="459"/>
      <c r="Y36" s="459"/>
      <c r="Z36" s="459"/>
      <c r="AA36" s="459"/>
      <c r="AB36" s="459"/>
      <c r="AC36" s="459"/>
      <c r="AD36" s="459"/>
      <c r="AF36" s="716"/>
      <c r="AG36" s="716"/>
      <c r="AH36" s="716"/>
      <c r="AI36" s="716"/>
      <c r="AJ36" s="716"/>
      <c r="AK36" s="716"/>
      <c r="AL36" s="716"/>
      <c r="AM36" s="716"/>
      <c r="AN36" s="716"/>
      <c r="AO36" s="716"/>
      <c r="AP36" s="716"/>
      <c r="AQ36" s="716"/>
      <c r="AR36" s="716"/>
      <c r="AS36" s="716"/>
      <c r="AT36" s="716"/>
      <c r="AU36" s="716"/>
      <c r="AV36" s="716"/>
      <c r="AW36" s="716"/>
      <c r="AX36" s="716"/>
      <c r="AY36" s="716"/>
      <c r="AZ36" s="716"/>
      <c r="BA36" s="716"/>
      <c r="BB36" s="716"/>
      <c r="BC36" s="716"/>
      <c r="BD36" s="716"/>
      <c r="BE36" s="716"/>
      <c r="BF36" s="716"/>
      <c r="BG36" s="716"/>
      <c r="BH36" s="716"/>
      <c r="BI36" s="716"/>
      <c r="BJ36" s="716"/>
      <c r="BK36" s="716"/>
      <c r="BL36" s="716"/>
      <c r="BM36" s="716"/>
    </row>
    <row r="37" spans="2:65" ht="15.75" thickBot="1">
      <c r="B37" s="41" t="s">
        <v>70</v>
      </c>
      <c r="C37" s="41" t="s">
        <v>101</v>
      </c>
      <c r="D37" s="460" t="str">
        <f t="shared" ref="D37:AD37" si="22">D3</f>
        <v>IE</v>
      </c>
      <c r="E37" s="460" t="str">
        <f t="shared" si="22"/>
        <v>IE-CW</v>
      </c>
      <c r="F37" s="460" t="str">
        <f t="shared" si="22"/>
        <v>IE-D</v>
      </c>
      <c r="G37" s="460" t="str">
        <f t="shared" si="22"/>
        <v>IE-KE</v>
      </c>
      <c r="H37" s="460" t="str">
        <f t="shared" si="22"/>
        <v>IE-KK</v>
      </c>
      <c r="I37" s="460" t="str">
        <f t="shared" si="22"/>
        <v>IE-LS</v>
      </c>
      <c r="J37" s="460" t="str">
        <f t="shared" si="22"/>
        <v>IE-LD</v>
      </c>
      <c r="K37" s="460" t="str">
        <f t="shared" si="22"/>
        <v>IE-LH</v>
      </c>
      <c r="L37" s="460" t="str">
        <f t="shared" si="22"/>
        <v>IE-MH</v>
      </c>
      <c r="M37" s="460" t="str">
        <f t="shared" si="22"/>
        <v>IE-OY</v>
      </c>
      <c r="N37" s="460" t="str">
        <f t="shared" si="22"/>
        <v>IE-WH</v>
      </c>
      <c r="O37" s="460" t="str">
        <f t="shared" si="22"/>
        <v>IE-WX</v>
      </c>
      <c r="P37" s="460" t="str">
        <f t="shared" si="22"/>
        <v>IE-WW</v>
      </c>
      <c r="Q37" s="460" t="str">
        <f t="shared" si="22"/>
        <v>IE-CE</v>
      </c>
      <c r="R37" s="460" t="str">
        <f t="shared" si="22"/>
        <v>IE-CO</v>
      </c>
      <c r="S37" s="460" t="str">
        <f t="shared" si="22"/>
        <v>IE-KY</v>
      </c>
      <c r="T37" s="460" t="str">
        <f t="shared" si="22"/>
        <v>IE-LK</v>
      </c>
      <c r="U37" s="460" t="str">
        <f t="shared" si="22"/>
        <v>IE-TA</v>
      </c>
      <c r="V37" s="460" t="str">
        <f t="shared" si="22"/>
        <v>IE-WD</v>
      </c>
      <c r="W37" s="460" t="str">
        <f t="shared" si="22"/>
        <v>IE-G</v>
      </c>
      <c r="X37" s="460" t="str">
        <f t="shared" si="22"/>
        <v>IE-LM</v>
      </c>
      <c r="Y37" s="460" t="str">
        <f t="shared" si="22"/>
        <v>IE-MO</v>
      </c>
      <c r="Z37" s="460" t="str">
        <f t="shared" si="22"/>
        <v>IE-RN</v>
      </c>
      <c r="AA37" s="460" t="str">
        <f t="shared" si="22"/>
        <v>IE-SO</v>
      </c>
      <c r="AB37" s="460" t="str">
        <f t="shared" si="22"/>
        <v>IE-CN</v>
      </c>
      <c r="AC37" s="460" t="str">
        <f t="shared" si="22"/>
        <v>IE-DL</v>
      </c>
      <c r="AD37" s="460" t="str">
        <f t="shared" si="22"/>
        <v>IE-MN</v>
      </c>
      <c r="AF37" s="716"/>
      <c r="AG37" s="716"/>
      <c r="AH37" s="716"/>
      <c r="AI37" s="716"/>
      <c r="AJ37" s="716"/>
      <c r="AK37" s="716"/>
      <c r="AL37" s="716"/>
      <c r="AM37" s="716"/>
      <c r="AN37" s="716"/>
      <c r="AO37" s="716"/>
      <c r="AP37" s="716"/>
      <c r="AQ37" s="716"/>
      <c r="AR37" s="716"/>
      <c r="AS37" s="716"/>
      <c r="AT37" s="716"/>
      <c r="AU37" s="716"/>
      <c r="AV37" s="716"/>
      <c r="AW37" s="716"/>
      <c r="AX37" s="716"/>
      <c r="AY37" s="716"/>
      <c r="AZ37" s="716"/>
      <c r="BA37" s="716"/>
      <c r="BB37" s="716"/>
      <c r="BC37" s="716"/>
      <c r="BD37" s="716"/>
      <c r="BE37" s="716"/>
      <c r="BF37" s="716"/>
      <c r="BG37" s="716"/>
      <c r="BH37" s="716"/>
      <c r="BI37" s="716"/>
      <c r="BJ37" s="716"/>
      <c r="BK37" s="716"/>
      <c r="BL37" s="716"/>
      <c r="BM37" s="716"/>
    </row>
    <row r="38" spans="2:65" s="459" customFormat="1">
      <c r="B38" s="459" t="str">
        <f>Commodities!K8</f>
        <v>T-WLK_WLK</v>
      </c>
      <c r="C38" s="459" t="s">
        <v>556</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c r="AF38" s="716"/>
      <c r="AG38" s="716"/>
      <c r="AH38" s="716"/>
      <c r="AI38" s="716"/>
      <c r="AJ38" s="716"/>
      <c r="AK38" s="716"/>
      <c r="AL38" s="716"/>
      <c r="AM38" s="716"/>
      <c r="AN38" s="716"/>
      <c r="AO38" s="716"/>
      <c r="AP38" s="716"/>
      <c r="AQ38" s="716"/>
      <c r="AR38" s="716"/>
      <c r="AS38" s="716"/>
      <c r="AT38" s="716"/>
      <c r="AU38" s="716"/>
      <c r="AV38" s="716"/>
      <c r="AW38" s="716"/>
      <c r="AX38" s="716"/>
      <c r="AY38" s="716"/>
      <c r="AZ38" s="716"/>
      <c r="BA38" s="716"/>
      <c r="BB38" s="716"/>
      <c r="BC38" s="716"/>
      <c r="BD38" s="716"/>
      <c r="BE38" s="716"/>
      <c r="BF38" s="716"/>
      <c r="BG38" s="716"/>
      <c r="BH38" s="716"/>
      <c r="BI38" s="716"/>
      <c r="BJ38" s="716"/>
      <c r="BK38" s="716"/>
      <c r="BL38" s="716"/>
      <c r="BM38" s="716"/>
    </row>
    <row r="39" spans="2:65" s="459" customFormat="1">
      <c r="B39" s="459" t="str">
        <f>Commodities!K9</f>
        <v>T-CYC_CYC</v>
      </c>
      <c r="C39" s="459" t="s">
        <v>556</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c r="AF39" s="716"/>
      <c r="AG39" s="716"/>
      <c r="AH39" s="716"/>
      <c r="AI39" s="716"/>
      <c r="AJ39" s="716"/>
      <c r="AK39" s="716"/>
      <c r="AL39" s="716"/>
      <c r="AM39" s="716"/>
      <c r="AN39" s="716"/>
      <c r="AO39" s="716"/>
      <c r="AP39" s="716"/>
      <c r="AQ39" s="716"/>
      <c r="AR39" s="716"/>
      <c r="AS39" s="716"/>
      <c r="AT39" s="716"/>
      <c r="AU39" s="716"/>
      <c r="AV39" s="716"/>
      <c r="AW39" s="716"/>
      <c r="AX39" s="716"/>
      <c r="AY39" s="716"/>
      <c r="AZ39" s="716"/>
      <c r="BA39" s="716"/>
      <c r="BB39" s="716"/>
      <c r="BC39" s="716"/>
      <c r="BD39" s="716"/>
      <c r="BE39" s="716"/>
      <c r="BF39" s="716"/>
      <c r="BG39" s="716"/>
      <c r="BH39" s="716"/>
      <c r="BI39" s="716"/>
      <c r="BJ39" s="716"/>
      <c r="BK39" s="716"/>
      <c r="BL39" s="716"/>
      <c r="BM39" s="716"/>
    </row>
    <row r="40" spans="2:65">
      <c r="B40" s="459" t="str">
        <f>Commodities!K11</f>
        <v>T-MOT-ICE_GSL00</v>
      </c>
      <c r="C40" s="459" t="s">
        <v>556</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Commodities!K13</f>
        <v>T-CAR-ICE_GSL00</v>
      </c>
      <c r="C41" s="459" t="s">
        <v>556</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Commodities!K14</f>
        <v>T-CAR-ICE_DST00</v>
      </c>
      <c r="C42" s="459" t="s">
        <v>556</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Commodities!K15</f>
        <v>T-CAR-ICE_DF00</v>
      </c>
      <c r="C43" s="459" t="s">
        <v>556</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Commodities!K16</f>
        <v>T-CAR-ICE_E8500</v>
      </c>
      <c r="C44" s="459" t="s">
        <v>556</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Commodities!K17</f>
        <v>T-CAR-HEV_GSL00</v>
      </c>
      <c r="C45" s="459" t="s">
        <v>556</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Commodities!K18</f>
        <v>T-CAR-HEV_DST00</v>
      </c>
      <c r="C46" s="459" t="s">
        <v>556</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Commodities!K19</f>
        <v>T-CAR-PHEV_GSL00</v>
      </c>
      <c r="C47" s="459" t="s">
        <v>556</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Commodities!K20</f>
        <v>T-CAR-PHEV_DST00</v>
      </c>
      <c r="C48" s="459" t="s">
        <v>556</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Commodities!K21</f>
        <v>T-CAR-BEV_ELC00</v>
      </c>
      <c r="C49" s="459" t="s">
        <v>556</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Commodities!K23</f>
        <v>T-TAX-ICE_GSL00</v>
      </c>
      <c r="C50" s="459" t="s">
        <v>556</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Commodities!K24</f>
        <v>T-TAX-ICE_DST00</v>
      </c>
      <c r="C51" s="459" t="s">
        <v>556</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Commodities!K25</f>
        <v>T-TAX-HEV_GSL00</v>
      </c>
      <c r="C52" s="459" t="s">
        <v>556</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Commodities!K27</f>
        <v>T-BUS-ICE_DST00</v>
      </c>
      <c r="C53" s="459" t="s">
        <v>556</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59" t="str">
        <f>Commodities!K29</f>
        <v>T-LPT-EV_ELC00</v>
      </c>
      <c r="C54" s="459" t="s">
        <v>556</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59" t="str">
        <f>Commodities!K30</f>
        <v>T-HPT-EV_ELC00</v>
      </c>
      <c r="C55" s="459" t="s">
        <v>556</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59" t="str">
        <f>Commodities!K31</f>
        <v>T-HPT-ICE_DST00</v>
      </c>
      <c r="C56" s="459" t="s">
        <v>556</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480" t="str">
        <f>Commodities!K34</f>
        <v>T-LGT-ICE_GSL00</v>
      </c>
      <c r="C57" s="480" t="s">
        <v>556</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480" t="str">
        <f>Commodities!K35</f>
        <v>T-HGT-ICE_DST00</v>
      </c>
      <c r="C58" s="480" t="s">
        <v>556</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480" t="str">
        <f>Commodities!K36</f>
        <v>T-GTR-ICE_DST00</v>
      </c>
      <c r="C59" s="480" t="s">
        <v>556</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59" customFormat="1">
      <c r="B60" s="480" t="str">
        <f>Commodities!K38</f>
        <v>T-TUR_CON00</v>
      </c>
      <c r="C60" s="480" t="s">
        <v>556</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80" t="str">
        <f>Commodities!K39</f>
        <v>T-NAV_CON00</v>
      </c>
      <c r="C61" s="480" t="s">
        <v>556</v>
      </c>
      <c r="D61" s="135">
        <v>1</v>
      </c>
      <c r="E61" s="135">
        <v>1</v>
      </c>
      <c r="F61" s="135">
        <v>1</v>
      </c>
      <c r="G61" s="135">
        <v>1</v>
      </c>
      <c r="H61" s="135">
        <v>1</v>
      </c>
      <c r="I61" s="135">
        <v>1</v>
      </c>
      <c r="J61" s="135">
        <v>1</v>
      </c>
      <c r="K61" s="135">
        <v>1</v>
      </c>
      <c r="L61" s="135">
        <v>1</v>
      </c>
      <c r="M61" s="135">
        <v>1</v>
      </c>
      <c r="N61" s="135">
        <v>1</v>
      </c>
      <c r="O61" s="135">
        <v>1</v>
      </c>
      <c r="P61" s="135">
        <v>1</v>
      </c>
      <c r="Q61" s="135">
        <v>1</v>
      </c>
      <c r="R61" s="135">
        <v>1</v>
      </c>
      <c r="S61" s="135">
        <v>1</v>
      </c>
      <c r="T61" s="135">
        <v>1</v>
      </c>
      <c r="U61" s="135">
        <v>1</v>
      </c>
      <c r="V61" s="135">
        <v>1</v>
      </c>
      <c r="W61" s="135">
        <v>1</v>
      </c>
      <c r="X61" s="135">
        <v>1</v>
      </c>
      <c r="Y61" s="135">
        <v>1</v>
      </c>
      <c r="Z61" s="135">
        <v>1</v>
      </c>
      <c r="AA61" s="135">
        <v>1</v>
      </c>
      <c r="AB61" s="135">
        <v>1</v>
      </c>
      <c r="AC61" s="135">
        <v>1</v>
      </c>
      <c r="AD61" s="135">
        <v>1</v>
      </c>
    </row>
    <row r="62" spans="2:30" s="459" customFormat="1">
      <c r="B62" s="480" t="str">
        <f>Commodities!K40</f>
        <v>T-OTH_CON00</v>
      </c>
      <c r="C62" s="480" t="s">
        <v>556</v>
      </c>
      <c r="D62" s="135">
        <v>1</v>
      </c>
      <c r="E62" s="135">
        <v>1</v>
      </c>
      <c r="F62" s="135">
        <v>1</v>
      </c>
      <c r="G62" s="135">
        <v>1</v>
      </c>
      <c r="H62" s="135">
        <v>1</v>
      </c>
      <c r="I62" s="135">
        <v>1</v>
      </c>
      <c r="J62" s="135">
        <v>1</v>
      </c>
      <c r="K62" s="135">
        <v>1</v>
      </c>
      <c r="L62" s="135">
        <v>1</v>
      </c>
      <c r="M62" s="135">
        <v>1</v>
      </c>
      <c r="N62" s="135">
        <v>1</v>
      </c>
      <c r="O62" s="135">
        <v>1</v>
      </c>
      <c r="P62" s="135">
        <v>1</v>
      </c>
      <c r="Q62" s="135">
        <v>1</v>
      </c>
      <c r="R62" s="135">
        <v>1</v>
      </c>
      <c r="S62" s="135">
        <v>1</v>
      </c>
      <c r="T62" s="135">
        <v>1</v>
      </c>
      <c r="U62" s="135">
        <v>1</v>
      </c>
      <c r="V62" s="135">
        <v>1</v>
      </c>
      <c r="W62" s="135">
        <v>1</v>
      </c>
      <c r="X62" s="135">
        <v>1</v>
      </c>
      <c r="Y62" s="135">
        <v>1</v>
      </c>
      <c r="Z62" s="135">
        <v>1</v>
      </c>
      <c r="AA62" s="135">
        <v>1</v>
      </c>
      <c r="AB62" s="135">
        <v>1</v>
      </c>
      <c r="AC62" s="135">
        <v>1</v>
      </c>
      <c r="AD62" s="135">
        <v>1</v>
      </c>
    </row>
    <row r="63" spans="2:30" s="459" customFormat="1">
      <c r="B63" s="480" t="str">
        <f>Commodities!K42</f>
        <v>T-AVI_DOM00</v>
      </c>
      <c r="C63" s="480" t="s">
        <v>556</v>
      </c>
      <c r="D63" s="135">
        <v>1</v>
      </c>
      <c r="E63" s="135">
        <v>1</v>
      </c>
      <c r="F63" s="135">
        <v>1</v>
      </c>
      <c r="G63" s="135">
        <v>1</v>
      </c>
      <c r="H63" s="135">
        <v>1</v>
      </c>
      <c r="I63" s="135">
        <v>1</v>
      </c>
      <c r="J63" s="135">
        <v>1</v>
      </c>
      <c r="K63" s="135">
        <v>1</v>
      </c>
      <c r="L63" s="135">
        <v>1</v>
      </c>
      <c r="M63" s="135">
        <v>1</v>
      </c>
      <c r="N63" s="135">
        <v>1</v>
      </c>
      <c r="O63" s="135">
        <v>1</v>
      </c>
      <c r="P63" s="135">
        <v>1</v>
      </c>
      <c r="Q63" s="135">
        <v>1</v>
      </c>
      <c r="R63" s="135">
        <v>1</v>
      </c>
      <c r="S63" s="135">
        <v>1</v>
      </c>
      <c r="T63" s="135">
        <v>1</v>
      </c>
      <c r="U63" s="135">
        <v>1</v>
      </c>
      <c r="V63" s="135">
        <v>1</v>
      </c>
      <c r="W63" s="135">
        <v>1</v>
      </c>
      <c r="X63" s="135">
        <v>1</v>
      </c>
      <c r="Y63" s="135">
        <v>1</v>
      </c>
      <c r="Z63" s="135">
        <v>1</v>
      </c>
      <c r="AA63" s="135">
        <v>1</v>
      </c>
      <c r="AB63" s="135">
        <v>1</v>
      </c>
      <c r="AC63" s="135">
        <v>1</v>
      </c>
      <c r="AD63" s="135">
        <v>1</v>
      </c>
    </row>
    <row r="64" spans="2:30" s="459" customFormat="1">
      <c r="B64" s="496" t="str">
        <f>Commodities!K43</f>
        <v>T-AVI_INT00</v>
      </c>
      <c r="C64" s="496" t="s">
        <v>556</v>
      </c>
      <c r="D64" s="508">
        <v>1</v>
      </c>
      <c r="E64" s="508">
        <v>1</v>
      </c>
      <c r="F64" s="508">
        <v>1</v>
      </c>
      <c r="G64" s="508">
        <v>1</v>
      </c>
      <c r="H64" s="508">
        <v>1</v>
      </c>
      <c r="I64" s="508">
        <v>1</v>
      </c>
      <c r="J64" s="508">
        <v>1</v>
      </c>
      <c r="K64" s="508">
        <v>1</v>
      </c>
      <c r="L64" s="508">
        <v>1</v>
      </c>
      <c r="M64" s="508">
        <v>1</v>
      </c>
      <c r="N64" s="508">
        <v>1</v>
      </c>
      <c r="O64" s="508">
        <v>1</v>
      </c>
      <c r="P64" s="508">
        <v>1</v>
      </c>
      <c r="Q64" s="508">
        <v>1</v>
      </c>
      <c r="R64" s="508">
        <v>1</v>
      </c>
      <c r="S64" s="508">
        <v>1</v>
      </c>
      <c r="T64" s="508">
        <v>1</v>
      </c>
      <c r="U64" s="508">
        <v>1</v>
      </c>
      <c r="V64" s="508">
        <v>1</v>
      </c>
      <c r="W64" s="508">
        <v>1</v>
      </c>
      <c r="X64" s="508">
        <v>1</v>
      </c>
      <c r="Y64" s="508">
        <v>1</v>
      </c>
      <c r="Z64" s="508">
        <v>1</v>
      </c>
      <c r="AA64" s="508">
        <v>1</v>
      </c>
      <c r="AB64" s="508">
        <v>1</v>
      </c>
      <c r="AC64" s="508">
        <v>1</v>
      </c>
      <c r="AD64" s="508">
        <v>1</v>
      </c>
    </row>
    <row r="65" spans="2:33">
      <c r="B65" s="461"/>
      <c r="C65" s="461"/>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61"/>
      <c r="C66" s="461"/>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c r="B68" s="459"/>
      <c r="D68" s="459"/>
      <c r="E68" s="459"/>
      <c r="F68" s="459"/>
      <c r="G68" s="459"/>
      <c r="H68" s="459"/>
      <c r="I68" s="459"/>
      <c r="J68" s="459"/>
      <c r="K68" s="459"/>
      <c r="L68" s="459"/>
      <c r="M68" s="459"/>
      <c r="N68" s="459"/>
      <c r="O68" s="459"/>
      <c r="P68" s="459"/>
      <c r="Q68" s="459"/>
      <c r="R68" s="459"/>
      <c r="S68" s="459"/>
      <c r="T68" s="459"/>
      <c r="U68" s="459"/>
      <c r="V68" s="459"/>
      <c r="W68" s="459"/>
      <c r="X68" s="459"/>
      <c r="Y68" s="459"/>
      <c r="Z68" s="459"/>
      <c r="AA68" s="459"/>
      <c r="AB68" s="459"/>
      <c r="AC68" s="459"/>
      <c r="AD68" s="459"/>
    </row>
    <row r="69" spans="2:33">
      <c r="B69" s="459"/>
      <c r="D69" s="459"/>
      <c r="E69" s="459"/>
      <c r="F69" s="459"/>
      <c r="G69" s="459"/>
      <c r="H69" s="459"/>
      <c r="I69" s="459"/>
      <c r="J69" s="459"/>
      <c r="K69" s="459"/>
      <c r="L69" s="459"/>
      <c r="M69" s="459"/>
      <c r="N69" s="459"/>
      <c r="O69" s="459"/>
      <c r="P69" s="459"/>
      <c r="Q69" s="459"/>
      <c r="R69" s="459"/>
      <c r="S69" s="459"/>
      <c r="T69" s="459"/>
      <c r="U69" s="459"/>
      <c r="V69" s="459"/>
      <c r="W69" s="459"/>
      <c r="X69" s="459"/>
      <c r="Y69" s="459"/>
      <c r="Z69" s="459"/>
      <c r="AA69" s="459"/>
      <c r="AB69" s="459"/>
      <c r="AC69" s="459"/>
      <c r="AD69" s="459"/>
    </row>
    <row r="70" spans="2:33">
      <c r="B70" s="459" t="s">
        <v>855</v>
      </c>
      <c r="D70" s="459"/>
      <c r="E70" s="459"/>
      <c r="F70" s="459"/>
      <c r="G70" s="459"/>
      <c r="H70" s="459"/>
      <c r="I70" s="459"/>
      <c r="J70" s="459"/>
      <c r="K70" s="459"/>
      <c r="L70" s="459"/>
      <c r="M70" s="459"/>
      <c r="N70" s="459"/>
      <c r="O70" s="459"/>
      <c r="P70" s="459"/>
      <c r="Q70" s="459"/>
      <c r="R70" s="459"/>
      <c r="S70" s="459"/>
      <c r="T70" s="459"/>
      <c r="U70" s="459"/>
      <c r="V70" s="459"/>
      <c r="W70" s="459"/>
      <c r="X70" s="459"/>
      <c r="Y70" s="459"/>
      <c r="Z70" s="459"/>
      <c r="AA70" s="459"/>
      <c r="AB70" s="459"/>
      <c r="AC70" s="459"/>
      <c r="AD70" s="459"/>
    </row>
    <row r="71" spans="2:33" ht="15.75" thickBot="1">
      <c r="B71" s="41" t="s">
        <v>70</v>
      </c>
      <c r="C71" s="41" t="s">
        <v>96</v>
      </c>
      <c r="D71" s="41" t="str">
        <f t="shared" ref="D71:AD71" si="23">D3</f>
        <v>IE</v>
      </c>
      <c r="E71" s="41" t="str">
        <f t="shared" si="23"/>
        <v>IE-CW</v>
      </c>
      <c r="F71" s="41" t="str">
        <f t="shared" si="23"/>
        <v>IE-D</v>
      </c>
      <c r="G71" s="41" t="str">
        <f t="shared" si="23"/>
        <v>IE-KE</v>
      </c>
      <c r="H71" s="41" t="str">
        <f t="shared" si="23"/>
        <v>IE-KK</v>
      </c>
      <c r="I71" s="41" t="str">
        <f t="shared" si="23"/>
        <v>IE-LS</v>
      </c>
      <c r="J71" s="41" t="str">
        <f t="shared" si="23"/>
        <v>IE-LD</v>
      </c>
      <c r="K71" s="41" t="str">
        <f t="shared" si="23"/>
        <v>IE-LH</v>
      </c>
      <c r="L71" s="41" t="str">
        <f t="shared" si="23"/>
        <v>IE-MH</v>
      </c>
      <c r="M71" s="41" t="str">
        <f t="shared" si="23"/>
        <v>IE-OY</v>
      </c>
      <c r="N71" s="41" t="str">
        <f t="shared" si="23"/>
        <v>IE-WH</v>
      </c>
      <c r="O71" s="41" t="str">
        <f t="shared" si="23"/>
        <v>IE-WX</v>
      </c>
      <c r="P71" s="41" t="str">
        <f t="shared" si="23"/>
        <v>IE-WW</v>
      </c>
      <c r="Q71" s="41" t="str">
        <f t="shared" si="23"/>
        <v>IE-CE</v>
      </c>
      <c r="R71" s="41" t="str">
        <f t="shared" si="23"/>
        <v>IE-CO</v>
      </c>
      <c r="S71" s="41" t="str">
        <f t="shared" si="23"/>
        <v>IE-KY</v>
      </c>
      <c r="T71" s="41" t="str">
        <f t="shared" si="23"/>
        <v>IE-LK</v>
      </c>
      <c r="U71" s="41" t="str">
        <f t="shared" si="23"/>
        <v>IE-TA</v>
      </c>
      <c r="V71" s="41" t="str">
        <f t="shared" si="23"/>
        <v>IE-WD</v>
      </c>
      <c r="W71" s="41" t="str">
        <f t="shared" si="23"/>
        <v>IE-G</v>
      </c>
      <c r="X71" s="41" t="str">
        <f t="shared" si="23"/>
        <v>IE-LM</v>
      </c>
      <c r="Y71" s="41" t="str">
        <f t="shared" si="23"/>
        <v>IE-MO</v>
      </c>
      <c r="Z71" s="41" t="str">
        <f t="shared" si="23"/>
        <v>IE-RN</v>
      </c>
      <c r="AA71" s="41" t="str">
        <f t="shared" si="23"/>
        <v>IE-SO</v>
      </c>
      <c r="AB71" s="41" t="str">
        <f t="shared" si="23"/>
        <v>IE-CN</v>
      </c>
      <c r="AC71" s="41" t="str">
        <f t="shared" si="23"/>
        <v>IE-DL</v>
      </c>
      <c r="AD71" s="41" t="str">
        <f t="shared" si="23"/>
        <v>IE-MN</v>
      </c>
      <c r="AE71" s="459" t="s">
        <v>557</v>
      </c>
      <c r="AG71" s="459"/>
    </row>
    <row r="72" spans="2:33">
      <c r="B72" s="459" t="str">
        <f t="shared" ref="B72:B91" si="24">B6</f>
        <v>T-MOT-ICE_GSL00</v>
      </c>
      <c r="C72" s="459" t="s">
        <v>792</v>
      </c>
      <c r="D72" s="5">
        <v>2.7309999999999999</v>
      </c>
      <c r="E72" s="5">
        <v>2.637</v>
      </c>
      <c r="F72" s="5">
        <v>2.798</v>
      </c>
      <c r="G72" s="5">
        <v>2.7280000000000002</v>
      </c>
      <c r="H72" s="5">
        <v>2.6520000000000001</v>
      </c>
      <c r="I72" s="5">
        <v>2.71</v>
      </c>
      <c r="J72" s="5">
        <v>2.669</v>
      </c>
      <c r="K72" s="5">
        <v>2.758</v>
      </c>
      <c r="L72" s="5">
        <v>2.722</v>
      </c>
      <c r="M72" s="5">
        <v>2.6560000000000001</v>
      </c>
      <c r="N72" s="5">
        <v>2.706</v>
      </c>
      <c r="O72" s="5">
        <v>2.657</v>
      </c>
      <c r="P72" s="5">
        <v>2.72</v>
      </c>
      <c r="Q72" s="5">
        <v>2.726</v>
      </c>
      <c r="R72" s="5">
        <v>2.6880000000000002</v>
      </c>
      <c r="S72" s="5">
        <v>2.68</v>
      </c>
      <c r="T72" s="5">
        <v>2.7</v>
      </c>
      <c r="U72" s="5">
        <v>2.694</v>
      </c>
      <c r="V72" s="5">
        <v>2.6480000000000001</v>
      </c>
      <c r="W72" s="5">
        <v>2.7010000000000001</v>
      </c>
      <c r="X72" s="5">
        <v>2.7250000000000001</v>
      </c>
      <c r="Y72" s="5">
        <v>2.718</v>
      </c>
      <c r="Z72" s="5">
        <v>2.7290000000000001</v>
      </c>
      <c r="AA72" s="5">
        <v>2.6480000000000001</v>
      </c>
      <c r="AB72" s="5">
        <v>2.7109999999999999</v>
      </c>
      <c r="AC72" s="5">
        <v>2.7930000000000001</v>
      </c>
      <c r="AD72" s="5">
        <v>2.7800000000000002</v>
      </c>
      <c r="AE72" s="459" t="s">
        <v>558</v>
      </c>
      <c r="AG72" s="459"/>
    </row>
    <row r="73" spans="2:33">
      <c r="B73" s="459" t="str">
        <f t="shared" si="24"/>
        <v>T-CAR-ICE_GSL00</v>
      </c>
      <c r="C73" s="459" t="s">
        <v>792</v>
      </c>
      <c r="D73" s="5">
        <v>12.817</v>
      </c>
      <c r="E73" s="5">
        <v>13.538</v>
      </c>
      <c r="F73" s="5">
        <v>11.021000000000001</v>
      </c>
      <c r="G73" s="5">
        <v>13.529</v>
      </c>
      <c r="H73" s="5">
        <v>13.763999999999999</v>
      </c>
      <c r="I73" s="5">
        <v>14.083</v>
      </c>
      <c r="J73" s="5">
        <v>14.022</v>
      </c>
      <c r="K73" s="5">
        <v>13.183</v>
      </c>
      <c r="L73" s="5">
        <v>13.941000000000001</v>
      </c>
      <c r="M73" s="5">
        <v>14.13</v>
      </c>
      <c r="N73" s="5">
        <v>13.906000000000001</v>
      </c>
      <c r="O73" s="5">
        <v>13.939</v>
      </c>
      <c r="P73" s="5">
        <v>13.411</v>
      </c>
      <c r="Q73" s="5">
        <v>14.196999999999999</v>
      </c>
      <c r="R73" s="5">
        <v>13.069000000000001</v>
      </c>
      <c r="S73" s="5">
        <v>13.894</v>
      </c>
      <c r="T73" s="5">
        <v>13.465999999999999</v>
      </c>
      <c r="U73" s="5">
        <v>14.237</v>
      </c>
      <c r="V73" s="5">
        <v>13.135999999999999</v>
      </c>
      <c r="W73" s="5">
        <v>13.557</v>
      </c>
      <c r="X73" s="5">
        <v>14.583</v>
      </c>
      <c r="Y73" s="5">
        <v>13.987</v>
      </c>
      <c r="Z73" s="5">
        <v>15.377000000000001</v>
      </c>
      <c r="AA73" s="5">
        <v>13.425000000000001</v>
      </c>
      <c r="AB73" s="5">
        <v>14.218</v>
      </c>
      <c r="AC73" s="5">
        <v>13.877000000000001</v>
      </c>
      <c r="AD73" s="5">
        <v>13.781000000000001</v>
      </c>
      <c r="AE73" s="459" t="s">
        <v>494</v>
      </c>
      <c r="AG73" s="459"/>
    </row>
    <row r="74" spans="2:33">
      <c r="B74" s="459" t="str">
        <f t="shared" si="24"/>
        <v>T-CAR-ICE_DST00</v>
      </c>
      <c r="C74" s="459" t="s">
        <v>792</v>
      </c>
      <c r="D74" s="5">
        <v>20.617000000000001</v>
      </c>
      <c r="E74" s="5">
        <v>21.731000000000002</v>
      </c>
      <c r="F74" s="5">
        <v>18.106000000000002</v>
      </c>
      <c r="G74" s="5">
        <v>20.908999999999999</v>
      </c>
      <c r="H74" s="5">
        <v>21.75</v>
      </c>
      <c r="I74" s="5">
        <v>22.298999999999999</v>
      </c>
      <c r="J74" s="5">
        <v>22.722999999999999</v>
      </c>
      <c r="K74" s="5">
        <v>20.613</v>
      </c>
      <c r="L74" s="5">
        <v>21.196999999999999</v>
      </c>
      <c r="M74" s="5">
        <v>22.055</v>
      </c>
      <c r="N74" s="5">
        <v>22.035</v>
      </c>
      <c r="O74" s="5">
        <v>21.408000000000001</v>
      </c>
      <c r="P74" s="5">
        <v>20.399999999999999</v>
      </c>
      <c r="Q74" s="5">
        <v>22.021000000000001</v>
      </c>
      <c r="R74" s="5">
        <v>20.07</v>
      </c>
      <c r="S74" s="5">
        <v>20.986000000000001</v>
      </c>
      <c r="T74" s="5">
        <v>21.373999999999999</v>
      </c>
      <c r="U74" s="5">
        <v>22.268999999999998</v>
      </c>
      <c r="V74" s="5">
        <v>20.774999999999999</v>
      </c>
      <c r="W74" s="5">
        <v>21.388000000000002</v>
      </c>
      <c r="X74" s="5">
        <v>22.28</v>
      </c>
      <c r="Y74" s="5">
        <v>21.443000000000001</v>
      </c>
      <c r="Z74" s="5">
        <v>23.317</v>
      </c>
      <c r="AA74" s="5">
        <v>21.324000000000002</v>
      </c>
      <c r="AB74" s="5">
        <v>21.887</v>
      </c>
      <c r="AC74" s="5">
        <v>20.55</v>
      </c>
      <c r="AD74" s="5">
        <v>21.584</v>
      </c>
      <c r="AE74" s="459" t="s">
        <v>494</v>
      </c>
      <c r="AG74" s="459"/>
    </row>
    <row r="75" spans="2:33">
      <c r="B75" s="459" t="str">
        <f t="shared" si="24"/>
        <v>T-CAR-ICE_DF00</v>
      </c>
      <c r="C75" s="459" t="s">
        <v>792</v>
      </c>
      <c r="D75" s="5">
        <v>13.444000000000001</v>
      </c>
      <c r="E75" s="5">
        <v>14.090999999999999</v>
      </c>
      <c r="F75" s="5">
        <v>12.847</v>
      </c>
      <c r="G75" s="5">
        <v>13.913</v>
      </c>
      <c r="H75" s="5">
        <v>14.358000000000001</v>
      </c>
      <c r="I75" s="5">
        <v>14.586</v>
      </c>
      <c r="J75" s="5">
        <v>14.004</v>
      </c>
      <c r="K75" s="5">
        <v>13.414</v>
      </c>
      <c r="L75" s="5">
        <v>14.103</v>
      </c>
      <c r="M75" s="5">
        <v>14.503</v>
      </c>
      <c r="N75" s="5">
        <v>14.009</v>
      </c>
      <c r="O75" s="5">
        <v>14.132</v>
      </c>
      <c r="P75" s="5">
        <v>13.914999999999999</v>
      </c>
      <c r="Q75" s="5">
        <v>14.077999999999999</v>
      </c>
      <c r="R75" s="5">
        <v>13.355</v>
      </c>
      <c r="S75" s="5">
        <v>13.78</v>
      </c>
      <c r="T75" s="5">
        <v>13.922000000000001</v>
      </c>
      <c r="U75" s="5">
        <v>13.884</v>
      </c>
      <c r="V75" s="5">
        <v>13.941000000000001</v>
      </c>
      <c r="W75" s="5">
        <v>13.930999999999999</v>
      </c>
      <c r="X75" s="5">
        <v>14.143000000000001</v>
      </c>
      <c r="Y75" s="5">
        <v>14.191000000000001</v>
      </c>
      <c r="Z75" s="5">
        <v>14.154</v>
      </c>
      <c r="AA75" s="5">
        <v>13.852</v>
      </c>
      <c r="AB75" s="5">
        <v>14.061999999999999</v>
      </c>
      <c r="AC75" s="5">
        <v>14.304</v>
      </c>
      <c r="AD75" s="5">
        <v>13.791</v>
      </c>
      <c r="AE75" s="459" t="s">
        <v>494</v>
      </c>
      <c r="AG75" s="459"/>
    </row>
    <row r="76" spans="2:33">
      <c r="B76" s="459" t="str">
        <f t="shared" si="24"/>
        <v>T-CAR-ICE_E8500</v>
      </c>
      <c r="C76" s="459" t="s">
        <v>792</v>
      </c>
      <c r="D76" s="5">
        <v>13.444000000000001</v>
      </c>
      <c r="E76" s="5">
        <v>14.090999999999999</v>
      </c>
      <c r="F76" s="5">
        <v>12.847</v>
      </c>
      <c r="G76" s="5">
        <v>13.913</v>
      </c>
      <c r="H76" s="5">
        <v>14.358000000000001</v>
      </c>
      <c r="I76" s="5">
        <v>14.586</v>
      </c>
      <c r="J76" s="5">
        <v>14.004</v>
      </c>
      <c r="K76" s="5">
        <v>13.414</v>
      </c>
      <c r="L76" s="5">
        <v>14.103</v>
      </c>
      <c r="M76" s="5">
        <v>14.503</v>
      </c>
      <c r="N76" s="5">
        <v>14.009</v>
      </c>
      <c r="O76" s="5">
        <v>14.132</v>
      </c>
      <c r="P76" s="5">
        <v>13.914999999999999</v>
      </c>
      <c r="Q76" s="5">
        <v>14.077999999999999</v>
      </c>
      <c r="R76" s="5">
        <v>13.355</v>
      </c>
      <c r="S76" s="5">
        <v>13.78</v>
      </c>
      <c r="T76" s="5">
        <v>13.922000000000001</v>
      </c>
      <c r="U76" s="5">
        <v>13.884</v>
      </c>
      <c r="V76" s="5">
        <v>13.941000000000001</v>
      </c>
      <c r="W76" s="5">
        <v>13.930999999999999</v>
      </c>
      <c r="X76" s="5">
        <v>14.143000000000001</v>
      </c>
      <c r="Y76" s="5">
        <v>14.191000000000001</v>
      </c>
      <c r="Z76" s="5">
        <v>14.154</v>
      </c>
      <c r="AA76" s="5">
        <v>13.852</v>
      </c>
      <c r="AB76" s="5">
        <v>14.061999999999999</v>
      </c>
      <c r="AC76" s="5">
        <v>14.304</v>
      </c>
      <c r="AD76" s="5">
        <v>13.791</v>
      </c>
      <c r="AE76" s="459" t="s">
        <v>494</v>
      </c>
      <c r="AG76" s="459"/>
    </row>
    <row r="77" spans="2:33">
      <c r="B77" s="459" t="str">
        <f t="shared" si="24"/>
        <v>T-CAR-HEV_GSL00</v>
      </c>
      <c r="C77" s="459" t="s">
        <v>792</v>
      </c>
      <c r="D77" s="5">
        <f>D73</f>
        <v>12.817</v>
      </c>
      <c r="E77" s="5">
        <f>E73</f>
        <v>13.538</v>
      </c>
      <c r="F77" s="5">
        <f t="shared" ref="F77:AD77" si="25">F73</f>
        <v>11.021000000000001</v>
      </c>
      <c r="G77" s="5">
        <f t="shared" si="25"/>
        <v>13.529</v>
      </c>
      <c r="H77" s="5">
        <f t="shared" si="25"/>
        <v>13.763999999999999</v>
      </c>
      <c r="I77" s="5">
        <f t="shared" si="25"/>
        <v>14.083</v>
      </c>
      <c r="J77" s="5">
        <f t="shared" si="25"/>
        <v>14.022</v>
      </c>
      <c r="K77" s="5">
        <f t="shared" si="25"/>
        <v>13.183</v>
      </c>
      <c r="L77" s="5">
        <f t="shared" si="25"/>
        <v>13.941000000000001</v>
      </c>
      <c r="M77" s="5">
        <f t="shared" si="25"/>
        <v>14.13</v>
      </c>
      <c r="N77" s="5">
        <f t="shared" si="25"/>
        <v>13.906000000000001</v>
      </c>
      <c r="O77" s="5">
        <f t="shared" si="25"/>
        <v>13.939</v>
      </c>
      <c r="P77" s="5">
        <f t="shared" si="25"/>
        <v>13.411</v>
      </c>
      <c r="Q77" s="5">
        <f t="shared" si="25"/>
        <v>14.196999999999999</v>
      </c>
      <c r="R77" s="5">
        <f t="shared" si="25"/>
        <v>13.069000000000001</v>
      </c>
      <c r="S77" s="5">
        <f t="shared" si="25"/>
        <v>13.894</v>
      </c>
      <c r="T77" s="5">
        <f t="shared" si="25"/>
        <v>13.465999999999999</v>
      </c>
      <c r="U77" s="5">
        <f t="shared" si="25"/>
        <v>14.237</v>
      </c>
      <c r="V77" s="5">
        <f t="shared" si="25"/>
        <v>13.135999999999999</v>
      </c>
      <c r="W77" s="5">
        <f t="shared" si="25"/>
        <v>13.557</v>
      </c>
      <c r="X77" s="5">
        <f t="shared" si="25"/>
        <v>14.583</v>
      </c>
      <c r="Y77" s="5">
        <f t="shared" si="25"/>
        <v>13.987</v>
      </c>
      <c r="Z77" s="5">
        <f t="shared" si="25"/>
        <v>15.377000000000001</v>
      </c>
      <c r="AA77" s="5">
        <f t="shared" si="25"/>
        <v>13.425000000000001</v>
      </c>
      <c r="AB77" s="5">
        <f t="shared" si="25"/>
        <v>14.218</v>
      </c>
      <c r="AC77" s="5">
        <f t="shared" si="25"/>
        <v>13.877000000000001</v>
      </c>
      <c r="AD77" s="5">
        <f t="shared" si="25"/>
        <v>13.781000000000001</v>
      </c>
      <c r="AE77" s="459" t="s">
        <v>494</v>
      </c>
      <c r="AG77" s="459"/>
    </row>
    <row r="78" spans="2:33">
      <c r="B78" s="459" t="str">
        <f t="shared" si="24"/>
        <v>T-CAR-HEV_DST00</v>
      </c>
      <c r="C78" s="459" t="s">
        <v>792</v>
      </c>
      <c r="D78" s="5">
        <f>D74</f>
        <v>20.617000000000001</v>
      </c>
      <c r="E78" s="5">
        <f t="shared" ref="E78:AD78" si="26">E74</f>
        <v>21.731000000000002</v>
      </c>
      <c r="F78" s="5">
        <f t="shared" si="26"/>
        <v>18.106000000000002</v>
      </c>
      <c r="G78" s="5">
        <f t="shared" si="26"/>
        <v>20.908999999999999</v>
      </c>
      <c r="H78" s="5">
        <f t="shared" si="26"/>
        <v>21.75</v>
      </c>
      <c r="I78" s="5">
        <f t="shared" si="26"/>
        <v>22.298999999999999</v>
      </c>
      <c r="J78" s="5">
        <f t="shared" si="26"/>
        <v>22.722999999999999</v>
      </c>
      <c r="K78" s="5">
        <f t="shared" si="26"/>
        <v>20.613</v>
      </c>
      <c r="L78" s="5">
        <f t="shared" si="26"/>
        <v>21.196999999999999</v>
      </c>
      <c r="M78" s="5">
        <f t="shared" si="26"/>
        <v>22.055</v>
      </c>
      <c r="N78" s="5">
        <f t="shared" si="26"/>
        <v>22.035</v>
      </c>
      <c r="O78" s="5">
        <f t="shared" si="26"/>
        <v>21.408000000000001</v>
      </c>
      <c r="P78" s="5">
        <f t="shared" si="26"/>
        <v>20.399999999999999</v>
      </c>
      <c r="Q78" s="5">
        <f t="shared" si="26"/>
        <v>22.021000000000001</v>
      </c>
      <c r="R78" s="5">
        <f t="shared" si="26"/>
        <v>20.07</v>
      </c>
      <c r="S78" s="5">
        <f t="shared" si="26"/>
        <v>20.986000000000001</v>
      </c>
      <c r="T78" s="5">
        <f t="shared" si="26"/>
        <v>21.373999999999999</v>
      </c>
      <c r="U78" s="5">
        <f t="shared" si="26"/>
        <v>22.268999999999998</v>
      </c>
      <c r="V78" s="5">
        <f t="shared" si="26"/>
        <v>20.774999999999999</v>
      </c>
      <c r="W78" s="5">
        <f t="shared" si="26"/>
        <v>21.388000000000002</v>
      </c>
      <c r="X78" s="5">
        <f t="shared" si="26"/>
        <v>22.28</v>
      </c>
      <c r="Y78" s="5">
        <f t="shared" si="26"/>
        <v>21.443000000000001</v>
      </c>
      <c r="Z78" s="5">
        <f t="shared" si="26"/>
        <v>23.317</v>
      </c>
      <c r="AA78" s="5">
        <f t="shared" si="26"/>
        <v>21.324000000000002</v>
      </c>
      <c r="AB78" s="5">
        <f t="shared" si="26"/>
        <v>21.887</v>
      </c>
      <c r="AC78" s="5">
        <f t="shared" si="26"/>
        <v>20.55</v>
      </c>
      <c r="AD78" s="5">
        <f t="shared" si="26"/>
        <v>21.584</v>
      </c>
      <c r="AE78" s="459" t="s">
        <v>494</v>
      </c>
      <c r="AG78" s="459"/>
    </row>
    <row r="79" spans="2:33">
      <c r="B79" s="459" t="str">
        <f t="shared" si="24"/>
        <v>T-CAR-PHEV_GSL00</v>
      </c>
      <c r="C79" s="459" t="s">
        <v>792</v>
      </c>
      <c r="D79" s="5">
        <f t="shared" ref="D79:AD79" si="27">D77</f>
        <v>12.817</v>
      </c>
      <c r="E79" s="5">
        <f t="shared" si="27"/>
        <v>13.538</v>
      </c>
      <c r="F79" s="5">
        <f t="shared" si="27"/>
        <v>11.021000000000001</v>
      </c>
      <c r="G79" s="5">
        <f t="shared" si="27"/>
        <v>13.529</v>
      </c>
      <c r="H79" s="5">
        <f t="shared" si="27"/>
        <v>13.763999999999999</v>
      </c>
      <c r="I79" s="5">
        <f t="shared" si="27"/>
        <v>14.083</v>
      </c>
      <c r="J79" s="5">
        <f t="shared" si="27"/>
        <v>14.022</v>
      </c>
      <c r="K79" s="5">
        <f t="shared" si="27"/>
        <v>13.183</v>
      </c>
      <c r="L79" s="5">
        <f t="shared" si="27"/>
        <v>13.941000000000001</v>
      </c>
      <c r="M79" s="5">
        <f t="shared" si="27"/>
        <v>14.13</v>
      </c>
      <c r="N79" s="5">
        <f t="shared" si="27"/>
        <v>13.906000000000001</v>
      </c>
      <c r="O79" s="5">
        <f t="shared" si="27"/>
        <v>13.939</v>
      </c>
      <c r="P79" s="5">
        <f t="shared" si="27"/>
        <v>13.411</v>
      </c>
      <c r="Q79" s="5">
        <f t="shared" si="27"/>
        <v>14.196999999999999</v>
      </c>
      <c r="R79" s="5">
        <f t="shared" si="27"/>
        <v>13.069000000000001</v>
      </c>
      <c r="S79" s="5">
        <f t="shared" si="27"/>
        <v>13.894</v>
      </c>
      <c r="T79" s="5">
        <f t="shared" si="27"/>
        <v>13.465999999999999</v>
      </c>
      <c r="U79" s="5">
        <f t="shared" si="27"/>
        <v>14.237</v>
      </c>
      <c r="V79" s="5">
        <f t="shared" si="27"/>
        <v>13.135999999999999</v>
      </c>
      <c r="W79" s="5">
        <f t="shared" si="27"/>
        <v>13.557</v>
      </c>
      <c r="X79" s="5">
        <f t="shared" si="27"/>
        <v>14.583</v>
      </c>
      <c r="Y79" s="5">
        <f t="shared" si="27"/>
        <v>13.987</v>
      </c>
      <c r="Z79" s="5">
        <f t="shared" si="27"/>
        <v>15.377000000000001</v>
      </c>
      <c r="AA79" s="5">
        <f t="shared" si="27"/>
        <v>13.425000000000001</v>
      </c>
      <c r="AB79" s="5">
        <f t="shared" si="27"/>
        <v>14.218</v>
      </c>
      <c r="AC79" s="5">
        <f t="shared" si="27"/>
        <v>13.877000000000001</v>
      </c>
      <c r="AD79" s="5">
        <f t="shared" si="27"/>
        <v>13.781000000000001</v>
      </c>
      <c r="AE79" s="459" t="s">
        <v>494</v>
      </c>
      <c r="AG79" s="459"/>
    </row>
    <row r="80" spans="2:33">
      <c r="B80" s="459" t="str">
        <f t="shared" si="24"/>
        <v>T-CAR-PHEV_DST00</v>
      </c>
      <c r="C80" s="459" t="s">
        <v>792</v>
      </c>
      <c r="D80" s="5">
        <f>D74</f>
        <v>20.617000000000001</v>
      </c>
      <c r="E80" s="5">
        <f t="shared" ref="E80:AD80" si="28">E74</f>
        <v>21.731000000000002</v>
      </c>
      <c r="F80" s="5">
        <f t="shared" si="28"/>
        <v>18.106000000000002</v>
      </c>
      <c r="G80" s="5">
        <f t="shared" si="28"/>
        <v>20.908999999999999</v>
      </c>
      <c r="H80" s="5">
        <f t="shared" si="28"/>
        <v>21.75</v>
      </c>
      <c r="I80" s="5">
        <f t="shared" si="28"/>
        <v>22.298999999999999</v>
      </c>
      <c r="J80" s="5">
        <f t="shared" si="28"/>
        <v>22.722999999999999</v>
      </c>
      <c r="K80" s="5">
        <f t="shared" si="28"/>
        <v>20.613</v>
      </c>
      <c r="L80" s="5">
        <f t="shared" si="28"/>
        <v>21.196999999999999</v>
      </c>
      <c r="M80" s="5">
        <f t="shared" si="28"/>
        <v>22.055</v>
      </c>
      <c r="N80" s="5">
        <f t="shared" si="28"/>
        <v>22.035</v>
      </c>
      <c r="O80" s="5">
        <f t="shared" si="28"/>
        <v>21.408000000000001</v>
      </c>
      <c r="P80" s="5">
        <f t="shared" si="28"/>
        <v>20.399999999999999</v>
      </c>
      <c r="Q80" s="5">
        <f t="shared" si="28"/>
        <v>22.021000000000001</v>
      </c>
      <c r="R80" s="5">
        <f t="shared" si="28"/>
        <v>20.07</v>
      </c>
      <c r="S80" s="5">
        <f t="shared" si="28"/>
        <v>20.986000000000001</v>
      </c>
      <c r="T80" s="5">
        <f t="shared" si="28"/>
        <v>21.373999999999999</v>
      </c>
      <c r="U80" s="5">
        <f t="shared" si="28"/>
        <v>22.268999999999998</v>
      </c>
      <c r="V80" s="5">
        <f t="shared" si="28"/>
        <v>20.774999999999999</v>
      </c>
      <c r="W80" s="5">
        <f t="shared" si="28"/>
        <v>21.388000000000002</v>
      </c>
      <c r="X80" s="5">
        <f t="shared" si="28"/>
        <v>22.28</v>
      </c>
      <c r="Y80" s="5">
        <f t="shared" si="28"/>
        <v>21.443000000000001</v>
      </c>
      <c r="Z80" s="5">
        <f t="shared" si="28"/>
        <v>23.317</v>
      </c>
      <c r="AA80" s="5">
        <f t="shared" si="28"/>
        <v>21.324000000000002</v>
      </c>
      <c r="AB80" s="5">
        <f t="shared" si="28"/>
        <v>21.887</v>
      </c>
      <c r="AC80" s="5">
        <f t="shared" si="28"/>
        <v>20.55</v>
      </c>
      <c r="AD80" s="5">
        <f t="shared" si="28"/>
        <v>21.584</v>
      </c>
      <c r="AE80" s="459" t="s">
        <v>494</v>
      </c>
      <c r="AG80" s="459"/>
    </row>
    <row r="81" spans="2:33">
      <c r="B81" s="459" t="str">
        <f t="shared" si="24"/>
        <v>T-CAR-BEV_ELC00</v>
      </c>
      <c r="C81" s="459" t="s">
        <v>792</v>
      </c>
      <c r="D81" s="5">
        <f>D76</f>
        <v>13.444000000000001</v>
      </c>
      <c r="E81" s="5">
        <f t="shared" ref="E81:AD81" si="29">E76</f>
        <v>14.090999999999999</v>
      </c>
      <c r="F81" s="5">
        <f t="shared" si="29"/>
        <v>12.847</v>
      </c>
      <c r="G81" s="5">
        <f t="shared" si="29"/>
        <v>13.913</v>
      </c>
      <c r="H81" s="5">
        <f t="shared" si="29"/>
        <v>14.358000000000001</v>
      </c>
      <c r="I81" s="5">
        <f t="shared" si="29"/>
        <v>14.586</v>
      </c>
      <c r="J81" s="5">
        <f t="shared" si="29"/>
        <v>14.004</v>
      </c>
      <c r="K81" s="5">
        <f t="shared" si="29"/>
        <v>13.414</v>
      </c>
      <c r="L81" s="5">
        <f t="shared" si="29"/>
        <v>14.103</v>
      </c>
      <c r="M81" s="5">
        <f t="shared" si="29"/>
        <v>14.503</v>
      </c>
      <c r="N81" s="5">
        <f t="shared" si="29"/>
        <v>14.009</v>
      </c>
      <c r="O81" s="5">
        <f t="shared" si="29"/>
        <v>14.132</v>
      </c>
      <c r="P81" s="5">
        <f t="shared" si="29"/>
        <v>13.914999999999999</v>
      </c>
      <c r="Q81" s="5">
        <f t="shared" si="29"/>
        <v>14.077999999999999</v>
      </c>
      <c r="R81" s="5">
        <f t="shared" si="29"/>
        <v>13.355</v>
      </c>
      <c r="S81" s="5">
        <f t="shared" si="29"/>
        <v>13.78</v>
      </c>
      <c r="T81" s="5">
        <f t="shared" si="29"/>
        <v>13.922000000000001</v>
      </c>
      <c r="U81" s="5">
        <f t="shared" si="29"/>
        <v>13.884</v>
      </c>
      <c r="V81" s="5">
        <f t="shared" si="29"/>
        <v>13.941000000000001</v>
      </c>
      <c r="W81" s="5">
        <f t="shared" si="29"/>
        <v>13.930999999999999</v>
      </c>
      <c r="X81" s="5">
        <f t="shared" si="29"/>
        <v>14.143000000000001</v>
      </c>
      <c r="Y81" s="5">
        <f t="shared" si="29"/>
        <v>14.191000000000001</v>
      </c>
      <c r="Z81" s="5">
        <f t="shared" si="29"/>
        <v>14.154</v>
      </c>
      <c r="AA81" s="5">
        <f t="shared" si="29"/>
        <v>13.852</v>
      </c>
      <c r="AB81" s="5">
        <f t="shared" si="29"/>
        <v>14.061999999999999</v>
      </c>
      <c r="AC81" s="5">
        <f t="shared" si="29"/>
        <v>14.304</v>
      </c>
      <c r="AD81" s="5">
        <f t="shared" si="29"/>
        <v>13.791</v>
      </c>
      <c r="AE81" s="459" t="s">
        <v>494</v>
      </c>
      <c r="AG81" s="459"/>
    </row>
    <row r="82" spans="2:33">
      <c r="B82" s="459" t="str">
        <f t="shared" si="24"/>
        <v>T-TAX-ICE_GSL00</v>
      </c>
      <c r="C82" s="459" t="s">
        <v>792</v>
      </c>
      <c r="D82" s="5">
        <v>35.606999999999999</v>
      </c>
      <c r="E82" s="5">
        <v>22.277000000000001</v>
      </c>
      <c r="F82" s="5">
        <v>35.493000000000002</v>
      </c>
      <c r="G82" s="5">
        <v>41.204999999999998</v>
      </c>
      <c r="H82" s="5">
        <v>41.378</v>
      </c>
      <c r="I82" s="5">
        <v>32.383000000000003</v>
      </c>
      <c r="J82" s="5">
        <v>41.290999999999997</v>
      </c>
      <c r="K82" s="5">
        <v>36.228999999999999</v>
      </c>
      <c r="L82" s="5">
        <v>41.643999999999998</v>
      </c>
      <c r="M82" s="5">
        <v>27.047000000000001</v>
      </c>
      <c r="N82" s="5">
        <v>44.625</v>
      </c>
      <c r="O82" s="5">
        <v>32.718000000000004</v>
      </c>
      <c r="P82" s="5">
        <v>31.013000000000002</v>
      </c>
      <c r="Q82" s="5">
        <v>37.658999999999999</v>
      </c>
      <c r="R82" s="5">
        <v>34.145000000000003</v>
      </c>
      <c r="S82" s="5">
        <v>31.021999999999998</v>
      </c>
      <c r="T82" s="5">
        <v>37.139000000000003</v>
      </c>
      <c r="U82" s="5">
        <v>33.700000000000003</v>
      </c>
      <c r="V82" s="5">
        <v>29.905999999999999</v>
      </c>
      <c r="W82" s="5">
        <v>36.619999999999997</v>
      </c>
      <c r="X82" s="5">
        <v>28.806999999999999</v>
      </c>
      <c r="Y82" s="5">
        <v>32.491999999999997</v>
      </c>
      <c r="Z82" s="5">
        <v>24.44</v>
      </c>
      <c r="AA82" s="5">
        <v>27.395</v>
      </c>
      <c r="AB82" s="5">
        <v>35.872999999999998</v>
      </c>
      <c r="AC82" s="5">
        <v>34.793999999999997</v>
      </c>
      <c r="AD82" s="5">
        <v>13.925000000000001</v>
      </c>
      <c r="AE82" s="459" t="s">
        <v>559</v>
      </c>
      <c r="AG82" s="459"/>
    </row>
    <row r="83" spans="2:33">
      <c r="B83" s="459" t="str">
        <f t="shared" si="24"/>
        <v>T-TAX-ICE_DST00</v>
      </c>
      <c r="C83" s="459" t="s">
        <v>792</v>
      </c>
      <c r="D83" s="5">
        <v>39.924999999999997</v>
      </c>
      <c r="E83" s="5">
        <v>36.674999999999997</v>
      </c>
      <c r="F83" s="5">
        <v>38.923999999999999</v>
      </c>
      <c r="G83" s="5">
        <v>42.279000000000003</v>
      </c>
      <c r="H83" s="5">
        <v>41.710999999999999</v>
      </c>
      <c r="I83" s="5">
        <v>41.725000000000001</v>
      </c>
      <c r="J83" s="5">
        <v>45.546999999999997</v>
      </c>
      <c r="K83" s="5">
        <v>42.713000000000001</v>
      </c>
      <c r="L83" s="5">
        <v>43.365000000000002</v>
      </c>
      <c r="M83" s="5">
        <v>38.703000000000003</v>
      </c>
      <c r="N83" s="5">
        <v>41.908000000000001</v>
      </c>
      <c r="O83" s="5">
        <v>38.863999999999997</v>
      </c>
      <c r="P83" s="5">
        <v>39.012</v>
      </c>
      <c r="Q83" s="5">
        <v>40.003999999999998</v>
      </c>
      <c r="R83" s="5">
        <v>40.366</v>
      </c>
      <c r="S83" s="5">
        <v>39.216999999999999</v>
      </c>
      <c r="T83" s="5">
        <v>40.262</v>
      </c>
      <c r="U83" s="5">
        <v>40.31</v>
      </c>
      <c r="V83" s="5">
        <v>39.709000000000003</v>
      </c>
      <c r="W83" s="5">
        <v>40.692999999999998</v>
      </c>
      <c r="X83" s="5">
        <v>42.972000000000001</v>
      </c>
      <c r="Y83" s="5">
        <v>38.369</v>
      </c>
      <c r="Z83" s="5">
        <v>39.170999999999999</v>
      </c>
      <c r="AA83" s="5">
        <v>40.359000000000002</v>
      </c>
      <c r="AB83" s="5">
        <v>44.034999999999997</v>
      </c>
      <c r="AC83" s="5">
        <v>40.661000000000001</v>
      </c>
      <c r="AD83" s="5">
        <v>42.5</v>
      </c>
      <c r="AE83" s="459" t="s">
        <v>559</v>
      </c>
      <c r="AG83" s="459"/>
    </row>
    <row r="84" spans="2:33">
      <c r="B84" s="459" t="str">
        <f t="shared" si="24"/>
        <v>T-TAX-HEV_GSL00</v>
      </c>
      <c r="C84" s="459" t="s">
        <v>792</v>
      </c>
      <c r="D84" s="5">
        <v>41.210999999999999</v>
      </c>
      <c r="E84" s="5">
        <v>46.207999999999998</v>
      </c>
      <c r="F84" s="5">
        <v>40.334000000000003</v>
      </c>
      <c r="G84" s="5">
        <v>46.970999999999997</v>
      </c>
      <c r="H84" s="5">
        <v>42.451000000000001</v>
      </c>
      <c r="I84" s="5">
        <v>40.606000000000002</v>
      </c>
      <c r="J84" s="5">
        <v>0</v>
      </c>
      <c r="K84" s="5">
        <v>42.247</v>
      </c>
      <c r="L84" s="5">
        <v>47.298000000000002</v>
      </c>
      <c r="M84" s="5">
        <v>39.761000000000003</v>
      </c>
      <c r="N84" s="5">
        <v>49.19</v>
      </c>
      <c r="O84" s="5">
        <v>41.015000000000001</v>
      </c>
      <c r="P84" s="5">
        <v>39.994999999999997</v>
      </c>
      <c r="Q84" s="5">
        <v>37.396999999999998</v>
      </c>
      <c r="R84" s="5">
        <v>45.326999999999998</v>
      </c>
      <c r="S84" s="5">
        <v>35.898000000000003</v>
      </c>
      <c r="T84" s="5">
        <v>45.386000000000003</v>
      </c>
      <c r="U84" s="5">
        <v>38.015000000000001</v>
      </c>
      <c r="V84" s="5">
        <v>60.183999999999997</v>
      </c>
      <c r="W84" s="5">
        <v>40.619999999999997</v>
      </c>
      <c r="X84" s="5">
        <v>0</v>
      </c>
      <c r="Y84" s="5">
        <v>54.843000000000004</v>
      </c>
      <c r="Z84" s="5">
        <v>0</v>
      </c>
      <c r="AA84" s="5">
        <v>25.759</v>
      </c>
      <c r="AB84" s="5">
        <v>42.872999999999998</v>
      </c>
      <c r="AC84" s="5">
        <v>59.003999999999998</v>
      </c>
      <c r="AD84" s="5">
        <v>0</v>
      </c>
      <c r="AE84" s="459" t="s">
        <v>559</v>
      </c>
      <c r="AG84" s="459"/>
    </row>
    <row r="85" spans="2:33">
      <c r="B85" s="459" t="str">
        <f t="shared" si="24"/>
        <v>T-BUS-ICE_DST00</v>
      </c>
      <c r="C85" s="459" t="s">
        <v>792</v>
      </c>
      <c r="D85" s="5">
        <v>36.094999999999999</v>
      </c>
      <c r="E85" s="5">
        <v>29.084</v>
      </c>
      <c r="F85" s="5">
        <v>42.320999999999998</v>
      </c>
      <c r="G85" s="5">
        <v>33.158999999999999</v>
      </c>
      <c r="H85" s="5">
        <v>36.375999999999998</v>
      </c>
      <c r="I85" s="5">
        <v>27.684999999999999</v>
      </c>
      <c r="J85" s="5">
        <v>29.504999999999999</v>
      </c>
      <c r="K85" s="5">
        <v>36.526000000000003</v>
      </c>
      <c r="L85" s="5">
        <v>29.387</v>
      </c>
      <c r="M85" s="5">
        <v>31.809000000000001</v>
      </c>
      <c r="N85" s="5">
        <v>32.343000000000004</v>
      </c>
      <c r="O85" s="5">
        <v>33.917999999999999</v>
      </c>
      <c r="P85" s="5">
        <v>35.256999999999998</v>
      </c>
      <c r="Q85" s="5">
        <v>30.913</v>
      </c>
      <c r="R85" s="5">
        <v>32.386000000000003</v>
      </c>
      <c r="S85" s="5">
        <v>35.008000000000003</v>
      </c>
      <c r="T85" s="5">
        <v>34.691000000000003</v>
      </c>
      <c r="U85" s="5">
        <v>32.432000000000002</v>
      </c>
      <c r="V85" s="5">
        <v>31.053999999999998</v>
      </c>
      <c r="W85" s="5">
        <v>35.097999999999999</v>
      </c>
      <c r="X85" s="5">
        <v>22.18</v>
      </c>
      <c r="Y85" s="5">
        <v>37.491999999999997</v>
      </c>
      <c r="Z85" s="5">
        <v>31.65</v>
      </c>
      <c r="AA85" s="5">
        <v>34.908000000000001</v>
      </c>
      <c r="AB85" s="5">
        <v>39.076999999999998</v>
      </c>
      <c r="AC85" s="5">
        <v>32.835999999999999</v>
      </c>
      <c r="AD85" s="5">
        <v>45.258000000000003</v>
      </c>
      <c r="AE85" s="459" t="s">
        <v>592</v>
      </c>
      <c r="AG85" s="459"/>
    </row>
    <row r="86" spans="2:33">
      <c r="B86" s="459" t="str">
        <f t="shared" si="24"/>
        <v>T-LPT-EV_ELC00</v>
      </c>
      <c r="C86" s="459" t="s">
        <v>792</v>
      </c>
      <c r="D86" s="721">
        <v>55.691000000000003</v>
      </c>
      <c r="E86" s="5">
        <f>D86</f>
        <v>55.691000000000003</v>
      </c>
      <c r="F86" s="5">
        <f t="shared" ref="F86:F88" si="30">E86</f>
        <v>55.691000000000003</v>
      </c>
      <c r="G86" s="5">
        <f t="shared" ref="G86:G88" si="31">F86</f>
        <v>55.691000000000003</v>
      </c>
      <c r="H86" s="5">
        <f t="shared" ref="H86:H88" si="32">G86</f>
        <v>55.691000000000003</v>
      </c>
      <c r="I86" s="5">
        <f t="shared" ref="I86:I88" si="33">H86</f>
        <v>55.691000000000003</v>
      </c>
      <c r="J86" s="5">
        <f t="shared" ref="J86:J88" si="34">I86</f>
        <v>55.691000000000003</v>
      </c>
      <c r="K86" s="5">
        <f t="shared" ref="K86:K88" si="35">J86</f>
        <v>55.691000000000003</v>
      </c>
      <c r="L86" s="5">
        <f t="shared" ref="L86:L88" si="36">K86</f>
        <v>55.691000000000003</v>
      </c>
      <c r="M86" s="5">
        <f t="shared" ref="M86:M88" si="37">L86</f>
        <v>55.691000000000003</v>
      </c>
      <c r="N86" s="5">
        <f t="shared" ref="N86:N88" si="38">M86</f>
        <v>55.691000000000003</v>
      </c>
      <c r="O86" s="5">
        <f t="shared" ref="O86:O88" si="39">N86</f>
        <v>55.691000000000003</v>
      </c>
      <c r="P86" s="5">
        <f t="shared" ref="P86:P88" si="40">O86</f>
        <v>55.691000000000003</v>
      </c>
      <c r="Q86" s="5">
        <f t="shared" ref="Q86:Q88" si="41">P86</f>
        <v>55.691000000000003</v>
      </c>
      <c r="R86" s="5">
        <f t="shared" ref="R86:R88" si="42">Q86</f>
        <v>55.691000000000003</v>
      </c>
      <c r="S86" s="5">
        <f t="shared" ref="S86:S88" si="43">R86</f>
        <v>55.691000000000003</v>
      </c>
      <c r="T86" s="5">
        <f t="shared" ref="T86:T88" si="44">S86</f>
        <v>55.691000000000003</v>
      </c>
      <c r="U86" s="5">
        <f t="shared" ref="U86:U88" si="45">T86</f>
        <v>55.691000000000003</v>
      </c>
      <c r="V86" s="5">
        <f t="shared" ref="V86:V88" si="46">U86</f>
        <v>55.691000000000003</v>
      </c>
      <c r="W86" s="5">
        <f t="shared" ref="W86:W88" si="47">V86</f>
        <v>55.691000000000003</v>
      </c>
      <c r="X86" s="5">
        <f t="shared" ref="X86:X88" si="48">W86</f>
        <v>55.691000000000003</v>
      </c>
      <c r="Y86" s="5">
        <f t="shared" ref="Y86:Y88" si="49">X86</f>
        <v>55.691000000000003</v>
      </c>
      <c r="Z86" s="5">
        <f t="shared" ref="Z86:Z88" si="50">Y86</f>
        <v>55.691000000000003</v>
      </c>
      <c r="AA86" s="5">
        <f t="shared" ref="AA86:AA88" si="51">Z86</f>
        <v>55.691000000000003</v>
      </c>
      <c r="AB86" s="5">
        <f t="shared" ref="AB86:AB88" si="52">AA86</f>
        <v>55.691000000000003</v>
      </c>
      <c r="AC86" s="5">
        <f t="shared" ref="AC86:AC88" si="53">AB86</f>
        <v>55.691000000000003</v>
      </c>
      <c r="AD86" s="5">
        <f t="shared" ref="AD86:AD88" si="54">AC86</f>
        <v>55.691000000000003</v>
      </c>
      <c r="AE86" s="461" t="s">
        <v>601</v>
      </c>
      <c r="AG86" s="459"/>
    </row>
    <row r="87" spans="2:33">
      <c r="B87" s="459" t="str">
        <f t="shared" si="24"/>
        <v>T-HPT-EV_ELC00</v>
      </c>
      <c r="C87" s="459" t="s">
        <v>792</v>
      </c>
      <c r="D87" s="721">
        <v>158.476</v>
      </c>
      <c r="E87" s="5">
        <f t="shared" ref="E87:E88" si="55">D87</f>
        <v>158.476</v>
      </c>
      <c r="F87" s="5">
        <f t="shared" si="30"/>
        <v>158.476</v>
      </c>
      <c r="G87" s="5">
        <f t="shared" si="31"/>
        <v>158.476</v>
      </c>
      <c r="H87" s="5">
        <f t="shared" si="32"/>
        <v>158.476</v>
      </c>
      <c r="I87" s="5">
        <f t="shared" si="33"/>
        <v>158.476</v>
      </c>
      <c r="J87" s="5">
        <f t="shared" si="34"/>
        <v>158.476</v>
      </c>
      <c r="K87" s="5">
        <f t="shared" si="35"/>
        <v>158.476</v>
      </c>
      <c r="L87" s="5">
        <f t="shared" si="36"/>
        <v>158.476</v>
      </c>
      <c r="M87" s="5">
        <f t="shared" si="37"/>
        <v>158.476</v>
      </c>
      <c r="N87" s="5">
        <f t="shared" si="38"/>
        <v>158.476</v>
      </c>
      <c r="O87" s="5">
        <f t="shared" si="39"/>
        <v>158.476</v>
      </c>
      <c r="P87" s="5">
        <f t="shared" si="40"/>
        <v>158.476</v>
      </c>
      <c r="Q87" s="5">
        <f t="shared" si="41"/>
        <v>158.476</v>
      </c>
      <c r="R87" s="5">
        <f t="shared" si="42"/>
        <v>158.476</v>
      </c>
      <c r="S87" s="5">
        <f t="shared" si="43"/>
        <v>158.476</v>
      </c>
      <c r="T87" s="5">
        <f t="shared" si="44"/>
        <v>158.476</v>
      </c>
      <c r="U87" s="5">
        <f t="shared" si="45"/>
        <v>158.476</v>
      </c>
      <c r="V87" s="5">
        <f t="shared" si="46"/>
        <v>158.476</v>
      </c>
      <c r="W87" s="5">
        <f t="shared" si="47"/>
        <v>158.476</v>
      </c>
      <c r="X87" s="5">
        <f t="shared" si="48"/>
        <v>158.476</v>
      </c>
      <c r="Y87" s="5">
        <f t="shared" si="49"/>
        <v>158.476</v>
      </c>
      <c r="Z87" s="5">
        <f t="shared" si="50"/>
        <v>158.476</v>
      </c>
      <c r="AA87" s="5">
        <f t="shared" si="51"/>
        <v>158.476</v>
      </c>
      <c r="AB87" s="5">
        <f t="shared" si="52"/>
        <v>158.476</v>
      </c>
      <c r="AC87" s="5">
        <f t="shared" si="53"/>
        <v>158.476</v>
      </c>
      <c r="AD87" s="5">
        <f t="shared" si="54"/>
        <v>158.476</v>
      </c>
      <c r="AE87" s="461" t="s">
        <v>601</v>
      </c>
      <c r="AG87" s="459"/>
    </row>
    <row r="88" spans="2:33">
      <c r="B88" s="459" t="str">
        <f t="shared" si="24"/>
        <v>T-HPT-ICE_DST00</v>
      </c>
      <c r="C88" s="459" t="s">
        <v>792</v>
      </c>
      <c r="D88" s="721">
        <v>73.884</v>
      </c>
      <c r="E88" s="5">
        <f t="shared" si="55"/>
        <v>73.884</v>
      </c>
      <c r="F88" s="5">
        <f t="shared" si="30"/>
        <v>73.884</v>
      </c>
      <c r="G88" s="5">
        <f t="shared" si="31"/>
        <v>73.884</v>
      </c>
      <c r="H88" s="5">
        <f t="shared" si="32"/>
        <v>73.884</v>
      </c>
      <c r="I88" s="5">
        <f t="shared" si="33"/>
        <v>73.884</v>
      </c>
      <c r="J88" s="5">
        <f t="shared" si="34"/>
        <v>73.884</v>
      </c>
      <c r="K88" s="5">
        <f t="shared" si="35"/>
        <v>73.884</v>
      </c>
      <c r="L88" s="5">
        <f t="shared" si="36"/>
        <v>73.884</v>
      </c>
      <c r="M88" s="5">
        <f t="shared" si="37"/>
        <v>73.884</v>
      </c>
      <c r="N88" s="5">
        <f t="shared" si="38"/>
        <v>73.884</v>
      </c>
      <c r="O88" s="5">
        <f t="shared" si="39"/>
        <v>73.884</v>
      </c>
      <c r="P88" s="5">
        <f t="shared" si="40"/>
        <v>73.884</v>
      </c>
      <c r="Q88" s="5">
        <f t="shared" si="41"/>
        <v>73.884</v>
      </c>
      <c r="R88" s="5">
        <f t="shared" si="42"/>
        <v>73.884</v>
      </c>
      <c r="S88" s="5">
        <f t="shared" si="43"/>
        <v>73.884</v>
      </c>
      <c r="T88" s="5">
        <f t="shared" si="44"/>
        <v>73.884</v>
      </c>
      <c r="U88" s="5">
        <f t="shared" si="45"/>
        <v>73.884</v>
      </c>
      <c r="V88" s="5">
        <f t="shared" si="46"/>
        <v>73.884</v>
      </c>
      <c r="W88" s="5">
        <f t="shared" si="47"/>
        <v>73.884</v>
      </c>
      <c r="X88" s="5">
        <f t="shared" si="48"/>
        <v>73.884</v>
      </c>
      <c r="Y88" s="5">
        <f t="shared" si="49"/>
        <v>73.884</v>
      </c>
      <c r="Z88" s="5">
        <f t="shared" si="50"/>
        <v>73.884</v>
      </c>
      <c r="AA88" s="5">
        <f t="shared" si="51"/>
        <v>73.884</v>
      </c>
      <c r="AB88" s="5">
        <f t="shared" si="52"/>
        <v>73.884</v>
      </c>
      <c r="AC88" s="5">
        <f t="shared" si="53"/>
        <v>73.884</v>
      </c>
      <c r="AD88" s="5">
        <f t="shared" si="54"/>
        <v>73.884</v>
      </c>
      <c r="AE88" s="461" t="s">
        <v>601</v>
      </c>
      <c r="AG88" s="459"/>
    </row>
    <row r="89" spans="2:33">
      <c r="B89" s="459" t="str">
        <f t="shared" si="24"/>
        <v>T-LGT-ICE_GSL00</v>
      </c>
      <c r="C89" s="459" t="s">
        <v>792</v>
      </c>
      <c r="D89" s="721">
        <v>16.637</v>
      </c>
      <c r="E89" s="5">
        <v>18.2</v>
      </c>
      <c r="F89" s="5">
        <v>17.184999999999999</v>
      </c>
      <c r="G89" s="5">
        <v>18.103999999999999</v>
      </c>
      <c r="H89" s="5">
        <v>13.529</v>
      </c>
      <c r="I89" s="5">
        <v>14.763999999999999</v>
      </c>
      <c r="J89" s="5">
        <v>16.236000000000001</v>
      </c>
      <c r="K89" s="5">
        <v>20.882999999999999</v>
      </c>
      <c r="L89" s="5">
        <v>16.834</v>
      </c>
      <c r="M89" s="5">
        <v>18.277000000000001</v>
      </c>
      <c r="N89" s="5">
        <v>17.556999999999999</v>
      </c>
      <c r="O89" s="5">
        <v>18.234000000000002</v>
      </c>
      <c r="P89" s="5">
        <v>13.991</v>
      </c>
      <c r="Q89" s="5">
        <v>16.218</v>
      </c>
      <c r="R89" s="5">
        <v>15.417999999999999</v>
      </c>
      <c r="S89" s="5">
        <v>16.893000000000001</v>
      </c>
      <c r="T89" s="5">
        <v>21.984999999999999</v>
      </c>
      <c r="U89" s="5">
        <v>17.042999999999999</v>
      </c>
      <c r="V89" s="5">
        <v>15.646000000000001</v>
      </c>
      <c r="W89" s="5">
        <v>15.837999999999999</v>
      </c>
      <c r="X89" s="5">
        <v>17.187999999999999</v>
      </c>
      <c r="Y89" s="5">
        <v>15.44</v>
      </c>
      <c r="Z89" s="5">
        <v>19.148</v>
      </c>
      <c r="AA89" s="5">
        <v>17.276</v>
      </c>
      <c r="AB89" s="5">
        <v>15.121</v>
      </c>
      <c r="AC89" s="5">
        <v>16.215</v>
      </c>
      <c r="AD89" s="5">
        <v>18.088000000000001</v>
      </c>
      <c r="AE89" s="459" t="s">
        <v>592</v>
      </c>
      <c r="AG89" s="459"/>
    </row>
    <row r="90" spans="2:33">
      <c r="B90" s="459" t="str">
        <f t="shared" si="24"/>
        <v>T-HGT-ICE_DST00</v>
      </c>
      <c r="C90" s="459" t="s">
        <v>792</v>
      </c>
      <c r="D90" s="722">
        <v>22.277000000000001</v>
      </c>
      <c r="E90" s="557">
        <v>22.292000000000002</v>
      </c>
      <c r="F90" s="557">
        <v>23.773</v>
      </c>
      <c r="G90" s="557">
        <v>23.483000000000001</v>
      </c>
      <c r="H90" s="557">
        <v>23.015000000000001</v>
      </c>
      <c r="I90" s="557">
        <v>23.285</v>
      </c>
      <c r="J90" s="557">
        <v>22.283999999999999</v>
      </c>
      <c r="K90" s="557">
        <v>23.105</v>
      </c>
      <c r="L90" s="557">
        <v>24.164000000000001</v>
      </c>
      <c r="M90" s="557">
        <v>21.367999999999999</v>
      </c>
      <c r="N90" s="557">
        <v>21.434999999999999</v>
      </c>
      <c r="O90" s="557">
        <v>23.907</v>
      </c>
      <c r="P90" s="557">
        <v>21.22</v>
      </c>
      <c r="Q90" s="557">
        <v>20.978000000000002</v>
      </c>
      <c r="R90" s="557">
        <v>21.184999999999999</v>
      </c>
      <c r="S90" s="557">
        <v>20.532</v>
      </c>
      <c r="T90" s="557">
        <v>23.594000000000001</v>
      </c>
      <c r="U90" s="557">
        <v>21.67</v>
      </c>
      <c r="V90" s="557">
        <v>19.98</v>
      </c>
      <c r="W90" s="557">
        <v>21.087</v>
      </c>
      <c r="X90" s="557">
        <v>20.648</v>
      </c>
      <c r="Y90" s="557">
        <v>20.27</v>
      </c>
      <c r="Z90" s="557">
        <v>21.571000000000002</v>
      </c>
      <c r="AA90" s="557">
        <v>20.076000000000001</v>
      </c>
      <c r="AB90" s="557">
        <v>22.175999999999998</v>
      </c>
      <c r="AC90" s="557">
        <v>19.757999999999999</v>
      </c>
      <c r="AD90" s="557">
        <v>25.042999999999999</v>
      </c>
      <c r="AE90" s="459" t="s">
        <v>592</v>
      </c>
      <c r="AG90" s="459"/>
    </row>
    <row r="91" spans="2:33">
      <c r="B91" s="458" t="str">
        <f t="shared" si="24"/>
        <v>T-GTR-ICE_DST00</v>
      </c>
      <c r="C91" s="458" t="s">
        <v>792</v>
      </c>
      <c r="D91" s="723">
        <v>39.363999999999997</v>
      </c>
      <c r="E91" s="601">
        <f>D91</f>
        <v>39.363999999999997</v>
      </c>
      <c r="F91" s="601">
        <f t="shared" ref="F91" si="56">E91</f>
        <v>39.363999999999997</v>
      </c>
      <c r="G91" s="601">
        <f t="shared" ref="G91" si="57">F91</f>
        <v>39.363999999999997</v>
      </c>
      <c r="H91" s="601">
        <f t="shared" ref="H91" si="58">G91</f>
        <v>39.363999999999997</v>
      </c>
      <c r="I91" s="601">
        <f t="shared" ref="I91" si="59">H91</f>
        <v>39.363999999999997</v>
      </c>
      <c r="J91" s="601">
        <f t="shared" ref="J91" si="60">I91</f>
        <v>39.363999999999997</v>
      </c>
      <c r="K91" s="601">
        <f t="shared" ref="K91" si="61">J91</f>
        <v>39.363999999999997</v>
      </c>
      <c r="L91" s="601">
        <f t="shared" ref="L91" si="62">K91</f>
        <v>39.363999999999997</v>
      </c>
      <c r="M91" s="601">
        <f t="shared" ref="M91" si="63">L91</f>
        <v>39.363999999999997</v>
      </c>
      <c r="N91" s="601">
        <f t="shared" ref="N91" si="64">M91</f>
        <v>39.363999999999997</v>
      </c>
      <c r="O91" s="601">
        <f t="shared" ref="O91" si="65">N91</f>
        <v>39.363999999999997</v>
      </c>
      <c r="P91" s="601">
        <f t="shared" ref="P91" si="66">O91</f>
        <v>39.363999999999997</v>
      </c>
      <c r="Q91" s="601">
        <f t="shared" ref="Q91" si="67">P91</f>
        <v>39.363999999999997</v>
      </c>
      <c r="R91" s="601">
        <f t="shared" ref="R91" si="68">Q91</f>
        <v>39.363999999999997</v>
      </c>
      <c r="S91" s="601">
        <f t="shared" ref="S91" si="69">R91</f>
        <v>39.363999999999997</v>
      </c>
      <c r="T91" s="601">
        <f t="shared" ref="T91" si="70">S91</f>
        <v>39.363999999999997</v>
      </c>
      <c r="U91" s="601">
        <f t="shared" ref="U91" si="71">T91</f>
        <v>39.363999999999997</v>
      </c>
      <c r="V91" s="601">
        <f t="shared" ref="V91" si="72">U91</f>
        <v>39.363999999999997</v>
      </c>
      <c r="W91" s="601">
        <f t="shared" ref="W91" si="73">V91</f>
        <v>39.363999999999997</v>
      </c>
      <c r="X91" s="601">
        <f t="shared" ref="X91" si="74">W91</f>
        <v>39.363999999999997</v>
      </c>
      <c r="Y91" s="601">
        <f t="shared" ref="Y91" si="75">X91</f>
        <v>39.363999999999997</v>
      </c>
      <c r="Z91" s="601">
        <f t="shared" ref="Z91" si="76">Y91</f>
        <v>39.363999999999997</v>
      </c>
      <c r="AA91" s="601">
        <f t="shared" ref="AA91" si="77">Z91</f>
        <v>39.363999999999997</v>
      </c>
      <c r="AB91" s="601">
        <f t="shared" ref="AB91" si="78">AA91</f>
        <v>39.363999999999997</v>
      </c>
      <c r="AC91" s="601">
        <f t="shared" ref="AC91" si="79">AB91</f>
        <v>39.363999999999997</v>
      </c>
      <c r="AD91" s="601">
        <f t="shared" ref="AD91" si="80">AC91</f>
        <v>39.363999999999997</v>
      </c>
      <c r="AE91" s="459"/>
      <c r="AG91" s="459"/>
    </row>
    <row r="99" spans="2:30" ht="18.75">
      <c r="B99" s="648" t="s">
        <v>856</v>
      </c>
    </row>
    <row r="100" spans="2:30" ht="15.75" thickBot="1">
      <c r="B100" s="41" t="s">
        <v>70</v>
      </c>
      <c r="C100" s="41" t="s">
        <v>96</v>
      </c>
      <c r="D100" s="460" t="str">
        <f t="shared" ref="D100:AD100" si="81">D3</f>
        <v>IE</v>
      </c>
      <c r="E100" s="460" t="str">
        <f t="shared" si="81"/>
        <v>IE-CW</v>
      </c>
      <c r="F100" s="460" t="str">
        <f t="shared" si="81"/>
        <v>IE-D</v>
      </c>
      <c r="G100" s="460" t="str">
        <f t="shared" si="81"/>
        <v>IE-KE</v>
      </c>
      <c r="H100" s="460" t="str">
        <f t="shared" si="81"/>
        <v>IE-KK</v>
      </c>
      <c r="I100" s="460" t="str">
        <f t="shared" si="81"/>
        <v>IE-LS</v>
      </c>
      <c r="J100" s="460" t="str">
        <f t="shared" si="81"/>
        <v>IE-LD</v>
      </c>
      <c r="K100" s="460" t="str">
        <f t="shared" si="81"/>
        <v>IE-LH</v>
      </c>
      <c r="L100" s="460" t="str">
        <f t="shared" si="81"/>
        <v>IE-MH</v>
      </c>
      <c r="M100" s="460" t="str">
        <f t="shared" si="81"/>
        <v>IE-OY</v>
      </c>
      <c r="N100" s="460" t="str">
        <f t="shared" si="81"/>
        <v>IE-WH</v>
      </c>
      <c r="O100" s="460" t="str">
        <f t="shared" si="81"/>
        <v>IE-WX</v>
      </c>
      <c r="P100" s="460" t="str">
        <f t="shared" si="81"/>
        <v>IE-WW</v>
      </c>
      <c r="Q100" s="460" t="str">
        <f t="shared" si="81"/>
        <v>IE-CE</v>
      </c>
      <c r="R100" s="460" t="str">
        <f t="shared" si="81"/>
        <v>IE-CO</v>
      </c>
      <c r="S100" s="460" t="str">
        <f t="shared" si="81"/>
        <v>IE-KY</v>
      </c>
      <c r="T100" s="460" t="str">
        <f t="shared" si="81"/>
        <v>IE-LK</v>
      </c>
      <c r="U100" s="460" t="str">
        <f t="shared" si="81"/>
        <v>IE-TA</v>
      </c>
      <c r="V100" s="460" t="str">
        <f t="shared" si="81"/>
        <v>IE-WD</v>
      </c>
      <c r="W100" s="460" t="str">
        <f t="shared" si="81"/>
        <v>IE-G</v>
      </c>
      <c r="X100" s="460" t="str">
        <f t="shared" si="81"/>
        <v>IE-LM</v>
      </c>
      <c r="Y100" s="460" t="str">
        <f t="shared" si="81"/>
        <v>IE-MO</v>
      </c>
      <c r="Z100" s="460" t="str">
        <f t="shared" si="81"/>
        <v>IE-RN</v>
      </c>
      <c r="AA100" s="460" t="str">
        <f t="shared" si="81"/>
        <v>IE-SO</v>
      </c>
      <c r="AB100" s="460" t="str">
        <f t="shared" si="81"/>
        <v>IE-CN</v>
      </c>
      <c r="AC100" s="460" t="str">
        <f t="shared" si="81"/>
        <v>IE-DL</v>
      </c>
      <c r="AD100" s="460" t="str">
        <f t="shared" si="81"/>
        <v>IE-MN</v>
      </c>
    </row>
    <row r="101" spans="2:30">
      <c r="B101" s="459" t="str">
        <f t="shared" ref="B101:B120" si="82">B6</f>
        <v>T-MOT-ICE_GSL00</v>
      </c>
      <c r="C101" s="459" t="s">
        <v>857</v>
      </c>
      <c r="D101" s="10">
        <f>Stock!E50*AF!D72*ACT2FLO!D50*AF!D40</f>
        <v>0.1197193932</v>
      </c>
      <c r="E101" s="10">
        <f>Stock!F50*AF!E72*ACT2FLO!E50*AF!E40</f>
        <v>1.6330940999999999E-3</v>
      </c>
      <c r="F101" s="10">
        <f>Stock!G50*AF!F72*ACT2FLO!F50*AF!F40</f>
        <v>3.8829524800000001E-2</v>
      </c>
      <c r="G101" s="10">
        <f>Stock!H50*AF!G72*ACT2FLO!G50*AF!G40</f>
        <v>6.505734400000001E-3</v>
      </c>
      <c r="H101" s="10">
        <f>Stock!I50*AF!H72*ACT2FLO!H50*AF!H40</f>
        <v>2.5437984E-3</v>
      </c>
      <c r="I101" s="10">
        <f>Stock!J50*AF!I72*ACT2FLO!I50*AF!I40</f>
        <v>1.5292530000000002E-3</v>
      </c>
      <c r="J101" s="10">
        <f>Stock!K50*AF!J72*ACT2FLO!J50*AF!J40</f>
        <v>6.2534670000000006E-4</v>
      </c>
      <c r="K101" s="10">
        <f>Stock!L50*AF!K72*ACT2FLO!K50*AF!K40</f>
        <v>2.5938990000000002E-3</v>
      </c>
      <c r="L101" s="10">
        <f>Stock!M50*AF!L72*ACT2FLO!L50*AF!L40</f>
        <v>5.0422328000000001E-3</v>
      </c>
      <c r="M101" s="10">
        <f>Stock!N50*AF!M72*ACT2FLO!M50*AF!M40</f>
        <v>1.9545504000000003E-3</v>
      </c>
      <c r="N101" s="10">
        <f>Stock!O50*AF!N72*ACT2FLO!N50*AF!N40</f>
        <v>1.7978664000000001E-3</v>
      </c>
      <c r="O101" s="10">
        <f>Stock!P50*AF!O72*ACT2FLO!O50*AF!O40</f>
        <v>4.4015862000000008E-3</v>
      </c>
      <c r="P101" s="10">
        <f>Stock!Q50*AF!P72*ACT2FLO!P50*AF!P40</f>
        <v>4.6495680000000015E-3</v>
      </c>
      <c r="Q101" s="10">
        <f>Stock!R50*AF!Q72*ACT2FLO!Q50*AF!Q40</f>
        <v>2.7707064000000005E-3</v>
      </c>
      <c r="R101" s="10">
        <f>Stock!S50*AF!R72*ACT2FLO!R50*AF!R40</f>
        <v>1.6120473600000004E-2</v>
      </c>
      <c r="S101" s="10">
        <f>Stock!T50*AF!S72*ACT2FLO!S50*AF!S40</f>
        <v>3.1307760000000005E-3</v>
      </c>
      <c r="T101" s="10">
        <f>Stock!U50*AF!T72*ACT2FLO!T50*AF!T40</f>
        <v>4.4223300000000012E-3</v>
      </c>
      <c r="U101" s="10">
        <f>Stock!V50*AF!U72*ACT2FLO!U50*AF!U40</f>
        <v>4.1843208000000003E-3</v>
      </c>
      <c r="V101" s="10">
        <f>Stock!W50*AF!V72*ACT2FLO!V50*AF!V40</f>
        <v>3.7662504000000002E-3</v>
      </c>
      <c r="W101" s="10">
        <f>Stock!X50*AF!W72*ACT2FLO!W50*AF!W40</f>
        <v>4.3318638000000003E-3</v>
      </c>
      <c r="X101" s="10">
        <f>Stock!Y50*AF!X72*ACT2FLO!X50*AF!X40</f>
        <v>4.7960000000000006E-4</v>
      </c>
      <c r="Y101" s="10">
        <f>Stock!Z50*AF!Y72*ACT2FLO!Y50*AF!Y40</f>
        <v>1.8088290000000003E-3</v>
      </c>
      <c r="Z101" s="10">
        <f>Stock!AA50*AF!Z72*ACT2FLO!Z50*AF!Z40</f>
        <v>8.8556050000000014E-4</v>
      </c>
      <c r="AA101" s="10">
        <f>Stock!AB50*AF!AA72*ACT2FLO!AA50*AF!AA40</f>
        <v>1.1651200000000002E-3</v>
      </c>
      <c r="AB101" s="10">
        <f>Stock!AC50*AF!AB72*ACT2FLO!AB50*AF!AB40</f>
        <v>1.3359808000000001E-3</v>
      </c>
      <c r="AC101" s="10">
        <f>Stock!AD50*AF!AC72*ACT2FLO!AC50*AF!AC40</f>
        <v>2.2612128000000006E-3</v>
      </c>
      <c r="AD101" s="10">
        <f>Stock!AE50*AF!AD72*ACT2FLO!AD50*AF!AD40</f>
        <v>9.2045800000000008E-4</v>
      </c>
    </row>
    <row r="102" spans="2:30">
      <c r="B102" s="459" t="str">
        <f t="shared" si="82"/>
        <v>T-CAR-ICE_GSL00</v>
      </c>
      <c r="C102" s="459" t="s">
        <v>857</v>
      </c>
      <c r="D102" s="10">
        <f>Stock!E52*AF!D73*ACT2FLO!D51*AF!D41</f>
        <v>18.106909533018577</v>
      </c>
      <c r="E102" s="10">
        <f>Stock!F52*AF!E73*ACT2FLO!E51*AF!E41</f>
        <v>0.2180668061497526</v>
      </c>
      <c r="F102" s="10">
        <f>Stock!G52*AF!F73*ACT2FLO!F51*AF!F41</f>
        <v>4.9233031702123737</v>
      </c>
      <c r="G102" s="10">
        <f>Stock!H52*AF!G73*ACT2FLO!G51*AF!G41</f>
        <v>0.89867525711270679</v>
      </c>
      <c r="H102" s="10">
        <f>Stock!I52*AF!H73*ACT2FLO!H51*AF!H41</f>
        <v>0.35621826432787701</v>
      </c>
      <c r="I102" s="10">
        <f>Stock!J52*AF!I73*ACT2FLO!I51*AF!I41</f>
        <v>0.26035967063828375</v>
      </c>
      <c r="J102" s="10">
        <f>Stock!K52*AF!J73*ACT2FLO!J51*AF!J41</f>
        <v>0.12142540026648706</v>
      </c>
      <c r="K102" s="10">
        <f>Stock!L52*AF!K73*ACT2FLO!K51*AF!K41</f>
        <v>0.40758491177739253</v>
      </c>
      <c r="L102" s="10">
        <f>Stock!M52*AF!L73*ACT2FLO!L51*AF!L41</f>
        <v>0.71169733840297489</v>
      </c>
      <c r="M102" s="10">
        <f>Stock!N52*AF!M73*ACT2FLO!M51*AF!M41</f>
        <v>0.25829816876126876</v>
      </c>
      <c r="N102" s="10">
        <f>Stock!O52*AF!N73*ACT2FLO!N51*AF!N41</f>
        <v>0.2991226507134559</v>
      </c>
      <c r="O102" s="10">
        <f>Stock!P52*AF!O73*ACT2FLO!O51*AF!O41</f>
        <v>0.60802543695906919</v>
      </c>
      <c r="P102" s="10">
        <f>Stock!Q52*AF!P73*ACT2FLO!P51*AF!P41</f>
        <v>0.65724766249917688</v>
      </c>
      <c r="Q102" s="10">
        <f>Stock!R52*AF!Q73*ACT2FLO!Q51*AF!Q41</f>
        <v>0.50957748114378698</v>
      </c>
      <c r="R102" s="10">
        <f>Stock!S52*AF!R73*ACT2FLO!R51*AF!R41</f>
        <v>2.3638367240963061</v>
      </c>
      <c r="S102" s="10">
        <f>Stock!T52*AF!S73*ACT2FLO!S51*AF!S41</f>
        <v>0.65770096693205482</v>
      </c>
      <c r="T102" s="10">
        <f>Stock!U52*AF!T73*ACT2FLO!T51*AF!T41</f>
        <v>0.8065904350240175</v>
      </c>
      <c r="U102" s="10">
        <f>Stock!V52*AF!U73*ACT2FLO!U51*AF!U41</f>
        <v>0.65539351143153579</v>
      </c>
      <c r="V102" s="10">
        <f>Stock!W52*AF!V73*ACT2FLO!V51*AF!V41</f>
        <v>0.5322909619003956</v>
      </c>
      <c r="W102" s="10">
        <f>Stock!X52*AF!W73*ACT2FLO!W51*AF!W41</f>
        <v>0.92681031385224144</v>
      </c>
      <c r="X102" s="10">
        <f>Stock!Y52*AF!X73*ACT2FLO!X51*AF!X41</f>
        <v>0.10794145802976565</v>
      </c>
      <c r="Y102" s="10">
        <f>Stock!Z52*AF!Y73*ACT2FLO!Y51*AF!Y41</f>
        <v>0.46754381486504826</v>
      </c>
      <c r="Z102" s="10">
        <f>Stock!AA52*AF!Z73*ACT2FLO!Z51*AF!Z41</f>
        <v>0.27464659706446604</v>
      </c>
      <c r="AA102" s="10">
        <f>Stock!AB52*AF!AA73*ACT2FLO!AA51*AF!AA41</f>
        <v>0.23557582545621453</v>
      </c>
      <c r="AB102" s="10">
        <f>Stock!AC52*AF!AB73*ACT2FLO!AB51*AF!AB41</f>
        <v>0.22418342078047424</v>
      </c>
      <c r="AC102" s="10">
        <f>Stock!AD52*AF!AC73*ACT2FLO!AC51*AF!AC41</f>
        <v>0.46374261412430856</v>
      </c>
      <c r="AD102" s="10">
        <f>Stock!AE52*AF!AD73*ACT2FLO!AD51*AF!AD41</f>
        <v>0.1614070747496574</v>
      </c>
    </row>
    <row r="103" spans="2:30">
      <c r="B103" s="459" t="str">
        <f t="shared" si="82"/>
        <v>T-CAR-ICE_DST00</v>
      </c>
      <c r="C103" s="459" t="s">
        <v>857</v>
      </c>
      <c r="D103" s="10">
        <f>Stock!E53*AF!D74*ACT2FLO!D52*AF!D42</f>
        <v>34.741372332081305</v>
      </c>
      <c r="E103" s="10">
        <f>Stock!F53*AF!E74*ACT2FLO!E52*AF!E42</f>
        <v>0.56367215826992334</v>
      </c>
      <c r="F103" s="10">
        <f>Stock!G53*AF!F74*ACT2FLO!F52*AF!F42</f>
        <v>6.0973032808917331</v>
      </c>
      <c r="G103" s="10">
        <f>Stock!H53*AF!G74*ACT2FLO!G52*AF!G42</f>
        <v>1.7730201152173173</v>
      </c>
      <c r="H103" s="10">
        <f>Stock!I53*AF!H74*ACT2FLO!H52*AF!H42</f>
        <v>0.86560465907990058</v>
      </c>
      <c r="I103" s="10">
        <f>Stock!J53*AF!I74*ACT2FLO!I52*AF!I42</f>
        <v>0.73387771001437219</v>
      </c>
      <c r="J103" s="10">
        <f>Stock!K53*AF!J74*ACT2FLO!J52*AF!J42</f>
        <v>0.38208656018117776</v>
      </c>
      <c r="K103" s="10">
        <f>Stock!L53*AF!K74*ACT2FLO!K52*AF!K42</f>
        <v>0.92101499942692677</v>
      </c>
      <c r="L103" s="10">
        <f>Stock!M53*AF!L74*ACT2FLO!L52*AF!L42</f>
        <v>1.6579702443091546</v>
      </c>
      <c r="M103" s="10">
        <f>Stock!N53*AF!M74*ACT2FLO!M52*AF!M42</f>
        <v>0.71686405345360538</v>
      </c>
      <c r="N103" s="10">
        <f>Stock!O53*AF!N74*ACT2FLO!N52*AF!N42</f>
        <v>0.85850336309646769</v>
      </c>
      <c r="O103" s="10">
        <f>Stock!P53*AF!O74*ACT2FLO!O52*AF!O42</f>
        <v>1.436417932136778</v>
      </c>
      <c r="P103" s="10">
        <f>Stock!Q53*AF!P74*ACT2FLO!P52*AF!P42</f>
        <v>1.0407944140734382</v>
      </c>
      <c r="Q103" s="10">
        <f>Stock!R53*AF!Q74*ACT2FLO!Q52*AF!Q42</f>
        <v>1.0705664058910511</v>
      </c>
      <c r="R103" s="10">
        <f>Stock!S53*AF!R74*ACT2FLO!R52*AF!R42</f>
        <v>3.9615302847675804</v>
      </c>
      <c r="S103" s="10">
        <f>Stock!T53*AF!S74*ACT2FLO!S52*AF!S42</f>
        <v>1.228876703300243</v>
      </c>
      <c r="T103" s="10">
        <f>Stock!U53*AF!T74*ACT2FLO!T52*AF!T42</f>
        <v>1.5260443384910798</v>
      </c>
      <c r="U103" s="10">
        <f>Stock!V53*AF!U74*ACT2FLO!U52*AF!U42</f>
        <v>1.5853264979762327</v>
      </c>
      <c r="V103" s="10">
        <f>Stock!W53*AF!V74*ACT2FLO!V52*AF!V42</f>
        <v>0.9197913097643502</v>
      </c>
      <c r="W103" s="10">
        <f>Stock!X53*AF!W74*ACT2FLO!W52*AF!W42</f>
        <v>2.116889456726248</v>
      </c>
      <c r="X103" s="10">
        <f>Stock!Y53*AF!X74*ACT2FLO!X52*AF!X42</f>
        <v>0.31427002615290101</v>
      </c>
      <c r="Y103" s="10">
        <f>Stock!Z53*AF!Y74*ACT2FLO!Y52*AF!Y42</f>
        <v>1.2155497579760115</v>
      </c>
      <c r="Z103" s="10">
        <f>Stock!AA53*AF!Z74*ACT2FLO!Z52*AF!Z42</f>
        <v>0.70441238326113909</v>
      </c>
      <c r="AA103" s="10">
        <f>Stock!AB53*AF!AA74*ACT2FLO!AA52*AF!AA42</f>
        <v>0.54064340354244822</v>
      </c>
      <c r="AB103" s="10">
        <f>Stock!AC53*AF!AB74*ACT2FLO!AB52*AF!AB42</f>
        <v>0.6821766580222447</v>
      </c>
      <c r="AC103" s="10">
        <f>Stock!AD53*AF!AC74*ACT2FLO!AC52*AF!AC42</f>
        <v>1.2609269131605734</v>
      </c>
      <c r="AD103" s="10">
        <f>Stock!AE53*AF!AD74*ACT2FLO!AD52*AF!AD42</f>
        <v>0.56787787168272141</v>
      </c>
    </row>
    <row r="104" spans="2:30">
      <c r="B104" s="459" t="str">
        <f t="shared" si="82"/>
        <v>T-CAR-ICE_DF00</v>
      </c>
      <c r="C104" s="459" t="s">
        <v>857</v>
      </c>
      <c r="D104" s="10">
        <f>Stock!E54*AF!D75*ACT2FLO!D53*AF!D43</f>
        <v>1.3439263951670231E-3</v>
      </c>
      <c r="E104" s="10">
        <f>Stock!F54*AF!E75*ACT2FLO!E53*AF!E43</f>
        <v>0</v>
      </c>
      <c r="F104" s="10">
        <f>Stock!G54*AF!F75*ACT2FLO!F53*AF!F43</f>
        <v>5.3670041694669395E-4</v>
      </c>
      <c r="G104" s="10">
        <f>Stock!H54*AF!G75*ACT2FLO!G53*AF!G43</f>
        <v>2.0758356317148401E-5</v>
      </c>
      <c r="H104" s="10">
        <f>Stock!I54*AF!H75*ACT2FLO!H53*AF!H43</f>
        <v>2.1422301444808215E-5</v>
      </c>
      <c r="I104" s="10">
        <f>Stock!J54*AF!I75*ACT2FLO!I53*AF!I43</f>
        <v>0</v>
      </c>
      <c r="J104" s="10">
        <f>Stock!K54*AF!J75*ACT2FLO!J53*AF!J43</f>
        <v>4.1788258731452048E-5</v>
      </c>
      <c r="K104" s="10">
        <f>Stock!L54*AF!K75*ACT2FLO!K53*AF!K43</f>
        <v>2.0013842567255704E-5</v>
      </c>
      <c r="L104" s="10">
        <f>Stock!M54*AF!L75*ACT2FLO!L53*AF!L43</f>
        <v>4.2083677012972596E-5</v>
      </c>
      <c r="M104" s="10">
        <f>Stock!N54*AF!M75*ACT2FLO!M53*AF!M43</f>
        <v>6.4915929346856155E-5</v>
      </c>
      <c r="N104" s="10">
        <f>Stock!O54*AF!N75*ACT2FLO!N53*AF!N43</f>
        <v>2.0901589423340182E-5</v>
      </c>
      <c r="O104" s="10">
        <f>Stock!P54*AF!O75*ACT2FLO!O53*AF!O43</f>
        <v>6.3255320521945197E-5</v>
      </c>
      <c r="P104" s="10">
        <f>Stock!Q54*AF!P75*ACT2FLO!P53*AF!P43</f>
        <v>1.0380670170097029E-4</v>
      </c>
      <c r="Q104" s="10">
        <f>Stock!R54*AF!Q75*ACT2FLO!Q53*AF!Q43</f>
        <v>2.1004538218415522E-5</v>
      </c>
      <c r="R104" s="10">
        <f>Stock!S54*AF!R75*ACT2FLO!R53*AF!R43</f>
        <v>9.9629069437043359E-5</v>
      </c>
      <c r="S104" s="10">
        <f>Stock!T54*AF!S75*ACT2FLO!S53*AF!S43</f>
        <v>6.1679756353835605E-5</v>
      </c>
      <c r="T104" s="10">
        <f>Stock!U54*AF!T75*ACT2FLO!T53*AF!T43</f>
        <v>4.1543568841707758E-5</v>
      </c>
      <c r="U104" s="10">
        <f>Stock!V54*AF!U75*ACT2FLO!U53*AF!U43</f>
        <v>0</v>
      </c>
      <c r="V104" s="10">
        <f>Stock!W54*AF!V75*ACT2FLO!V53*AF!V43</f>
        <v>0</v>
      </c>
      <c r="W104" s="10">
        <f>Stock!X54*AF!W75*ACT2FLO!W53*AF!W43</f>
        <v>1.454964876719155E-4</v>
      </c>
      <c r="X104" s="10">
        <f>Stock!Y54*AF!X75*ACT2FLO!X53*AF!X43</f>
        <v>0</v>
      </c>
      <c r="Y104" s="10">
        <f>Stock!Z54*AF!Y75*ACT2FLO!Y53*AF!Y43</f>
        <v>0</v>
      </c>
      <c r="Z104" s="10">
        <f>Stock!AA54*AF!Z75*ACT2FLO!Z53*AF!Z43</f>
        <v>0</v>
      </c>
      <c r="AA104" s="10">
        <f>Stock!AB54*AF!AA75*ACT2FLO!AA53*AF!AA43</f>
        <v>0</v>
      </c>
      <c r="AB104" s="10">
        <f>Stock!AC54*AF!AB75*ACT2FLO!AB53*AF!AB43</f>
        <v>0</v>
      </c>
      <c r="AC104" s="10">
        <f>Stock!AD54*AF!AC75*ACT2FLO!AC53*AF!AC43</f>
        <v>4.2683465645150677E-5</v>
      </c>
      <c r="AD104" s="10">
        <f>Stock!AE54*AF!AD75*ACT2FLO!AD53*AF!AD43</f>
        <v>0</v>
      </c>
    </row>
    <row r="105" spans="2:30">
      <c r="B105" s="459" t="str">
        <f t="shared" si="82"/>
        <v>T-CAR-ICE_E8500</v>
      </c>
      <c r="C105" s="459" t="s">
        <v>857</v>
      </c>
      <c r="D105" s="10">
        <f>Stock!E55*AF!D76*ACT2FLO!D54*AF!D44</f>
        <v>0.17107982424447071</v>
      </c>
      <c r="E105" s="10">
        <f>Stock!F55*AF!E76*ACT2FLO!E54*AF!E44</f>
        <v>2.0603455680848078E-3</v>
      </c>
      <c r="F105" s="10">
        <f>Stock!G55*AF!F76*ACT2FLO!F54*AF!F44</f>
        <v>5.0794860889597816E-3</v>
      </c>
      <c r="G105" s="10">
        <f>Stock!H55*AF!G76*ACT2FLO!G54*AF!G44</f>
        <v>5.8330981251187002E-3</v>
      </c>
      <c r="H105" s="10">
        <f>Stock!I55*AF!H76*ACT2FLO!H54*AF!H44</f>
        <v>1.2296401029319915E-2</v>
      </c>
      <c r="I105" s="10">
        <f>Stock!J55*AF!I76*ACT2FLO!I54*AF!I44</f>
        <v>2.6985475289296981E-3</v>
      </c>
      <c r="J105" s="10">
        <f>Stock!K55*AF!J76*ACT2FLO!J54*AF!J44</f>
        <v>6.6025448795694244E-3</v>
      </c>
      <c r="K105" s="10">
        <f>Stock!L55*AF!K76*ACT2FLO!K54*AF!K44</f>
        <v>8.2056754525748393E-4</v>
      </c>
      <c r="L105" s="10">
        <f>Stock!M55*AF!L76*ACT2FLO!L54*AF!L44</f>
        <v>1.746472596038363E-3</v>
      </c>
      <c r="M105" s="10">
        <f>Stock!N55*AF!M76*ACT2FLO!M54*AF!M44</f>
        <v>1.146848085127792E-3</v>
      </c>
      <c r="N105" s="10">
        <f>Stock!O55*AF!N76*ACT2FLO!N54*AF!N44</f>
        <v>5.4344132500684468E-3</v>
      </c>
      <c r="O105" s="10">
        <f>Stock!P55*AF!O76*ACT2FLO!O54*AF!O44</f>
        <v>3.7320639107947659E-3</v>
      </c>
      <c r="P105" s="10">
        <f>Stock!Q55*AF!P76*ACT2FLO!P54*AF!P44</f>
        <v>6.5398222071611284E-3</v>
      </c>
      <c r="Q105" s="10">
        <f>Stock!R55*AF!Q76*ACT2FLO!Q54*AF!Q44</f>
        <v>4.305930334775181E-3</v>
      </c>
      <c r="R105" s="10">
        <f>Stock!S55*AF!R76*ACT2FLO!R54*AF!R44</f>
        <v>2.3153795737168879E-2</v>
      </c>
      <c r="S105" s="10">
        <f>Stock!T55*AF!S76*ACT2FLO!S54*AF!S44</f>
        <v>7.1959715746141538E-3</v>
      </c>
      <c r="T105" s="10">
        <f>Stock!U55*AF!T76*ACT2FLO!T54*AF!T44</f>
        <v>6.8546888588817798E-4</v>
      </c>
      <c r="U105" s="10">
        <f>Stock!V55*AF!U76*ACT2FLO!U54*AF!U44</f>
        <v>1.5536315987239723E-3</v>
      </c>
      <c r="V105" s="10">
        <f>Stock!W55*AF!V76*ACT2FLO!V54*AF!V44</f>
        <v>4.7632303745113761E-3</v>
      </c>
      <c r="W105" s="10">
        <f>Stock!X55*AF!W76*ACT2FLO!W54*AF!W44</f>
        <v>5.4581968089492866E-2</v>
      </c>
      <c r="X105" s="10">
        <f>Stock!Y55*AF!X76*ACT2FLO!X54*AF!X44</f>
        <v>2.2578625295117507E-3</v>
      </c>
      <c r="Y105" s="10">
        <f>Stock!Z55*AF!Y76*ACT2FLO!Y54*AF!Y44</f>
        <v>5.2297644735623721E-3</v>
      </c>
      <c r="Z105" s="10">
        <f>Stock!AA55*AF!Z76*ACT2FLO!Z54*AF!Z44</f>
        <v>1.795024143002808E-3</v>
      </c>
      <c r="AA105" s="10">
        <f>Stock!AB55*AF!AA76*ACT2FLO!AA54*AF!AA44</f>
        <v>1.5500507710691778E-3</v>
      </c>
      <c r="AB105" s="10">
        <f>Stock!AC55*AF!AB76*ACT2FLO!AB54*AF!AB44</f>
        <v>1.9092406090985704E-3</v>
      </c>
      <c r="AC105" s="10">
        <f>Stock!AD55*AF!AC76*ACT2FLO!AC54*AF!AC44</f>
        <v>3.9482205721764379E-3</v>
      </c>
      <c r="AD105" s="10">
        <f>Stock!AE55*AF!AD76*ACT2FLO!AD54*AF!AD44</f>
        <v>9.712028190163341E-3</v>
      </c>
    </row>
    <row r="106" spans="2:30">
      <c r="B106" s="459" t="str">
        <f t="shared" si="82"/>
        <v>T-CAR-HEV_GSL00</v>
      </c>
      <c r="C106" s="459" t="s">
        <v>857</v>
      </c>
      <c r="D106" s="10">
        <f>Stock!E56*AF!D77*ACT2FLO!D55*AF!D45</f>
        <v>0.56986872830614188</v>
      </c>
      <c r="E106" s="10">
        <f>Stock!F56*AF!E77*ACT2FLO!E55*AF!E45</f>
        <v>4.1407646591977848E-3</v>
      </c>
      <c r="F106" s="10">
        <f>Stock!G56*AF!F77*ACT2FLO!F55*AF!F45</f>
        <v>1.8235796023371189E-2</v>
      </c>
      <c r="G106" s="10">
        <f>Stock!H56*AF!G77*ACT2FLO!G55*AF!G45</f>
        <v>1.1546062466442087E-2</v>
      </c>
      <c r="H106" s="10">
        <f>Stock!I56*AF!H77*ACT2FLO!H55*AF!H45</f>
        <v>2.9325474545152101E-2</v>
      </c>
      <c r="I106" s="10">
        <f>Stock!J56*AF!I77*ACT2FLO!I55*AF!I45</f>
        <v>7.6693793707508324E-3</v>
      </c>
      <c r="J106" s="10">
        <f>Stock!K56*AF!J77*ACT2FLO!J55*AF!J45</f>
        <v>1.6841393386375275E-2</v>
      </c>
      <c r="K106" s="10">
        <f>Stock!L56*AF!K77*ACT2FLO!K55*AF!K45</f>
        <v>3.127400876971595E-3</v>
      </c>
      <c r="L106" s="10">
        <f>Stock!M56*AF!L77*ACT2FLO!L55*AF!L45</f>
        <v>9.5056606163829646E-3</v>
      </c>
      <c r="M106" s="10">
        <f>Stock!N56*AF!M77*ACT2FLO!M55*AF!M45</f>
        <v>3.3942217736340412E-3</v>
      </c>
      <c r="N106" s="10">
        <f>Stock!O56*AF!N77*ACT2FLO!N55*AF!N45</f>
        <v>8.6726273148522263E-3</v>
      </c>
      <c r="O106" s="10">
        <f>Stock!P56*AF!O77*ACT2FLO!O55*AF!O45</f>
        <v>1.01490085249701E-2</v>
      </c>
      <c r="P106" s="10">
        <f>Stock!Q56*AF!P77*ACT2FLO!P55*AF!P45</f>
        <v>1.2325769784135321E-2</v>
      </c>
      <c r="Q106" s="10">
        <f>Stock!R56*AF!Q77*ACT2FLO!Q55*AF!Q45</f>
        <v>1.0421587094099148E-2</v>
      </c>
      <c r="R106" s="10">
        <f>Stock!S56*AF!R77*ACT2FLO!R55*AF!R45</f>
        <v>5.7112859775613568E-2</v>
      </c>
      <c r="S106" s="10">
        <f>Stock!T56*AF!S77*ACT2FLO!S55*AF!S45</f>
        <v>3.4474003467330899E-2</v>
      </c>
      <c r="T106" s="10">
        <f>Stock!U56*AF!T77*ACT2FLO!T55*AF!T45</f>
        <v>1.8082284449798625E-3</v>
      </c>
      <c r="U106" s="10">
        <f>Stock!V56*AF!U77*ACT2FLO!U55*AF!U45</f>
        <v>5.7990026777989655E-3</v>
      </c>
      <c r="V106" s="10">
        <f>Stock!W56*AF!V77*ACT2FLO!V55*AF!V45</f>
        <v>1.1073470800608397E-2</v>
      </c>
      <c r="W106" s="10">
        <f>Stock!X56*AF!W77*ACT2FLO!W55*AF!W45</f>
        <v>0.27446287971761374</v>
      </c>
      <c r="X106" s="10">
        <f>Stock!Y56*AF!X77*ACT2FLO!X55*AF!X45</f>
        <v>6.6797072394956776E-3</v>
      </c>
      <c r="Y106" s="10">
        <f>Stock!Z56*AF!Y77*ACT2FLO!Y55*AF!Y45</f>
        <v>1.2166490094015492E-2</v>
      </c>
      <c r="Z106" s="10">
        <f>Stock!AA56*AF!Z77*ACT2FLO!Z55*AF!Z45</f>
        <v>7.9611034317408503E-3</v>
      </c>
      <c r="AA106" s="10">
        <f>Stock!AB56*AF!AA77*ACT2FLO!AA55*AF!AA45</f>
        <v>5.308017493911815E-3</v>
      </c>
      <c r="AB106" s="10">
        <f>Stock!AC56*AF!AB77*ACT2FLO!AB55*AF!AB45</f>
        <v>5.4306354768926379E-3</v>
      </c>
      <c r="AC106" s="10">
        <f>Stock!AD56*AF!AC77*ACT2FLO!AC55*AF!AC45</f>
        <v>1.1863760956033073E-2</v>
      </c>
      <c r="AD106" s="10">
        <f>Stock!AE56*AF!AD77*ACT2FLO!AD55*AF!AD45</f>
        <v>2.2720358929728842E-2</v>
      </c>
    </row>
    <row r="107" spans="2:30">
      <c r="B107" s="459" t="str">
        <f t="shared" si="82"/>
        <v>T-CAR-HEV_DST00</v>
      </c>
      <c r="C107" s="459" t="s">
        <v>857</v>
      </c>
      <c r="D107" s="10">
        <f>Stock!E57*AF!D78*ACT2FLO!D56*AF!D46</f>
        <v>2.3778099610678605E-2</v>
      </c>
      <c r="E107" s="10">
        <f>Stock!F57*AF!E78*ACT2FLO!E56*AF!E46</f>
        <v>4.5392063363698166E-4</v>
      </c>
      <c r="F107" s="10">
        <f>Stock!G57*AF!F78*ACT2FLO!F56*AF!F46</f>
        <v>8.914739008685069E-4</v>
      </c>
      <c r="G107" s="10">
        <f>Stock!H57*AF!G78*ACT2FLO!G56*AF!G46</f>
        <v>5.9273290968661413E-4</v>
      </c>
      <c r="H107" s="10">
        <f>Stock!I57*AF!H78*ACT2FLO!H56*AF!H46</f>
        <v>1.3954037767277393E-3</v>
      </c>
      <c r="I107" s="10">
        <f>Stock!J57*AF!I78*ACT2FLO!I56*AF!I46</f>
        <v>5.3232583916175337E-4</v>
      </c>
      <c r="J107" s="10">
        <f>Stock!K57*AF!J78*ACT2FLO!J56*AF!J46</f>
        <v>8.1367146799895878E-4</v>
      </c>
      <c r="K107" s="10">
        <f>Stock!L57*AF!K78*ACT2FLO!K56*AF!K46</f>
        <v>2.4603866816093144E-4</v>
      </c>
      <c r="L107" s="10">
        <f>Stock!M57*AF!L78*ACT2FLO!L56*AF!L46</f>
        <v>4.1114018724284698E-4</v>
      </c>
      <c r="M107" s="10">
        <f>Stock!N57*AF!M78*ACT2FLO!M56*AF!M46</f>
        <v>3.2906314136038807E-4</v>
      </c>
      <c r="N107" s="10">
        <f>Stock!O57*AF!N78*ACT2FLO!N56*AF!N46</f>
        <v>7.5615889982839023E-4</v>
      </c>
      <c r="O107" s="10">
        <f>Stock!P57*AF!O78*ACT2FLO!O56*AF!O46</f>
        <v>5.1105572289227399E-4</v>
      </c>
      <c r="P107" s="10">
        <f>Stock!Q57*AF!P78*ACT2FLO!P56*AF!P46</f>
        <v>5.1742959611780813E-4</v>
      </c>
      <c r="Q107" s="10">
        <f>Stock!R57*AF!Q78*ACT2FLO!Q56*AF!Q46</f>
        <v>4.2712261467541321E-4</v>
      </c>
      <c r="R107" s="10">
        <f>Stock!S57*AF!R78*ACT2FLO!R56*AF!R46</f>
        <v>2.1260716596885614E-3</v>
      </c>
      <c r="S107" s="10">
        <f>Stock!T57*AF!S78*ACT2FLO!S56*AF!S46</f>
        <v>1.0019633221802374E-3</v>
      </c>
      <c r="T107" s="10">
        <f>Stock!U57*AF!T78*ACT2FLO!T56*AF!T46</f>
        <v>6.3780508577981733E-5</v>
      </c>
      <c r="U107" s="10">
        <f>Stock!V57*AF!U78*ACT2FLO!U56*AF!U46</f>
        <v>1.3290241840769861E-4</v>
      </c>
      <c r="V107" s="10">
        <f>Stock!W57*AF!V78*ACT2FLO!V56*AF!V46</f>
        <v>4.0295501202859576E-4</v>
      </c>
      <c r="W107" s="10">
        <f>Stock!X57*AF!W78*ACT2FLO!W56*AF!W46</f>
        <v>9.1584978832391136E-3</v>
      </c>
      <c r="X107" s="10">
        <f>Stock!Y57*AF!X78*ACT2FLO!X56*AF!X46</f>
        <v>5.3187226765881272E-4</v>
      </c>
      <c r="Y107" s="10">
        <f>Stock!Z57*AF!Y78*ACT2FLO!Y56*AF!Y46</f>
        <v>5.4388445242912553E-4</v>
      </c>
      <c r="Z107" s="10">
        <f>Stock!AA57*AF!Z78*ACT2FLO!Z56*AF!Z46</f>
        <v>3.8268155945636747E-4</v>
      </c>
      <c r="AA107" s="10">
        <f>Stock!AB57*AF!AA78*ACT2FLO!AA56*AF!AA46</f>
        <v>1.5907826856424658E-4</v>
      </c>
      <c r="AB107" s="10">
        <f>Stock!AC57*AF!AB78*ACT2FLO!AB56*AF!AB46</f>
        <v>5.2249049920325113E-4</v>
      </c>
      <c r="AC107" s="10">
        <f>Stock!AD57*AF!AC78*ACT2FLO!AC56*AF!AC46</f>
        <v>3.6793004153013695E-4</v>
      </c>
      <c r="AD107" s="10">
        <f>Stock!AE57*AF!AD78*ACT2FLO!AD56*AF!AD46</f>
        <v>1.2237359149338445E-3</v>
      </c>
    </row>
    <row r="108" spans="2:30">
      <c r="B108" s="459" t="str">
        <f t="shared" si="82"/>
        <v>T-CAR-PHEV_GSL00</v>
      </c>
      <c r="C108" s="459" t="s">
        <v>857</v>
      </c>
      <c r="D108" s="10">
        <f>Stock!E58*AF!D79*ACT2FLO!D57*AF!D47</f>
        <v>5.2760665147538438E-2</v>
      </c>
      <c r="E108" s="10">
        <f>Stock!F58*AF!E79*ACT2FLO!E57*AF!E47</f>
        <v>3.029827799413013E-4</v>
      </c>
      <c r="F108" s="10">
        <f>Stock!G58*AF!F79*ACT2FLO!F57*AF!F47</f>
        <v>1.7923370302501893E-3</v>
      </c>
      <c r="G108" s="10">
        <f>Stock!H58*AF!G79*ACT2FLO!G57*AF!G47</f>
        <v>6.6611898844858215E-4</v>
      </c>
      <c r="H108" s="10">
        <f>Stock!I58*AF!H79*ACT2FLO!H57*AF!H47</f>
        <v>3.0804069900369859E-3</v>
      </c>
      <c r="I108" s="10">
        <f>Stock!J58*AF!I79*ACT2FLO!I57*AF!I47</f>
        <v>5.0428795862471234E-4</v>
      </c>
      <c r="J108" s="10">
        <f>Stock!K58*AF!J79*ACT2FLO!J57*AF!J47</f>
        <v>1.1297332209493972E-3</v>
      </c>
      <c r="K108" s="10">
        <f>Stock!L58*AF!K79*ACT2FLO!K57*AF!K47</f>
        <v>3.5404538229867117E-4</v>
      </c>
      <c r="L108" s="10">
        <f>Stock!M58*AF!L79*ACT2FLO!L57*AF!L47</f>
        <v>4.7840305071511637E-4</v>
      </c>
      <c r="M108" s="10">
        <f>Stock!N58*AF!M79*ACT2FLO!M57*AF!M47</f>
        <v>2.108212281760274E-4</v>
      </c>
      <c r="N108" s="10">
        <f>Stock!O58*AF!N79*ACT2FLO!N57*AF!N47</f>
        <v>6.639331915676346E-4</v>
      </c>
      <c r="O108" s="10">
        <f>Stock!P58*AF!O79*ACT2FLO!O57*AF!O47</f>
        <v>7.2790020158597021E-4</v>
      </c>
      <c r="P108" s="10">
        <f>Stock!Q58*AF!P79*ACT2FLO!P57*AF!P47</f>
        <v>8.4039339437286297E-4</v>
      </c>
      <c r="Q108" s="10">
        <f>Stock!R58*AF!Q79*ACT2FLO!Q57*AF!Q47</f>
        <v>7.8373724081639933E-4</v>
      </c>
      <c r="R108" s="10">
        <f>Stock!S58*AF!R79*ACT2FLO!R57*AF!R47</f>
        <v>5.1087638310722957E-3</v>
      </c>
      <c r="S108" s="10">
        <f>Stock!T58*AF!S79*ACT2FLO!S57*AF!S47</f>
        <v>3.1509612309286203E-3</v>
      </c>
      <c r="T108" s="10">
        <f>Stock!U58*AF!T79*ACT2FLO!T57*AF!T47</f>
        <v>6.0274281499328749E-5</v>
      </c>
      <c r="U108" s="10">
        <f>Stock!V58*AF!U79*ACT2FLO!U57*AF!U47</f>
        <v>4.8856066516255012E-4</v>
      </c>
      <c r="V108" s="10">
        <f>Stock!W58*AF!V79*ACT2FLO!V57*AF!V47</f>
        <v>7.8396253455634691E-4</v>
      </c>
      <c r="W108" s="10">
        <f>Stock!X58*AF!W79*ACT2FLO!W57*AF!W47</f>
        <v>2.8924896307479381E-2</v>
      </c>
      <c r="X108" s="10">
        <f>Stock!Y58*AF!X79*ACT2FLO!X57*AF!X47</f>
        <v>3.6988606863656848E-4</v>
      </c>
      <c r="Y108" s="10">
        <f>Stock!Z58*AF!Y79*ACT2FLO!Y57*AF!Y47</f>
        <v>9.8083196298238105E-4</v>
      </c>
      <c r="Z108" s="10">
        <f>Stock!AA58*AF!Z79*ACT2FLO!Z57*AF!Z47</f>
        <v>4.1296790135831495E-4</v>
      </c>
      <c r="AA108" s="10">
        <f>Stock!AB58*AF!AA79*ACT2FLO!AA57*AF!AA47</f>
        <v>3.2048407510410962E-4</v>
      </c>
      <c r="AB108" s="10">
        <f>Stock!AC58*AF!AB79*ACT2FLO!AB57*AF!AB47</f>
        <v>5.0912207595868485E-4</v>
      </c>
      <c r="AC108" s="10">
        <f>Stock!AD58*AF!AC79*ACT2FLO!AC57*AF!AC47</f>
        <v>7.6607182438607991E-4</v>
      </c>
      <c r="AD108" s="10">
        <f>Stock!AE58*AF!AD79*ACT2FLO!AD57*AF!AD47</f>
        <v>2.2206323659825474E-3</v>
      </c>
    </row>
    <row r="109" spans="2:30">
      <c r="B109" s="459" t="str">
        <f t="shared" si="82"/>
        <v>T-CAR-PHEV_DST00</v>
      </c>
      <c r="C109" s="459" t="s">
        <v>857</v>
      </c>
      <c r="D109" s="10">
        <f>Stock!E59*AF!D80*ACT2FLO!D58*AF!D48</f>
        <v>7.6902003915519431E-4</v>
      </c>
      <c r="E109" s="10">
        <f>Stock!F59*AF!E80*ACT2FLO!E58*AF!E48</f>
        <v>0</v>
      </c>
      <c r="F109" s="10">
        <f>Stock!G59*AF!F80*ACT2FLO!F58*AF!F48</f>
        <v>2.9715796695616893E-4</v>
      </c>
      <c r="G109" s="10">
        <f>Stock!H59*AF!G80*ACT2FLO!G58*AF!G48</f>
        <v>6.2392937861748855E-5</v>
      </c>
      <c r="H109" s="10">
        <f>Stock!I59*AF!H80*ACT2FLO!H58*AF!H48</f>
        <v>0</v>
      </c>
      <c r="I109" s="10">
        <f>Stock!J59*AF!I80*ACT2FLO!I58*AF!I48</f>
        <v>0</v>
      </c>
      <c r="J109" s="10">
        <f>Stock!K59*AF!J80*ACT2FLO!J58*AF!J48</f>
        <v>3.3902977833289954E-5</v>
      </c>
      <c r="K109" s="10">
        <f>Stock!L59*AF!K80*ACT2FLO!K58*AF!K48</f>
        <v>0</v>
      </c>
      <c r="L109" s="10">
        <f>Stock!M59*AF!L80*ACT2FLO!L58*AF!L48</f>
        <v>3.1626168249449771E-5</v>
      </c>
      <c r="M109" s="10">
        <f>Stock!N59*AF!M80*ACT2FLO!M58*AF!M48</f>
        <v>0</v>
      </c>
      <c r="N109" s="10">
        <f>Stock!O59*AF!N80*ACT2FLO!N58*AF!N48</f>
        <v>0</v>
      </c>
      <c r="O109" s="10">
        <f>Stock!P59*AF!O80*ACT2FLO!O58*AF!O48</f>
        <v>3.1940982680767124E-5</v>
      </c>
      <c r="P109" s="10">
        <f>Stock!Q59*AF!P80*ACT2FLO!P58*AF!P48</f>
        <v>3.0437035065753419E-5</v>
      </c>
      <c r="Q109" s="10">
        <f>Stock!R59*AF!Q80*ACT2FLO!Q58*AF!Q48</f>
        <v>6.5711171488525103E-5</v>
      </c>
      <c r="R109" s="10">
        <f>Stock!S59*AF!R80*ACT2FLO!R58*AF!R48</f>
        <v>5.9889342526438354E-5</v>
      </c>
      <c r="S109" s="10">
        <f>Stock!T59*AF!S80*ACT2FLO!S58*AF!S48</f>
        <v>0</v>
      </c>
      <c r="T109" s="10">
        <f>Stock!U59*AF!T80*ACT2FLO!T58*AF!T48</f>
        <v>0</v>
      </c>
      <c r="U109" s="10">
        <f>Stock!V59*AF!U80*ACT2FLO!U58*AF!U48</f>
        <v>3.3225604601924652E-5</v>
      </c>
      <c r="V109" s="10">
        <f>Stock!W59*AF!V80*ACT2FLO!V58*AF!V48</f>
        <v>0</v>
      </c>
      <c r="W109" s="10">
        <f>Stock!X59*AF!W80*ACT2FLO!W58*AF!W48</f>
        <v>0</v>
      </c>
      <c r="X109" s="10">
        <f>Stock!Y59*AF!X80*ACT2FLO!X58*AF!X48</f>
        <v>0</v>
      </c>
      <c r="Y109" s="10">
        <f>Stock!Z59*AF!Y80*ACT2FLO!Y58*AF!Y48</f>
        <v>0</v>
      </c>
      <c r="Z109" s="10">
        <f>Stock!AA59*AF!Z80*ACT2FLO!Z58*AF!Z48</f>
        <v>0</v>
      </c>
      <c r="AA109" s="10">
        <f>Stock!AB59*AF!AA80*ACT2FLO!AA58*AF!AA48</f>
        <v>3.1815653712849314E-5</v>
      </c>
      <c r="AB109" s="10">
        <f>Stock!AC59*AF!AB80*ACT2FLO!AB58*AF!AB48</f>
        <v>0</v>
      </c>
      <c r="AC109" s="10">
        <f>Stock!AD59*AF!AC80*ACT2FLO!AC58*AF!AC48</f>
        <v>3.0660836794178079E-5</v>
      </c>
      <c r="AD109" s="10">
        <f>Stock!AE59*AF!AD80*ACT2FLO!AD58*AF!AD48</f>
        <v>3.2203576708785385E-5</v>
      </c>
    </row>
    <row r="110" spans="2:30">
      <c r="B110" s="459" t="str">
        <f t="shared" si="82"/>
        <v>T-CAR-BEV_ELC00</v>
      </c>
      <c r="C110" s="459" t="s">
        <v>857</v>
      </c>
      <c r="D110" s="10">
        <f>Stock!E60*AF!D81*ACT2FLO!D59*AF!D49</f>
        <v>9.0865471195621092E-2</v>
      </c>
      <c r="E110" s="10">
        <f>Stock!F60*AF!E81*ACT2FLO!E59*AF!E49</f>
        <v>9.6710098093776692E-4</v>
      </c>
      <c r="F110" s="10">
        <f>Stock!G60*AF!F81*ACT2FLO!F59*AF!F49</f>
        <v>3.2125353528666398E-2</v>
      </c>
      <c r="G110" s="10">
        <f>Stock!H60*AF!G81*ACT2FLO!G59*AF!G49</f>
        <v>6.0614400446073321E-3</v>
      </c>
      <c r="H110" s="10">
        <f>Stock!I60*AF!H81*ACT2FLO!H59*AF!H49</f>
        <v>1.1568042780196438E-3</v>
      </c>
      <c r="I110" s="10">
        <f>Stock!J60*AF!I81*ACT2FLO!I59*AF!I49</f>
        <v>1.218698884032767E-3</v>
      </c>
      <c r="J110" s="10">
        <f>Stock!K60*AF!J81*ACT2FLO!J59*AF!J49</f>
        <v>5.0145910477742458E-4</v>
      </c>
      <c r="K110" s="10">
        <f>Stock!L60*AF!K81*ACT2FLO!K59*AF!K49</f>
        <v>2.0614257844273373E-3</v>
      </c>
      <c r="L110" s="10">
        <f>Stock!M60*AF!L81*ACT2FLO!L59*AF!L49</f>
        <v>5.0289994030502253E-3</v>
      </c>
      <c r="M110" s="10">
        <f>Stock!N60*AF!M81*ACT2FLO!M59*AF!M49</f>
        <v>6.2752065035294295E-4</v>
      </c>
      <c r="N110" s="10">
        <f>Stock!O60*AF!N81*ACT2FLO!N59*AF!N49</f>
        <v>2.0483557634873376E-3</v>
      </c>
      <c r="O110" s="10">
        <f>Stock!P60*AF!O81*ACT2FLO!O59*AF!O49</f>
        <v>2.973000064531424E-3</v>
      </c>
      <c r="P110" s="10">
        <f>Stock!Q60*AF!P81*ACT2FLO!P59*AF!P49</f>
        <v>5.3356644674298738E-3</v>
      </c>
      <c r="Q110" s="10">
        <f>Stock!R60*AF!Q81*ACT2FLO!Q59*AF!Q49</f>
        <v>2.2474855893704609E-3</v>
      </c>
      <c r="R110" s="10">
        <f>Stock!S60*AF!R81*ACT2FLO!R59*AF!R49</f>
        <v>1.024186833812806E-2</v>
      </c>
      <c r="S110" s="10">
        <f>Stock!T60*AF!S81*ACT2FLO!S59*AF!S49</f>
        <v>2.014872040891963E-3</v>
      </c>
      <c r="T110" s="10">
        <f>Stock!U60*AF!T81*ACT2FLO!T59*AF!T49</f>
        <v>2.5549294837650272E-3</v>
      </c>
      <c r="U110" s="10">
        <f>Stock!V60*AF!U81*ACT2FLO!U59*AF!U49</f>
        <v>1.9472182704007121E-3</v>
      </c>
      <c r="V110" s="10">
        <f>Stock!W60*AF!V81*ACT2FLO!V59*AF!V49</f>
        <v>2.0800132639787671E-3</v>
      </c>
      <c r="W110" s="10">
        <f>Stock!X60*AF!W81*ACT2FLO!W59*AF!W49</f>
        <v>4.739028455599534E-3</v>
      </c>
      <c r="X110" s="10">
        <f>Stock!Y60*AF!X81*ACT2FLO!X59*AF!X49</f>
        <v>3.5872582244579219E-4</v>
      </c>
      <c r="Y110" s="10">
        <f>Stock!Z60*AF!Y81*ACT2FLO!Y59*AF!Y49</f>
        <v>1.2280418601887352E-3</v>
      </c>
      <c r="Z110" s="10">
        <f>Stock!AA60*AF!Z81*ACT2FLO!Z59*AF!Z49</f>
        <v>6.3353793282452042E-4</v>
      </c>
      <c r="AA110" s="10">
        <f>Stock!AB60*AF!AA81*ACT2FLO!AA59*AF!AA49</f>
        <v>5.9935296481341551E-4</v>
      </c>
      <c r="AB110" s="10">
        <f>Stock!AC60*AF!AB81*ACT2FLO!AB59*AF!AB49</f>
        <v>7.3432331119175796E-4</v>
      </c>
      <c r="AC110" s="10">
        <f>Stock!AD60*AF!AC81*ACT2FLO!AC59*AF!AC49</f>
        <v>1.0884283739513423E-3</v>
      </c>
      <c r="AD110" s="10">
        <f>Stock!AE60*AF!AD81*ACT2FLO!AD59*AF!AD49</f>
        <v>6.378662582522533E-4</v>
      </c>
    </row>
    <row r="111" spans="2:30">
      <c r="B111" s="459" t="str">
        <f t="shared" si="82"/>
        <v>T-TAX-ICE_GSL00</v>
      </c>
      <c r="C111" s="459" t="s">
        <v>857</v>
      </c>
      <c r="D111" s="10">
        <f>Stock!E62*AF!D82*ACT2FLO!D60*AF!D50</f>
        <v>0.132815135733613</v>
      </c>
      <c r="E111" s="10">
        <f>Stock!F62*AF!E82*ACT2FLO!E60*AF!E50</f>
        <v>3.3237540694107306E-4</v>
      </c>
      <c r="F111" s="10">
        <f>Stock!G62*AF!F82*ACT2FLO!F60*AF!F50</f>
        <v>8.3617468703171244E-2</v>
      </c>
      <c r="G111" s="10">
        <f>Stock!H62*AF!G82*ACT2FLO!G60*AF!G50</f>
        <v>4.3649617706759914E-3</v>
      </c>
      <c r="H111" s="10">
        <f>Stock!I62*AF!H82*ACT2FLO!H60*AF!H50</f>
        <v>6.1736452791703194E-4</v>
      </c>
      <c r="I111" s="10">
        <f>Stock!J62*AF!I82*ACT2FLO!I60*AF!I50</f>
        <v>5.7978970972605488E-4</v>
      </c>
      <c r="J111" s="10">
        <f>Stock!K62*AF!J82*ACT2FLO!J60*AF!J50</f>
        <v>2.4642659115686755E-4</v>
      </c>
      <c r="K111" s="10">
        <f>Stock!L62*AF!K82*ACT2FLO!K60*AF!K50</f>
        <v>2.5945961021110134E-3</v>
      </c>
      <c r="L111" s="10">
        <f>Stock!M62*AF!L82*ACT2FLO!L60*AF!L50</f>
        <v>5.9026661463937435E-3</v>
      </c>
      <c r="M111" s="10">
        <f>Stock!N62*AF!M82*ACT2FLO!M60*AF!M50</f>
        <v>5.6496209921215966E-4</v>
      </c>
      <c r="N111" s="10">
        <f>Stock!O62*AF!N82*ACT2FLO!N60*AF!N50</f>
        <v>9.3213419888869852E-4</v>
      </c>
      <c r="O111" s="10">
        <f>Stock!P62*AF!O82*ACT2FLO!O60*AF!O50</f>
        <v>8.2986576106776713E-4</v>
      </c>
      <c r="P111" s="10">
        <f>Stock!Q62*AF!P82*ACT2FLO!P60*AF!P50</f>
        <v>1.4344243540843401E-3</v>
      </c>
      <c r="Q111" s="10">
        <f>Stock!R62*AF!Q82*ACT2FLO!Q60*AF!Q50</f>
        <v>2.4722571252849585E-3</v>
      </c>
      <c r="R111" s="10">
        <f>Stock!S62*AF!R82*ACT2FLO!R60*AF!R50</f>
        <v>8.3549362853188591E-3</v>
      </c>
      <c r="S111" s="10">
        <f>Stock!T62*AF!S82*ACT2FLO!S60*AF!S50</f>
        <v>1.2959850809154151E-3</v>
      </c>
      <c r="T111" s="10">
        <f>Stock!U62*AF!T82*ACT2FLO!T60*AF!T50</f>
        <v>6.9264769933027968E-3</v>
      </c>
      <c r="U111" s="10">
        <f>Stock!V62*AF!U82*ACT2FLO!U60*AF!U50</f>
        <v>6.0336945983287672E-4</v>
      </c>
      <c r="V111" s="10">
        <f>Stock!W62*AF!V82*ACT2FLO!V60*AF!V50</f>
        <v>1.9632842504785568E-3</v>
      </c>
      <c r="W111" s="10">
        <f>Stock!X62*AF!W82*ACT2FLO!W60*AF!W50</f>
        <v>6.2833081260984004E-3</v>
      </c>
      <c r="X111" s="10">
        <f>Stock!Y62*AF!X82*ACT2FLO!X60*AF!X50</f>
        <v>0</v>
      </c>
      <c r="Y111" s="10">
        <f>Stock!Z62*AF!Y82*ACT2FLO!Y60*AF!Y50</f>
        <v>9.6956876799652951E-4</v>
      </c>
      <c r="Z111" s="10">
        <f>Stock!AA62*AF!Z82*ACT2FLO!Z60*AF!Z50</f>
        <v>1.0939428485397259E-4</v>
      </c>
      <c r="AA111" s="10">
        <f>Stock!AB62*AF!AA82*ACT2FLO!AA60*AF!AA50</f>
        <v>4.9048386801547937E-4</v>
      </c>
      <c r="AB111" s="10">
        <f>Stock!AC62*AF!AB82*ACT2FLO!AB60*AF!AB50</f>
        <v>3.7466050550962778E-4</v>
      </c>
      <c r="AC111" s="10">
        <f>Stock!AD62*AF!AC82*ACT2FLO!AC60*AF!AC50</f>
        <v>8.8252183173152029E-4</v>
      </c>
      <c r="AD111" s="10">
        <f>Stock!AE62*AF!AD82*ACT2FLO!AD60*AF!AD50</f>
        <v>8.3105041821689501E-5</v>
      </c>
    </row>
    <row r="112" spans="2:30">
      <c r="B112" s="459" t="str">
        <f t="shared" si="82"/>
        <v>T-TAX-ICE_DST00</v>
      </c>
      <c r="C112" s="459" t="s">
        <v>857</v>
      </c>
      <c r="D112" s="10">
        <f>Stock!E63*AF!D83*ACT2FLO!D61*AF!D51</f>
        <v>1.0402457641362053</v>
      </c>
      <c r="E112" s="10">
        <f>Stock!F63*AF!E83*ACT2FLO!E61*AF!E51</f>
        <v>8.0437698221748274E-3</v>
      </c>
      <c r="F112" s="10">
        <f>Stock!G63*AF!F83*ACT2FLO!F61*AF!F51</f>
        <v>0.49445103116594963</v>
      </c>
      <c r="G112" s="10">
        <f>Stock!H63*AF!G83*ACT2FLO!G61*AF!G51</f>
        <v>4.5102739949248384E-2</v>
      </c>
      <c r="H112" s="10">
        <f>Stock!I63*AF!H83*ACT2FLO!H61*AF!H51</f>
        <v>1.2695591696276407E-2</v>
      </c>
      <c r="I112" s="10">
        <f>Stock!J63*AF!I83*ACT2FLO!I61*AF!I51</f>
        <v>1.2450836158025114E-2</v>
      </c>
      <c r="J112" s="10">
        <f>Stock!K63*AF!J83*ACT2FLO!J61*AF!J51</f>
        <v>5.6404018529220244E-3</v>
      </c>
      <c r="K112" s="10">
        <f>Stock!L63*AF!K83*ACT2FLO!K61*AF!K51</f>
        <v>3.2373970392738781E-2</v>
      </c>
      <c r="L112" s="10">
        <f>Stock!M63*AF!L83*ACT2FLO!L61*AF!L51</f>
        <v>5.3831298300056986E-2</v>
      </c>
      <c r="M112" s="10">
        <f>Stock!N63*AF!M83*ACT2FLO!M61*AF!M51</f>
        <v>8.661798295219519E-3</v>
      </c>
      <c r="N112" s="10">
        <f>Stock!O63*AF!N83*ACT2FLO!N61*AF!N51</f>
        <v>1.6194549694790145E-2</v>
      </c>
      <c r="O112" s="10">
        <f>Stock!P63*AF!O83*ACT2FLO!O61*AF!O51</f>
        <v>1.4496383955826482E-2</v>
      </c>
      <c r="P112" s="10">
        <f>Stock!Q63*AF!P83*ACT2FLO!P61*AF!P51</f>
        <v>1.8335001361535753E-2</v>
      </c>
      <c r="Q112" s="10">
        <f>Stock!R63*AF!Q83*ACT2FLO!Q61*AF!Q51</f>
        <v>1.7965615116759329E-2</v>
      </c>
      <c r="R112" s="10">
        <f>Stock!S63*AF!R83*ACT2FLO!R61*AF!R51</f>
        <v>9.2628414106859985E-2</v>
      </c>
      <c r="S112" s="10">
        <f>Stock!T63*AF!S83*ACT2FLO!S61*AF!S51</f>
        <v>2.5511326128417264E-2</v>
      </c>
      <c r="T112" s="10">
        <f>Stock!U63*AF!T83*ACT2FLO!T61*AF!T51</f>
        <v>2.9254756182992957E-2</v>
      </c>
      <c r="U112" s="10">
        <f>Stock!V63*AF!U83*ACT2FLO!U61*AF!U51</f>
        <v>1.4494459260962029E-2</v>
      </c>
      <c r="V112" s="10">
        <f>Stock!W63*AF!V83*ACT2FLO!V61*AF!V51</f>
        <v>1.5522526816745721E-2</v>
      </c>
      <c r="W112" s="10">
        <f>Stock!X63*AF!W83*ACT2FLO!W61*AF!W51</f>
        <v>4.9907257266619535E-2</v>
      </c>
      <c r="X112" s="10">
        <f>Stock!Y63*AF!X83*ACT2FLO!X61*AF!X51</f>
        <v>4.1674567453412322E-3</v>
      </c>
      <c r="Y112" s="10">
        <f>Stock!Z63*AF!Y83*ACT2FLO!Y61*AF!Y51</f>
        <v>1.5456687332266232E-2</v>
      </c>
      <c r="Z112" s="10">
        <f>Stock!AA63*AF!Z83*ACT2FLO!Z61*AF!Z51</f>
        <v>7.5392222535451432E-3</v>
      </c>
      <c r="AA112" s="10">
        <f>Stock!AB63*AF!AA83*ACT2FLO!AA61*AF!AA51</f>
        <v>9.3334944227404446E-3</v>
      </c>
      <c r="AB112" s="10">
        <f>Stock!AC63*AF!AB83*ACT2FLO!AB61*AF!AB51</f>
        <v>1.0315014203034848E-2</v>
      </c>
      <c r="AC112" s="10">
        <f>Stock!AD63*AF!AC83*ACT2FLO!AC61*AF!AC51</f>
        <v>2.1112004824381993E-2</v>
      </c>
      <c r="AD112" s="10">
        <f>Stock!AE63*AF!AD83*ACT2FLO!AD61*AF!AD51</f>
        <v>4.755786729023972E-3</v>
      </c>
    </row>
    <row r="113" spans="2:30">
      <c r="B113" s="459" t="str">
        <f t="shared" si="82"/>
        <v>T-TAX-HEV_GSL00</v>
      </c>
      <c r="C113" s="459" t="s">
        <v>857</v>
      </c>
      <c r="D113" s="10">
        <f>Stock!E64*AF!D84*ACT2FLO!D62*AF!D52</f>
        <v>8.300783727097695E-2</v>
      </c>
      <c r="E113" s="10">
        <f>Stock!F64*AF!E84*ACT2FLO!E62*AF!E52</f>
        <v>2.757714737879086E-4</v>
      </c>
      <c r="F113" s="10">
        <f>Stock!G64*AF!F84*ACT2FLO!F62*AF!F52</f>
        <v>6.3488626363770298E-2</v>
      </c>
      <c r="G113" s="10">
        <f>Stock!H64*AF!G84*ACT2FLO!G62*AF!G52</f>
        <v>2.5930071098391977E-3</v>
      </c>
      <c r="H113" s="10">
        <f>Stock!I64*AF!H84*ACT2FLO!H62*AF!H52</f>
        <v>6.3337381155700908E-5</v>
      </c>
      <c r="I113" s="10">
        <f>Stock!J64*AF!I84*ACT2FLO!I62*AF!I52</f>
        <v>9.6935391833724192E-4</v>
      </c>
      <c r="J113" s="10">
        <f>Stock!K64*AF!J84*ACT2FLO!J62*AF!J52</f>
        <v>0</v>
      </c>
      <c r="K113" s="10">
        <f>Stock!L64*AF!K84*ACT2FLO!K62*AF!K52</f>
        <v>1.5758252701260844E-3</v>
      </c>
      <c r="L113" s="10">
        <f>Stock!M64*AF!L84*ACT2FLO!L62*AF!L52</f>
        <v>3.5990272113500133E-3</v>
      </c>
      <c r="M113" s="10">
        <f>Stock!N64*AF!M84*ACT2FLO!M62*AF!M52</f>
        <v>1.7797161047785614E-4</v>
      </c>
      <c r="N113" s="10">
        <f>Stock!O64*AF!N84*ACT2FLO!N62*AF!N52</f>
        <v>4.403522808483561E-4</v>
      </c>
      <c r="O113" s="10">
        <f>Stock!P64*AF!O84*ACT2FLO!O62*AF!O52</f>
        <v>1.8358455782674656E-4</v>
      </c>
      <c r="P113" s="10">
        <f>Stock!Q64*AF!P84*ACT2FLO!P62*AF!P52</f>
        <v>7.7574901112316191E-4</v>
      </c>
      <c r="Q113" s="10">
        <f>Stock!R64*AF!Q84*ACT2FLO!Q62*AF!Q52</f>
        <v>3.905772844351894E-4</v>
      </c>
      <c r="R113" s="10">
        <f>Stock!S64*AF!R84*ACT2FLO!R62*AF!R52</f>
        <v>3.3137919084727874E-3</v>
      </c>
      <c r="S113" s="10">
        <f>Stock!T64*AF!S84*ACT2FLO!S62*AF!S52</f>
        <v>2.1424091858635616E-4</v>
      </c>
      <c r="T113" s="10">
        <f>Stock!U64*AF!T84*ACT2FLO!T62*AF!T52</f>
        <v>2.8440902689588219E-3</v>
      </c>
      <c r="U113" s="10">
        <f>Stock!V64*AF!U84*ACT2FLO!U62*AF!U52</f>
        <v>1.7015645412126712E-4</v>
      </c>
      <c r="V113" s="10">
        <f>Stock!W64*AF!V84*ACT2FLO!V62*AF!V52</f>
        <v>8.979522149006391E-5</v>
      </c>
      <c r="W113" s="10">
        <f>Stock!X64*AF!W84*ACT2FLO!W62*AF!W52</f>
        <v>1.454532193377534E-3</v>
      </c>
      <c r="X113" s="10">
        <f>Stock!Y64*AF!X84*ACT2FLO!X62*AF!X52</f>
        <v>0</v>
      </c>
      <c r="Y113" s="10">
        <f>Stock!Z64*AF!Y84*ACT2FLO!Y62*AF!Y52</f>
        <v>1.6365277589324657E-4</v>
      </c>
      <c r="Z113" s="10">
        <f>Stock!AA64*AF!Z84*ACT2FLO!Z62*AF!Z52</f>
        <v>0</v>
      </c>
      <c r="AA113" s="10">
        <f>Stock!AB64*AF!AA84*ACT2FLO!AA62*AF!AA52</f>
        <v>7.6865449633210035E-5</v>
      </c>
      <c r="AB113" s="10">
        <f>Stock!AC64*AF!AB84*ACT2FLO!AB62*AF!AB52</f>
        <v>6.39670100183356E-5</v>
      </c>
      <c r="AC113" s="10">
        <f>Stock!AD64*AF!AC84*ACT2FLO!AC62*AF!AC52</f>
        <v>8.8034647893123284E-5</v>
      </c>
      <c r="AD113" s="10">
        <f>Stock!AE64*AF!AD84*ACT2FLO!AD62*AF!AD52</f>
        <v>0</v>
      </c>
    </row>
    <row r="114" spans="2:30">
      <c r="B114" s="459" t="str">
        <f t="shared" si="82"/>
        <v>T-BUS-ICE_DST00</v>
      </c>
      <c r="C114" s="459" t="s">
        <v>857</v>
      </c>
      <c r="D114" s="10">
        <f>Stock!E66*AF!D85*ACT2FLO!D63*AF!D53</f>
        <v>10.519481681250003</v>
      </c>
      <c r="E114" s="10">
        <f>Stock!F66*AF!E85*ACT2FLO!E63*AF!E53</f>
        <v>0.11808831099999999</v>
      </c>
      <c r="F114" s="10">
        <f>Stock!G66*AF!F85*ACT2FLO!F63*AF!F53</f>
        <v>3.5358560684999998</v>
      </c>
      <c r="G114" s="10">
        <f>Stock!H66*AF!G85*ACT2FLO!G63*AF!G53</f>
        <v>0.45269495775000002</v>
      </c>
      <c r="H114" s="10">
        <f>Stock!I66*AF!H85*ACT2FLO!H63*AF!H53</f>
        <v>0.29241756999999996</v>
      </c>
      <c r="I114" s="10">
        <f>Stock!J66*AF!I85*ACT2FLO!I63*AF!I53</f>
        <v>0.1493744175</v>
      </c>
      <c r="J114" s="10">
        <f>Stock!K66*AF!J85*ACT2FLO!J63*AF!J53</f>
        <v>8.4421181249999991E-2</v>
      </c>
      <c r="K114" s="10">
        <f>Stock!L66*AF!K85*ACT2FLO!K63*AF!K53</f>
        <v>0.22892670500000004</v>
      </c>
      <c r="L114" s="10">
        <f>Stock!M66*AF!L85*ACT2FLO!L63*AF!L53</f>
        <v>0.30109920200000001</v>
      </c>
      <c r="M114" s="10">
        <f>Stock!N66*AF!M85*ACT2FLO!M63*AF!M53</f>
        <v>0.18289379775</v>
      </c>
      <c r="N114" s="10">
        <f>Stock!O66*AF!N85*ACT2FLO!N63*AF!N53</f>
        <v>0.14101548000000003</v>
      </c>
      <c r="O114" s="10">
        <f>Stock!P66*AF!O85*ACT2FLO!O63*AF!O53</f>
        <v>0.26711272949999998</v>
      </c>
      <c r="P114" s="10">
        <f>Stock!Q66*AF!P85*ACT2FLO!P63*AF!P53</f>
        <v>0.24114906574999997</v>
      </c>
      <c r="Q114" s="10">
        <f>Stock!R66*AF!Q85*ACT2FLO!Q63*AF!Q53</f>
        <v>0.20048626149999998</v>
      </c>
      <c r="R114" s="10">
        <f>Stock!S66*AF!R85*ACT2FLO!R63*AF!R53</f>
        <v>0.79161909450000012</v>
      </c>
      <c r="S114" s="10">
        <f>Stock!T66*AF!S85*ACT2FLO!S63*AF!S53</f>
        <v>0.49987923200000006</v>
      </c>
      <c r="T114" s="10">
        <f>Stock!U66*AF!T85*ACT2FLO!T63*AF!T53</f>
        <v>0.29683354150000002</v>
      </c>
      <c r="U114" s="10">
        <f>Stock!V66*AF!U85*ACT2FLO!U63*AF!U53</f>
        <v>0.34555485200000002</v>
      </c>
      <c r="V114" s="10">
        <f>Stock!W66*AF!V85*ACT2FLO!V63*AF!V53</f>
        <v>0.1514736485</v>
      </c>
      <c r="W114" s="10">
        <f>Stock!X66*AF!W85*ACT2FLO!W63*AF!W53</f>
        <v>0.57002661799999998</v>
      </c>
      <c r="X114" s="10">
        <f>Stock!Y66*AF!X85*ACT2FLO!X63*AF!X53</f>
        <v>5.9836094999999999E-2</v>
      </c>
      <c r="Y114" s="10">
        <f>Stock!Z66*AF!Y85*ACT2FLO!Y63*AF!Y53</f>
        <v>0.34838503700000001</v>
      </c>
      <c r="Z114" s="10">
        <f>Stock!AA66*AF!Z85*ACT2FLO!Z63*AF!Z53</f>
        <v>0.108670275</v>
      </c>
      <c r="AA114" s="10">
        <f>Stock!AB66*AF!AA85*ACT2FLO!AA63*AF!AA53</f>
        <v>0.11319791700000001</v>
      </c>
      <c r="AB114" s="10">
        <f>Stock!AC66*AF!AB85*ACT2FLO!AB63*AF!AB53</f>
        <v>0.20658056049999998</v>
      </c>
      <c r="AC114" s="10">
        <f>Stock!AD66*AF!AC85*ACT2FLO!AC63*AF!AC53</f>
        <v>0.55923812500000003</v>
      </c>
      <c r="AD114" s="10">
        <f>Stock!AE66*AF!AD85*ACT2FLO!AD63*AF!AD53</f>
        <v>0.27255499050000004</v>
      </c>
    </row>
    <row r="115" spans="2:30">
      <c r="B115" s="459" t="str">
        <f t="shared" si="82"/>
        <v>T-LPT-EV_ELC00</v>
      </c>
      <c r="C115" s="459" t="s">
        <v>857</v>
      </c>
      <c r="D115" s="10">
        <f>Stock!E68*AF!D86*ACT2FLO!D64*AF!D54</f>
        <v>0.31718342830155838</v>
      </c>
      <c r="E115" s="10">
        <f>Stock!F68*AF!E86*ACT2FLO!E64*AF!E54</f>
        <v>0</v>
      </c>
      <c r="F115" s="10">
        <f>Stock!G68*AF!F86*ACT2FLO!F64*AF!F54</f>
        <v>0.31718342830155838</v>
      </c>
      <c r="G115" s="10">
        <f>Stock!H68*AF!G86*ACT2FLO!G64*AF!G54</f>
        <v>0</v>
      </c>
      <c r="H115" s="10">
        <f>Stock!I68*AF!H86*ACT2FLO!H64*AF!H54</f>
        <v>0</v>
      </c>
      <c r="I115" s="10">
        <f>Stock!J68*AF!I86*ACT2FLO!I64*AF!I54</f>
        <v>0</v>
      </c>
      <c r="J115" s="10">
        <f>Stock!K68*AF!J86*ACT2FLO!J64*AF!J54</f>
        <v>0</v>
      </c>
      <c r="K115" s="10">
        <f>Stock!L68*AF!K86*ACT2FLO!K64*AF!K54</f>
        <v>0</v>
      </c>
      <c r="L115" s="10">
        <f>Stock!M68*AF!L86*ACT2FLO!L64*AF!L54</f>
        <v>0</v>
      </c>
      <c r="M115" s="10">
        <f>Stock!N68*AF!M86*ACT2FLO!M64*AF!M54</f>
        <v>0</v>
      </c>
      <c r="N115" s="10">
        <f>Stock!O68*AF!N86*ACT2FLO!N64*AF!N54</f>
        <v>0</v>
      </c>
      <c r="O115" s="10">
        <f>Stock!P68*AF!O86*ACT2FLO!O64*AF!O54</f>
        <v>0</v>
      </c>
      <c r="P115" s="10">
        <f>Stock!Q68*AF!P86*ACT2FLO!P64*AF!P54</f>
        <v>0</v>
      </c>
      <c r="Q115" s="10">
        <f>Stock!R68*AF!Q86*ACT2FLO!Q64*AF!Q54</f>
        <v>0</v>
      </c>
      <c r="R115" s="10">
        <f>Stock!S68*AF!R86*ACT2FLO!R64*AF!R54</f>
        <v>0</v>
      </c>
      <c r="S115" s="10">
        <f>Stock!T68*AF!S86*ACT2FLO!S64*AF!S54</f>
        <v>0</v>
      </c>
      <c r="T115" s="10">
        <f>Stock!U68*AF!T86*ACT2FLO!T64*AF!T54</f>
        <v>0</v>
      </c>
      <c r="U115" s="10">
        <f>Stock!V68*AF!U86*ACT2FLO!U64*AF!U54</f>
        <v>0</v>
      </c>
      <c r="V115" s="10">
        <f>Stock!W68*AF!V86*ACT2FLO!V64*AF!V54</f>
        <v>0</v>
      </c>
      <c r="W115" s="10">
        <f>Stock!X68*AF!W86*ACT2FLO!W64*AF!W54</f>
        <v>0</v>
      </c>
      <c r="X115" s="10">
        <f>Stock!Y68*AF!X86*ACT2FLO!X64*AF!X54</f>
        <v>0</v>
      </c>
      <c r="Y115" s="10">
        <f>Stock!Z68*AF!Y86*ACT2FLO!Y64*AF!Y54</f>
        <v>0</v>
      </c>
      <c r="Z115" s="10">
        <f>Stock!AA68*AF!Z86*ACT2FLO!Z64*AF!Z54</f>
        <v>0</v>
      </c>
      <c r="AA115" s="10">
        <f>Stock!AB68*AF!AA86*ACT2FLO!AA64*AF!AA54</f>
        <v>0</v>
      </c>
      <c r="AB115" s="10">
        <f>Stock!AC68*AF!AB86*ACT2FLO!AB64*AF!AB54</f>
        <v>0</v>
      </c>
      <c r="AC115" s="10">
        <f>Stock!AD68*AF!AC86*ACT2FLO!AC64*AF!AC54</f>
        <v>0</v>
      </c>
      <c r="AD115" s="10">
        <f>Stock!AE68*AF!AD86*ACT2FLO!AD64*AF!AD54</f>
        <v>0</v>
      </c>
    </row>
    <row r="116" spans="2:30">
      <c r="B116" s="459" t="str">
        <f t="shared" si="82"/>
        <v>T-HPT-EV_ELC00</v>
      </c>
      <c r="C116" s="459" t="s">
        <v>857</v>
      </c>
      <c r="D116" s="10">
        <f>Stock!E69*AF!D87*ACT2FLO!D65*AF!D55</f>
        <v>0.64293853613072993</v>
      </c>
      <c r="E116" s="10">
        <f>Stock!F69*AF!E87*ACT2FLO!E65*AF!E55</f>
        <v>0</v>
      </c>
      <c r="F116" s="10">
        <f>Stock!G69*AF!F87*ACT2FLO!F65*AF!F55</f>
        <v>0.64293853613072993</v>
      </c>
      <c r="G116" s="10">
        <f>Stock!H69*AF!G87*ACT2FLO!G65*AF!G55</f>
        <v>0</v>
      </c>
      <c r="H116" s="10">
        <f>Stock!I69*AF!H87*ACT2FLO!H65*AF!H55</f>
        <v>0</v>
      </c>
      <c r="I116" s="10">
        <f>Stock!J69*AF!I87*ACT2FLO!I65*AF!I55</f>
        <v>0</v>
      </c>
      <c r="J116" s="10">
        <f>Stock!K69*AF!J87*ACT2FLO!J65*AF!J55</f>
        <v>0</v>
      </c>
      <c r="K116" s="10">
        <f>Stock!L69*AF!K87*ACT2FLO!K65*AF!K55</f>
        <v>0</v>
      </c>
      <c r="L116" s="10">
        <f>Stock!M69*AF!L87*ACT2FLO!L65*AF!L55</f>
        <v>0</v>
      </c>
      <c r="M116" s="10">
        <f>Stock!N69*AF!M87*ACT2FLO!M65*AF!M55</f>
        <v>0</v>
      </c>
      <c r="N116" s="10">
        <f>Stock!O69*AF!N87*ACT2FLO!N65*AF!N55</f>
        <v>0</v>
      </c>
      <c r="O116" s="10">
        <f>Stock!P69*AF!O87*ACT2FLO!O65*AF!O55</f>
        <v>0</v>
      </c>
      <c r="P116" s="10">
        <f>Stock!Q69*AF!P87*ACT2FLO!P65*AF!P55</f>
        <v>0</v>
      </c>
      <c r="Q116" s="10">
        <f>Stock!R69*AF!Q87*ACT2FLO!Q65*AF!Q55</f>
        <v>0</v>
      </c>
      <c r="R116" s="10">
        <f>Stock!S69*AF!R87*ACT2FLO!R65*AF!R55</f>
        <v>0</v>
      </c>
      <c r="S116" s="10">
        <f>Stock!T69*AF!S87*ACT2FLO!S65*AF!S55</f>
        <v>0</v>
      </c>
      <c r="T116" s="10">
        <f>Stock!U69*AF!T87*ACT2FLO!T65*AF!T55</f>
        <v>0</v>
      </c>
      <c r="U116" s="10">
        <f>Stock!V69*AF!U87*ACT2FLO!U65*AF!U55</f>
        <v>0</v>
      </c>
      <c r="V116" s="10">
        <f>Stock!W69*AF!V87*ACT2FLO!V65*AF!V55</f>
        <v>0</v>
      </c>
      <c r="W116" s="10">
        <f>Stock!X69*AF!W87*ACT2FLO!W65*AF!W55</f>
        <v>0</v>
      </c>
      <c r="X116" s="10">
        <f>Stock!Y69*AF!X87*ACT2FLO!X65*AF!X55</f>
        <v>0</v>
      </c>
      <c r="Y116" s="10">
        <f>Stock!Z69*AF!Y87*ACT2FLO!Y65*AF!Y55</f>
        <v>0</v>
      </c>
      <c r="Z116" s="10">
        <f>Stock!AA69*AF!Z87*ACT2FLO!Z65*AF!Z55</f>
        <v>0</v>
      </c>
      <c r="AA116" s="10">
        <f>Stock!AB69*AF!AA87*ACT2FLO!AA65*AF!AA55</f>
        <v>0</v>
      </c>
      <c r="AB116" s="10">
        <f>Stock!AC69*AF!AB87*ACT2FLO!AB65*AF!AB55</f>
        <v>0</v>
      </c>
      <c r="AC116" s="10">
        <f>Stock!AD69*AF!AC87*ACT2FLO!AC65*AF!AC55</f>
        <v>0</v>
      </c>
      <c r="AD116" s="10">
        <f>Stock!AE69*AF!AD87*ACT2FLO!AD65*AF!AD55</f>
        <v>0</v>
      </c>
    </row>
    <row r="117" spans="2:30">
      <c r="B117" s="459" t="str">
        <f t="shared" si="82"/>
        <v>T-HPT-ICE_DST00</v>
      </c>
      <c r="C117" s="459" t="s">
        <v>857</v>
      </c>
      <c r="D117" s="10">
        <f>Stock!E70*AF!D88*ACT2FLO!D66*AF!D56</f>
        <v>1.2767155199999995</v>
      </c>
      <c r="E117" s="10">
        <f>Stock!F70*AF!E88*ACT2FLO!E66*AF!E56</f>
        <v>1.5264180732683506E-2</v>
      </c>
      <c r="F117" s="10">
        <f>Stock!G70*AF!F88*ACT2FLO!F66*AF!F56</f>
        <v>0.36124378711107558</v>
      </c>
      <c r="G117" s="10">
        <f>Stock!H70*AF!G88*ACT2FLO!G66*AF!G56</f>
        <v>5.9656103241498823E-2</v>
      </c>
      <c r="H117" s="10">
        <f>Stock!I70*AF!H88*ACT2FLO!H66*AF!H56</f>
        <v>2.6605339395518336E-2</v>
      </c>
      <c r="I117" s="10">
        <f>Stock!J70*AF!I88*ACT2FLO!I66*AF!I56</f>
        <v>2.2708324237969767E-2</v>
      </c>
      <c r="J117" s="10">
        <f>Stock!K70*AF!J88*ACT2FLO!J66*AF!J56</f>
        <v>1.0958562128275364E-2</v>
      </c>
      <c r="K117" s="10">
        <f>Stock!L70*AF!K88*ACT2FLO!K66*AF!K56</f>
        <v>3.4555411184416164E-2</v>
      </c>
      <c r="L117" s="10">
        <f>Stock!M70*AF!L88*ACT2FLO!L66*AF!L56</f>
        <v>5.2293734048084066E-2</v>
      </c>
      <c r="M117" s="10">
        <f>Stock!N70*AF!M88*ACT2FLO!M66*AF!M56</f>
        <v>2.0902318451850258E-2</v>
      </c>
      <c r="N117" s="10">
        <f>Stock!O70*AF!N88*ACT2FLO!N66*AF!N56</f>
        <v>2.3800346442076774E-2</v>
      </c>
      <c r="O117" s="10">
        <f>Stock!P70*AF!O88*ACT2FLO!O66*AF!O56</f>
        <v>4.0142339416476505E-2</v>
      </c>
      <c r="P117" s="10">
        <f>Stock!Q70*AF!P88*ACT2FLO!P66*AF!P56</f>
        <v>3.8185922519013003E-2</v>
      </c>
      <c r="Q117" s="10">
        <f>Stock!R70*AF!Q88*ACT2FLO!Q66*AF!Q56</f>
        <v>3.1856322667660655E-2</v>
      </c>
      <c r="R117" s="10">
        <f>Stock!S70*AF!R88*ACT2FLO!R66*AF!R56</f>
        <v>0.1455496955313432</v>
      </c>
      <c r="S117" s="10">
        <f>Stock!T70*AF!S88*ACT2FLO!S66*AF!S56</f>
        <v>3.9602092733128702E-2</v>
      </c>
      <c r="T117" s="10">
        <f>Stock!U70*AF!T88*ACT2FLO!T66*AF!T56</f>
        <v>5.2254857735882849E-2</v>
      </c>
      <c r="U117" s="10">
        <f>Stock!V70*AF!U88*ACT2FLO!U66*AF!U56</f>
        <v>4.2778153383718334E-2</v>
      </c>
      <c r="V117" s="10">
        <f>Stock!W70*AF!V88*ACT2FLO!V66*AF!V56</f>
        <v>3.1148237560602809E-2</v>
      </c>
      <c r="W117" s="10">
        <f>Stock!X70*AF!W88*ACT2FLO!W66*AF!W56</f>
        <v>6.9188574993234747E-2</v>
      </c>
      <c r="X117" s="10">
        <f>Stock!Y70*AF!X88*ACT2FLO!X66*AF!X56</f>
        <v>8.5913968839687778E-3</v>
      </c>
      <c r="Y117" s="10">
        <f>Stock!Z70*AF!Y88*ACT2FLO!Y66*AF!Y56</f>
        <v>3.4990557768571746E-2</v>
      </c>
      <c r="Z117" s="10">
        <f>Stock!AA70*AF!Z88*ACT2FLO!Z66*AF!Z56</f>
        <v>1.7305053066997901E-2</v>
      </c>
      <c r="AA117" s="10">
        <f>Stock!AB70*AF!AA88*ACT2FLO!AA66*AF!AA56</f>
        <v>1.7570752552455802E-2</v>
      </c>
      <c r="AB117" s="10">
        <f>Stock!AC70*AF!AB88*ACT2FLO!AB66*AF!AB56</f>
        <v>2.0423737643028506E-2</v>
      </c>
      <c r="AC117" s="10">
        <f>Stock!AD70*AF!AC88*ACT2FLO!AC66*AF!AC56</f>
        <v>4.2681364771962209E-2</v>
      </c>
      <c r="AD117" s="10">
        <f>Stock!AE70*AF!AD88*ACT2FLO!AD66*AF!AD56</f>
        <v>1.6458353798505406E-2</v>
      </c>
    </row>
    <row r="118" spans="2:30">
      <c r="B118" s="459" t="str">
        <f t="shared" si="82"/>
        <v>T-LGT-ICE_GSL00</v>
      </c>
      <c r="C118" s="459" t="s">
        <v>858</v>
      </c>
      <c r="D118" s="659">
        <f>Stock!E72*AF!D89*ACT2FLO!D68*AF!D57</f>
        <v>2.164755821344027E-2</v>
      </c>
      <c r="E118" s="659">
        <f>Stock!F72*AF!E89*ACT2FLO!E68*AF!E57</f>
        <v>2.5016943769836313E-4</v>
      </c>
      <c r="F118" s="659">
        <f>Stock!G72*AF!F89*ACT2FLO!F68*AF!F57</f>
        <v>7.0973700485429288E-3</v>
      </c>
      <c r="G118" s="659">
        <f>Stock!H72*AF!G89*ACT2FLO!G68*AF!G57</f>
        <v>1.133026162199453E-3</v>
      </c>
      <c r="H118" s="659">
        <f>Stock!I72*AF!H89*ACT2FLO!H68*AF!H57</f>
        <v>3.3290427902171277E-4</v>
      </c>
      <c r="I118" s="659">
        <f>Stock!J72*AF!I89*ACT2FLO!I68*AF!I57</f>
        <v>4.8800930608980023E-4</v>
      </c>
      <c r="J118" s="659">
        <f>Stock!K72*AF!J89*ACT2FLO!J68*AF!J57</f>
        <v>1.5783479852955496E-4</v>
      </c>
      <c r="K118" s="659">
        <f>Stock!L72*AF!K89*ACT2FLO!K68*AF!K57</f>
        <v>4.6519470018901668E-4</v>
      </c>
      <c r="L118" s="659">
        <f>Stock!M72*AF!L89*ACT2FLO!L68*AF!L57</f>
        <v>4.1856225537525521E-4</v>
      </c>
      <c r="M118" s="659">
        <f>Stock!N72*AF!M89*ACT2FLO!M68*AF!M57</f>
        <v>2.6660672661329955E-4</v>
      </c>
      <c r="N118" s="659">
        <f>Stock!O72*AF!N89*ACT2FLO!N68*AF!N57</f>
        <v>3.274709422983116E-4</v>
      </c>
      <c r="O118" s="659">
        <f>Stock!P72*AF!O89*ACT2FLO!O68*AF!O57</f>
        <v>7.1472627624083755E-4</v>
      </c>
      <c r="P118" s="659">
        <f>Stock!Q72*AF!P89*ACT2FLO!P68*AF!P57</f>
        <v>9.9390854789583607E-4</v>
      </c>
      <c r="Q118" s="659">
        <f>Stock!R72*AF!Q89*ACT2FLO!Q68*AF!Q57</f>
        <v>3.9838406396884747E-4</v>
      </c>
      <c r="R118" s="659">
        <f>Stock!S72*AF!R89*ACT2FLO!R68*AF!R57</f>
        <v>3.7353681740376222E-3</v>
      </c>
      <c r="S118" s="659">
        <f>Stock!T72*AF!S89*ACT2FLO!S68*AF!S57</f>
        <v>6.4125193087460647E-4</v>
      </c>
      <c r="T118" s="659">
        <f>Stock!U72*AF!T89*ACT2FLO!T68*AF!T57</f>
        <v>4.7630273032818384E-4</v>
      </c>
      <c r="U118" s="659">
        <f>Stock!V72*AF!U89*ACT2FLO!U68*AF!U57</f>
        <v>6.2069548116929364E-4</v>
      </c>
      <c r="V118" s="659">
        <f>Stock!W72*AF!V89*ACT2FLO!V68*AF!V57</f>
        <v>1.0459595759477512E-3</v>
      </c>
      <c r="W118" s="659">
        <f>Stock!X72*AF!W89*ACT2FLO!W68*AF!W57</f>
        <v>9.8273394314007403E-4</v>
      </c>
      <c r="X118" s="659">
        <f>Stock!Y72*AF!X89*ACT2FLO!X68*AF!X57</f>
        <v>3.9481765597168991E-5</v>
      </c>
      <c r="Y118" s="659">
        <f>Stock!Z72*AF!Y89*ACT2FLO!Y68*AF!Y57</f>
        <v>3.3154193888290212E-4</v>
      </c>
      <c r="Z118" s="659">
        <f>Stock!AA72*AF!Z89*ACT2FLO!Z68*AF!Z57</f>
        <v>2.9471417748821126E-4</v>
      </c>
      <c r="AA118" s="659">
        <f>Stock!AB72*AF!AA89*ACT2FLO!AA68*AF!AA57</f>
        <v>2.1144407638200915E-4</v>
      </c>
      <c r="AB118" s="659">
        <f>Stock!AC72*AF!AB89*ACT2FLO!AB68*AF!AB57</f>
        <v>1.137704442242497E-4</v>
      </c>
      <c r="AC118" s="659">
        <f>Stock!AD72*AF!AC89*ACT2FLO!AC68*AF!AC57</f>
        <v>6.5214849647320691E-4</v>
      </c>
      <c r="AD118" s="659">
        <f>Stock!AE72*AF!AD89*ACT2FLO!AD68*AF!AD57</f>
        <v>1.6819933764386093E-4</v>
      </c>
    </row>
    <row r="119" spans="2:30">
      <c r="B119" s="459" t="str">
        <f t="shared" si="82"/>
        <v>T-HGT-ICE_DST00</v>
      </c>
      <c r="C119" s="459" t="s">
        <v>858</v>
      </c>
      <c r="D119" s="659">
        <f>Stock!E73*AF!D90*ACT2FLO!D69*AF!D58</f>
        <v>11.515352441786558</v>
      </c>
      <c r="E119" s="659">
        <f>Stock!F73*AF!E90*ACT2FLO!E69*AF!E58</f>
        <v>0.1776908265543512</v>
      </c>
      <c r="F119" s="659">
        <f>Stock!G73*AF!F90*ACT2FLO!F69*AF!F58</f>
        <v>2.6221306015550203</v>
      </c>
      <c r="G119" s="659">
        <f>Stock!H73*AF!G90*ACT2FLO!G69*AF!G58</f>
        <v>0.4811510160256468</v>
      </c>
      <c r="H119" s="659">
        <f>Stock!I73*AF!H90*ACT2FLO!H69*AF!H58</f>
        <v>0.30981676399686997</v>
      </c>
      <c r="I119" s="659">
        <f>Stock!J73*AF!I90*ACT2FLO!I69*AF!I58</f>
        <v>0.22041667088380426</v>
      </c>
      <c r="J119" s="659">
        <f>Stock!K73*AF!J90*ACT2FLO!J69*AF!J58</f>
        <v>0.10644614165165804</v>
      </c>
      <c r="K119" s="659">
        <f>Stock!L73*AF!K90*ACT2FLO!K69*AF!K58</f>
        <v>0.27889471115920395</v>
      </c>
      <c r="L119" s="659">
        <f>Stock!M73*AF!L90*ACT2FLO!L69*AF!L58</f>
        <v>0.42234511266501396</v>
      </c>
      <c r="M119" s="659">
        <f>Stock!N73*AF!M90*ACT2FLO!M69*AF!M58</f>
        <v>0.20306940012468397</v>
      </c>
      <c r="N119" s="659">
        <f>Stock!O73*AF!N90*ACT2FLO!N69*AF!N58</f>
        <v>0.23120030997623356</v>
      </c>
      <c r="O119" s="659">
        <f>Stock!P73*AF!O90*ACT2FLO!O69*AF!O58</f>
        <v>0.46724146359802399</v>
      </c>
      <c r="P119" s="659">
        <f>Stock!Q73*AF!P90*ACT2FLO!P69*AF!P58</f>
        <v>0.30771651782018739</v>
      </c>
      <c r="Q119" s="659">
        <f>Stock!R73*AF!Q90*ACT2FLO!Q69*AF!Q58</f>
        <v>0.30338888280344567</v>
      </c>
      <c r="R119" s="659">
        <f>Stock!S73*AF!R90*ACT2FLO!R69*AF!R58</f>
        <v>1.6216923370920473</v>
      </c>
      <c r="S119" s="659">
        <f>Stock!T73*AF!S90*ACT2FLO!S69*AF!S58</f>
        <v>0.4416155214684373</v>
      </c>
      <c r="T119" s="659">
        <f>Stock!U73*AF!T90*ACT2FLO!T69*AF!T58</f>
        <v>0.49783483561849579</v>
      </c>
      <c r="U119" s="659">
        <f>Stock!V73*AF!U90*ACT2FLO!U69*AF!U58</f>
        <v>0.40731899152066192</v>
      </c>
      <c r="V119" s="659">
        <f>Stock!W73*AF!V90*ACT2FLO!V69*AF!V58</f>
        <v>0.36206218962612408</v>
      </c>
      <c r="W119" s="659">
        <f>Stock!X73*AF!W90*ACT2FLO!W69*AF!W58</f>
        <v>0.60407823406137595</v>
      </c>
      <c r="X119" s="659">
        <f>Stock!Y73*AF!X90*ACT2FLO!X69*AF!X58</f>
        <v>8.0653988424110548E-2</v>
      </c>
      <c r="Y119" s="659">
        <f>Stock!Z73*AF!Y90*ACT2FLO!Y69*AF!Y58</f>
        <v>0.30566436499430799</v>
      </c>
      <c r="Z119" s="659">
        <f>Stock!AA73*AF!Z90*ACT2FLO!Z69*AF!Z58</f>
        <v>0.1510396956020322</v>
      </c>
      <c r="AA119" s="659">
        <f>Stock!AB73*AF!AA90*ACT2FLO!AA69*AF!AA58</f>
        <v>0.16481934386777272</v>
      </c>
      <c r="AB119" s="659">
        <f>Stock!AC73*AF!AB90*ACT2FLO!AB69*AF!AB58</f>
        <v>0.19171327315742268</v>
      </c>
      <c r="AC119" s="659">
        <f>Stock!AD73*AF!AC90*ACT2FLO!AC69*AF!AC58</f>
        <v>0.40022648420980411</v>
      </c>
      <c r="AD119" s="659">
        <f>Stock!AE73*AF!AD90*ACT2FLO!AD69*AF!AD58</f>
        <v>0.15441454192641169</v>
      </c>
    </row>
    <row r="120" spans="2:30">
      <c r="B120" s="458" t="str">
        <f t="shared" si="82"/>
        <v>T-GTR-ICE_DST00</v>
      </c>
      <c r="C120" s="458" t="s">
        <v>858</v>
      </c>
      <c r="D120" s="660">
        <f>Stock!E74*AF!D91*ACT2FLO!D70*AF!D59</f>
        <v>9.0838999999999989E-2</v>
      </c>
      <c r="E120" s="660">
        <f>Stock!F74*AF!E91*ACT2FLO!E70*AF!E59</f>
        <v>0</v>
      </c>
      <c r="F120" s="660">
        <f>Stock!G74*AF!F91*ACT2FLO!F70*AF!F59</f>
        <v>9.0838999999999989E-2</v>
      </c>
      <c r="G120" s="660">
        <f>Stock!H74*AF!G91*ACT2FLO!G70*AF!G59</f>
        <v>0</v>
      </c>
      <c r="H120" s="660">
        <f>Stock!I74*AF!H91*ACT2FLO!H70*AF!H59</f>
        <v>0</v>
      </c>
      <c r="I120" s="660">
        <f>Stock!J74*AF!I91*ACT2FLO!I70*AF!I59</f>
        <v>0</v>
      </c>
      <c r="J120" s="660">
        <f>Stock!K74*AF!J91*ACT2FLO!J70*AF!J59</f>
        <v>0</v>
      </c>
      <c r="K120" s="660">
        <f>Stock!L74*AF!K91*ACT2FLO!K70*AF!K59</f>
        <v>0</v>
      </c>
      <c r="L120" s="660">
        <f>Stock!M74*AF!L91*ACT2FLO!L70*AF!L59</f>
        <v>9.0838999999999989E-2</v>
      </c>
      <c r="M120" s="660">
        <f>Stock!N74*AF!M91*ACT2FLO!M70*AF!M59</f>
        <v>0</v>
      </c>
      <c r="N120" s="660">
        <f>Stock!O74*AF!N91*ACT2FLO!N70*AF!N59</f>
        <v>0</v>
      </c>
      <c r="O120" s="660">
        <f>Stock!P74*AF!O91*ACT2FLO!O70*AF!O59</f>
        <v>0</v>
      </c>
      <c r="P120" s="660">
        <f>Stock!Q74*AF!P91*ACT2FLO!P70*AF!P59</f>
        <v>0</v>
      </c>
      <c r="Q120" s="660">
        <f>Stock!R74*AF!Q91*ACT2FLO!Q70*AF!Q59</f>
        <v>0</v>
      </c>
      <c r="R120" s="660">
        <f>Stock!S74*AF!R91*ACT2FLO!R70*AF!R59</f>
        <v>0</v>
      </c>
      <c r="S120" s="660">
        <f>Stock!T74*AF!S91*ACT2FLO!S70*AF!S59</f>
        <v>0</v>
      </c>
      <c r="T120" s="660">
        <f>Stock!U74*AF!T91*ACT2FLO!T70*AF!T59</f>
        <v>0</v>
      </c>
      <c r="U120" s="660">
        <f>Stock!V74*AF!U91*ACT2FLO!U70*AF!U59</f>
        <v>0</v>
      </c>
      <c r="V120" s="660">
        <f>Stock!W74*AF!V91*ACT2FLO!V70*AF!V59</f>
        <v>9.0838999999999989E-2</v>
      </c>
      <c r="W120" s="660">
        <f>Stock!X74*AF!W91*ACT2FLO!W70*AF!W59</f>
        <v>0</v>
      </c>
      <c r="X120" s="660">
        <f>Stock!Y74*AF!X91*ACT2FLO!X70*AF!X59</f>
        <v>0</v>
      </c>
      <c r="Y120" s="660">
        <f>Stock!Z74*AF!Y91*ACT2FLO!Y70*AF!Y59</f>
        <v>9.0838999999999989E-2</v>
      </c>
      <c r="Z120" s="660">
        <f>Stock!AA74*AF!Z91*ACT2FLO!Z70*AF!Z59</f>
        <v>0</v>
      </c>
      <c r="AA120" s="660">
        <f>Stock!AB74*AF!AA91*ACT2FLO!AA70*AF!AA59</f>
        <v>0</v>
      </c>
      <c r="AB120" s="660">
        <f>Stock!AC74*AF!AB91*ACT2FLO!AB70*AF!AB59</f>
        <v>0</v>
      </c>
      <c r="AC120" s="660">
        <f>Stock!AD74*AF!AC91*ACT2FLO!AC70*AF!AC59</f>
        <v>0</v>
      </c>
      <c r="AD120" s="660">
        <f>Stock!AE74*AF!AD91*ACT2FLO!AD70*AF!AD59</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Primary</vt:lpstr>
      <vt:lpstr>Secondary</vt:lpstr>
      <vt:lpstr>Commodities</vt:lpstr>
      <vt:lpstr>Blending</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2020-11-25T11:26:39Z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699184596538543</vt:r8>
  </property>
</Properties>
</file>