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mc:AlternateContent xmlns:mc="http://schemas.openxmlformats.org/markup-compatibility/2006">
    <mc:Choice Requires="x15">
      <x15ac:absPath xmlns:x15ac="http://schemas.microsoft.com/office/spreadsheetml/2010/11/ac" url="C:\VEDA\VEDA_Models\~g2v_Irish-TIMES-model\TRA_Update\"/>
    </mc:Choice>
  </mc:AlternateContent>
  <xr:revisionPtr revIDLastSave="0" documentId="13_ncr:1_{706F95F7-2B45-414D-847C-C990A2E6B8E5}" xr6:coauthVersionLast="45" xr6:coauthVersionMax="45" xr10:uidLastSave="{00000000-0000-0000-0000-000000000000}"/>
  <bookViews>
    <workbookView xWindow="-108" yWindow="-108" windowWidth="23256" windowHeight="12576" firstSheet="6" activeTab="11"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On-Road Fac." sheetId="63" r:id="rId11"/>
    <sheet name="ACT2FLO" sheetId="58" r:id="rId12"/>
    <sheet name="Efficiency" sheetId="60" r:id="rId13"/>
    <sheet name="AF" sheetId="61" r:id="rId14"/>
    <sheet name="Emissions" sheetId="69" r:id="rId15"/>
  </sheets>
  <externalReferences>
    <externalReference r:id="rId16"/>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8" i="43" l="1"/>
  <c r="X18"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K18" i="43" l="1"/>
  <c r="E18" i="43"/>
  <c r="U18" i="43"/>
  <c r="A25" i="60" l="1"/>
  <c r="A60" i="60" s="1"/>
  <c r="A26" i="60"/>
  <c r="A61" i="60" s="1"/>
  <c r="B28" i="58"/>
  <c r="C28" i="58"/>
  <c r="B29" i="58"/>
  <c r="C29" i="58"/>
  <c r="B30" i="58"/>
  <c r="C30" i="58"/>
  <c r="B31" i="58"/>
  <c r="C31" i="58"/>
  <c r="A71" i="58"/>
  <c r="A29" i="58" s="1"/>
  <c r="A72" i="58"/>
  <c r="A30" i="58" s="1"/>
  <c r="D190" i="59" l="1"/>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C453" i="43"/>
  <c r="C462" i="43" s="1"/>
  <c r="D76" i="59"/>
  <c r="D75" i="59"/>
  <c r="D74" i="59"/>
  <c r="D71" i="58" l="1"/>
  <c r="D29" i="58" s="1"/>
  <c r="D70" i="58"/>
  <c r="D28" i="58" s="1"/>
  <c r="E75" i="59"/>
  <c r="E77" i="59"/>
  <c r="E76" i="59"/>
  <c r="C76" i="59"/>
  <c r="A75" i="59"/>
  <c r="A128" i="59" s="1"/>
  <c r="C75" i="59"/>
  <c r="A76" i="59"/>
  <c r="A129" i="59" s="1"/>
  <c r="B33" i="59"/>
  <c r="C33" i="59"/>
  <c r="B34" i="59"/>
  <c r="C34" i="59"/>
  <c r="C455" i="43" l="1"/>
  <c r="C464" i="43" s="1"/>
  <c r="D73" i="58" s="1"/>
  <c r="D31" i="58" s="1"/>
  <c r="C454" i="43"/>
  <c r="C463" i="43" s="1"/>
  <c r="D72" i="58" s="1"/>
  <c r="D30" i="58" s="1"/>
  <c r="D446" i="43"/>
  <c r="C446" i="43"/>
  <c r="C456" i="43" l="1"/>
  <c r="N4" i="69"/>
  <c r="M4" i="69"/>
  <c r="L4" i="69"/>
  <c r="K4" i="69"/>
  <c r="J4" i="69"/>
  <c r="I4" i="69"/>
  <c r="H4" i="69"/>
  <c r="G4" i="69"/>
  <c r="F4" i="69"/>
  <c r="E4" i="69"/>
  <c r="D4" i="69"/>
  <c r="C4" i="69"/>
  <c r="B8" i="69"/>
  <c r="B7" i="69"/>
  <c r="B6" i="69"/>
  <c r="B5" i="69"/>
  <c r="D12" i="65" l="1"/>
  <c r="B12" i="65" s="1"/>
  <c r="D32" i="58" l="1"/>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B151" i="59" l="1"/>
  <c r="B163" i="59" s="1"/>
  <c r="A151" i="59"/>
  <c r="A149" i="59"/>
  <c r="D149" i="59" l="1"/>
  <c r="B149" i="59"/>
  <c r="B161" i="59" s="1"/>
  <c r="BM76" i="59" l="1"/>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F6" i="61" l="1"/>
  <c r="F7" i="61"/>
  <c r="F8" i="61"/>
  <c r="F9" i="61"/>
  <c r="F10" i="61"/>
  <c r="F16" i="61"/>
  <c r="F17" i="61"/>
  <c r="F18" i="61"/>
  <c r="F19" i="61"/>
  <c r="AH74" i="59" l="1"/>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C126" i="43" l="1"/>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M15" i="68" l="1"/>
  <c r="L15" i="68"/>
  <c r="K15" i="68"/>
  <c r="J15" i="68"/>
  <c r="I15" i="68"/>
  <c r="M12" i="68"/>
  <c r="L12" i="68"/>
  <c r="K12" i="68"/>
  <c r="J12" i="68"/>
  <c r="I12" i="68"/>
  <c r="M9" i="68"/>
  <c r="L9" i="68"/>
  <c r="K9" i="68"/>
  <c r="J9" i="68"/>
  <c r="I9" i="68"/>
  <c r="J6" i="68"/>
  <c r="K6" i="68"/>
  <c r="L6" i="68"/>
  <c r="M6" i="68"/>
  <c r="I6" i="68"/>
  <c r="E16" i="68" l="1"/>
  <c r="D14" i="68"/>
  <c r="C14" i="68"/>
  <c r="D15" i="68"/>
  <c r="E149" i="59" l="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50" i="59"/>
  <c r="A150" i="59"/>
  <c r="A162" i="59" s="1"/>
  <c r="A163" i="59" s="1"/>
  <c r="B150" i="59"/>
  <c r="B162" i="59" s="1"/>
  <c r="A161" i="59"/>
  <c r="B147" i="59"/>
  <c r="A147" i="59"/>
  <c r="A159" i="59" s="1"/>
  <c r="C56" i="59"/>
  <c r="B145" i="59"/>
  <c r="B146" i="59" s="1"/>
  <c r="B143" i="59"/>
  <c r="B144" i="59" s="1"/>
  <c r="A145" i="59"/>
  <c r="A157" i="59" s="1"/>
  <c r="A143" i="59"/>
  <c r="A155" i="59" s="1"/>
  <c r="E150" i="59" l="1"/>
  <c r="E151" i="59" s="1"/>
  <c r="D151" i="59"/>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1" i="68"/>
  <c r="N51" i="68" s="1"/>
  <c r="O51" i="68" s="1"/>
  <c r="P51" i="68" s="1"/>
  <c r="Q51" i="68" s="1"/>
  <c r="R51" i="68" s="1"/>
  <c r="S51" i="68" s="1"/>
  <c r="T51" i="68" s="1"/>
  <c r="U51" i="68" s="1"/>
  <c r="W51" i="68"/>
  <c r="X51" i="68" s="1"/>
  <c r="Y51" i="68" s="1"/>
  <c r="Z51" i="68" s="1"/>
  <c r="AA51" i="68" s="1"/>
  <c r="AB51" i="68" s="1"/>
  <c r="AC51" i="68" s="1"/>
  <c r="AD51" i="68" s="1"/>
  <c r="AE51" i="68" s="1"/>
  <c r="AF51" i="68" s="1"/>
  <c r="K51" i="68"/>
  <c r="D51" i="68"/>
  <c r="E51" i="68"/>
  <c r="F51" i="68"/>
  <c r="G51" i="68"/>
  <c r="H51" i="68"/>
  <c r="I51" i="68"/>
  <c r="J51" i="68"/>
  <c r="I5" i="68" s="1"/>
  <c r="D52" i="68"/>
  <c r="E52" i="68"/>
  <c r="F52" i="68"/>
  <c r="G52" i="68"/>
  <c r="H52" i="68"/>
  <c r="I52" i="68"/>
  <c r="J52" i="68"/>
  <c r="I8" i="68" s="1"/>
  <c r="K52" i="68"/>
  <c r="L52" i="68" s="1"/>
  <c r="M52" i="68" s="1"/>
  <c r="N52" i="68" s="1"/>
  <c r="O52" i="68" s="1"/>
  <c r="P52" i="68" s="1"/>
  <c r="Q52" i="68" s="1"/>
  <c r="R52" i="68" s="1"/>
  <c r="S52" i="68" s="1"/>
  <c r="T52" i="68" s="1"/>
  <c r="U52" i="68" s="1"/>
  <c r="C52" i="68"/>
  <c r="C51" i="68"/>
  <c r="B52" i="68"/>
  <c r="B51" i="68"/>
  <c r="B41" i="68"/>
  <c r="B39" i="68"/>
  <c r="W52" i="68"/>
  <c r="X52" i="68" s="1"/>
  <c r="Y52" i="68" s="1"/>
  <c r="Z52" i="68" s="1"/>
  <c r="AA52" i="68" s="1"/>
  <c r="AB52" i="68" s="1"/>
  <c r="AC52" i="68" s="1"/>
  <c r="AD52" i="68" s="1"/>
  <c r="AE52" i="68" s="1"/>
  <c r="AF52" i="68" s="1"/>
  <c r="AG52" i="68" s="1"/>
  <c r="AH52" i="68" s="1"/>
  <c r="AI52" i="68" s="1"/>
  <c r="AJ52" i="68" s="1"/>
  <c r="AK52" i="68" s="1"/>
  <c r="AL52" i="68" s="1"/>
  <c r="AM52" i="68" s="1"/>
  <c r="AN52" i="68" s="1"/>
  <c r="AO52" i="68" s="1"/>
  <c r="AP52" i="68" s="1"/>
  <c r="M8" i="68" s="1"/>
  <c r="E7" i="68"/>
  <c r="D6" i="68"/>
  <c r="D5" i="68"/>
  <c r="C5" i="68"/>
  <c r="B40" i="68"/>
  <c r="B38" i="68"/>
  <c r="C11" i="68"/>
  <c r="C8" i="68"/>
  <c r="F150" i="59" l="1"/>
  <c r="F151" i="59" s="1"/>
  <c r="AG51" i="68"/>
  <c r="AH51" i="68" s="1"/>
  <c r="AI51" i="68" s="1"/>
  <c r="AJ51" i="68" s="1"/>
  <c r="AK51" i="68" s="1"/>
  <c r="AL51" i="68" s="1"/>
  <c r="AM51" i="68" s="1"/>
  <c r="AN51" i="68" s="1"/>
  <c r="AO51" i="68" s="1"/>
  <c r="AP51" i="68" s="1"/>
  <c r="M5" i="68" s="1"/>
  <c r="L5" i="68"/>
  <c r="J8" i="68"/>
  <c r="L8" i="68"/>
  <c r="G150" i="59" l="1"/>
  <c r="H150" i="59"/>
  <c r="G151" i="59"/>
  <c r="M7" i="65"/>
  <c r="M8" i="65"/>
  <c r="M9" i="65"/>
  <c r="M10" i="65"/>
  <c r="M11" i="65"/>
  <c r="M12" i="65"/>
  <c r="M13" i="65"/>
  <c r="M14" i="65"/>
  <c r="M15" i="65"/>
  <c r="M16" i="65"/>
  <c r="M17" i="65"/>
  <c r="M6" i="65"/>
  <c r="L7" i="65"/>
  <c r="L8" i="65"/>
  <c r="L9" i="65"/>
  <c r="L14" i="65"/>
  <c r="L15" i="65"/>
  <c r="L16" i="65"/>
  <c r="L17" i="65"/>
  <c r="B17" i="65"/>
  <c r="B15" i="65"/>
  <c r="B14" i="65"/>
  <c r="B9" i="65"/>
  <c r="B8" i="65"/>
  <c r="B7" i="65"/>
  <c r="L12" i="65"/>
  <c r="B16" i="65"/>
  <c r="B6" i="65"/>
  <c r="I150" i="59" l="1"/>
  <c r="H151" i="59"/>
  <c r="F78" i="59"/>
  <c r="H78" i="59"/>
  <c r="I78" i="59"/>
  <c r="J78" i="59"/>
  <c r="K78" i="59"/>
  <c r="L78" i="59"/>
  <c r="N78" i="59"/>
  <c r="O78" i="59"/>
  <c r="P78" i="59"/>
  <c r="Q78" i="59"/>
  <c r="R78" i="59"/>
  <c r="S78" i="59"/>
  <c r="T78" i="59"/>
  <c r="U78" i="59"/>
  <c r="V78" i="59"/>
  <c r="X78" i="59"/>
  <c r="Y78" i="59"/>
  <c r="AA78" i="59"/>
  <c r="AB78" i="59"/>
  <c r="AC78" i="59"/>
  <c r="AD78" i="59"/>
  <c r="AE78" i="59"/>
  <c r="J150" i="59" l="1"/>
  <c r="I151" i="59"/>
  <c r="BL76" i="59"/>
  <c r="K150" i="59" l="1"/>
  <c r="J151" i="59"/>
  <c r="B7" i="43"/>
  <c r="L150" i="59" l="1"/>
  <c r="K151"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M150" i="59" l="1"/>
  <c r="L151"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N150" i="59" l="1"/>
  <c r="M151" i="59"/>
  <c r="D58" i="60"/>
  <c r="O150" i="59" l="1"/>
  <c r="N151" i="59"/>
  <c r="D64" i="60"/>
  <c r="D65" i="60"/>
  <c r="D66" i="60"/>
  <c r="D67" i="60"/>
  <c r="D68" i="60"/>
  <c r="P150" i="59" l="1"/>
  <c r="O151" i="59"/>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Q150" i="59" l="1"/>
  <c r="P151" i="59"/>
  <c r="D309" i="43"/>
  <c r="B311" i="43"/>
  <c r="D311" i="43" s="1"/>
  <c r="B320" i="43"/>
  <c r="D318" i="43" s="1"/>
  <c r="B303" i="43"/>
  <c r="D300" i="43" s="1"/>
  <c r="C302" i="43"/>
  <c r="C301" i="43"/>
  <c r="C300" i="43"/>
  <c r="C318" i="43" s="1"/>
  <c r="C292" i="43"/>
  <c r="C291" i="43"/>
  <c r="C290" i="43"/>
  <c r="B292" i="43" s="1"/>
  <c r="R150" i="59" l="1"/>
  <c r="Q151" i="59"/>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2" i="43"/>
  <c r="D290" i="43"/>
  <c r="D291" i="43"/>
  <c r="A96" i="59"/>
  <c r="A95" i="59"/>
  <c r="B93" i="59"/>
  <c r="C93" i="59"/>
  <c r="D93" i="59"/>
  <c r="A93" i="59"/>
  <c r="A102" i="59" l="1"/>
  <c r="AG74" i="59"/>
  <c r="A103" i="59"/>
  <c r="AG75" i="59"/>
  <c r="S150" i="59"/>
  <c r="R151" i="59"/>
  <c r="D301" i="43"/>
  <c r="B40" i="61"/>
  <c r="B41" i="61"/>
  <c r="B42" i="61"/>
  <c r="B68" i="61"/>
  <c r="T150" i="59" l="1"/>
  <c r="S151" i="59"/>
  <c r="B4" i="61"/>
  <c r="B5" i="61"/>
  <c r="U150" i="59" l="1"/>
  <c r="T151" i="59"/>
  <c r="A50" i="58"/>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V150" i="59" l="1"/>
  <c r="U151" i="59"/>
  <c r="D14" i="65"/>
  <c r="C14" i="65"/>
  <c r="D34" i="64"/>
  <c r="D33" i="64"/>
  <c r="M34" i="64"/>
  <c r="M33" i="64"/>
  <c r="M32" i="64"/>
  <c r="M23" i="64"/>
  <c r="W150" i="59" l="1"/>
  <c r="V151" i="59"/>
  <c r="E42" i="60"/>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X150" i="59" l="1"/>
  <c r="W151" i="59"/>
  <c r="H70" i="59"/>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Y150" i="59" l="1"/>
  <c r="X151" i="59"/>
  <c r="E52" i="59"/>
  <c r="AH52" i="59" s="1"/>
  <c r="AH80" i="59" s="1"/>
  <c r="E68" i="59"/>
  <c r="AH68" i="59" s="1"/>
  <c r="AH83" i="59" s="1"/>
  <c r="H16" i="60"/>
  <c r="H51" i="60" s="1"/>
  <c r="F9" i="60"/>
  <c r="F44" i="60" s="1"/>
  <c r="Z150" i="59" l="1"/>
  <c r="Y151" i="59"/>
  <c r="C85" i="59"/>
  <c r="C84" i="59"/>
  <c r="D85" i="59"/>
  <c r="D84" i="59"/>
  <c r="D82" i="59"/>
  <c r="D81" i="59"/>
  <c r="D80" i="59"/>
  <c r="A85" i="59"/>
  <c r="A84" i="59"/>
  <c r="A81" i="59"/>
  <c r="A82" i="59"/>
  <c r="A80" i="59"/>
  <c r="AA150" i="59" l="1"/>
  <c r="Z151" i="59"/>
  <c r="B67" i="6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AB150" i="59" l="1"/>
  <c r="AA151" i="59"/>
  <c r="D7" i="65"/>
  <c r="D8" i="65"/>
  <c r="D9" i="65"/>
  <c r="D10" i="65"/>
  <c r="B10" i="65" s="1"/>
  <c r="L10" i="65" s="1"/>
  <c r="D11" i="65"/>
  <c r="B11" i="65" s="1"/>
  <c r="L11" i="65" s="1"/>
  <c r="D13" i="65"/>
  <c r="B13" i="65" s="1"/>
  <c r="L13" i="65" s="1"/>
  <c r="D15" i="65"/>
  <c r="D16" i="65"/>
  <c r="D17" i="65"/>
  <c r="D6" i="65"/>
  <c r="AC150" i="59" l="1"/>
  <c r="AB151" i="59"/>
  <c r="M31" i="64"/>
  <c r="N31" i="64"/>
  <c r="N32" i="64"/>
  <c r="N33" i="64"/>
  <c r="D31" i="64"/>
  <c r="C15" i="65" s="1"/>
  <c r="D32" i="64"/>
  <c r="C16" i="65" s="1"/>
  <c r="C17" i="65"/>
  <c r="N13" i="64"/>
  <c r="N14" i="64"/>
  <c r="AD150" i="59" l="1"/>
  <c r="AD151" i="59" s="1"/>
  <c r="AC151" i="59"/>
  <c r="N10" i="64"/>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N6" i="64"/>
  <c r="D25" i="64"/>
  <c r="C8" i="65" s="1"/>
  <c r="N7" i="64"/>
  <c r="D26" i="64"/>
  <c r="C9" i="65" s="1"/>
  <c r="N8" i="64"/>
  <c r="D27" i="64"/>
  <c r="N9" i="64"/>
  <c r="D28" i="64"/>
  <c r="D29" i="64"/>
  <c r="N11" i="64"/>
  <c r="D30" i="64"/>
  <c r="N12" i="64"/>
  <c r="N15" i="64"/>
  <c r="N5" i="64"/>
  <c r="D23" i="64"/>
  <c r="C6" i="65" s="1"/>
  <c r="L6" i="65" s="1"/>
  <c r="G24" i="60" l="1"/>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C112" i="43"/>
  <c r="A115" i="43"/>
  <c r="A114" i="43"/>
  <c r="A113" i="43"/>
  <c r="A112" i="43"/>
  <c r="C101" i="43"/>
  <c r="A104" i="43"/>
  <c r="A102" i="43"/>
  <c r="A103" i="43"/>
  <c r="A101" i="43"/>
  <c r="C91" i="43"/>
  <c r="A92" i="43"/>
  <c r="A93" i="43"/>
  <c r="A91" i="43"/>
  <c r="A76" i="43"/>
  <c r="A77" i="43"/>
  <c r="A78" i="43"/>
  <c r="A79" i="43"/>
  <c r="A80" i="43"/>
  <c r="A81" i="43"/>
  <c r="A82" i="43"/>
  <c r="A83" i="43"/>
  <c r="A75" i="43"/>
  <c r="C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58" i="43"/>
  <c r="B659" i="43"/>
  <c r="B660" i="43"/>
  <c r="D660" i="43"/>
  <c r="C659" i="43"/>
  <c r="D659" i="43"/>
  <c r="E659" i="43"/>
  <c r="F659" i="43"/>
  <c r="G659" i="43"/>
  <c r="C660" i="43"/>
  <c r="E660" i="43"/>
  <c r="F660" i="43"/>
  <c r="G660" i="43"/>
  <c r="D658" i="43"/>
  <c r="E658" i="43"/>
  <c r="F658" i="43"/>
  <c r="G658" i="43"/>
  <c r="C658" i="43"/>
  <c r="C677" i="43"/>
  <c r="D677" i="43"/>
  <c r="E677" i="43"/>
  <c r="F677" i="43"/>
  <c r="G677" i="43"/>
  <c r="C678" i="43"/>
  <c r="D678" i="43"/>
  <c r="E678" i="43"/>
  <c r="F678" i="43"/>
  <c r="G678" i="43"/>
  <c r="C679" i="43"/>
  <c r="D679" i="43"/>
  <c r="E679" i="43"/>
  <c r="F679" i="43"/>
  <c r="G679" i="43"/>
  <c r="B678" i="43"/>
  <c r="B687" i="43" s="1"/>
  <c r="B679" i="43"/>
  <c r="B688" i="43" s="1"/>
  <c r="B677" i="43"/>
  <c r="B686" i="43" s="1"/>
  <c r="C642" i="43"/>
  <c r="C641" i="43"/>
  <c r="A642" i="43"/>
  <c r="A641" i="43"/>
  <c r="A629" i="43"/>
  <c r="A630" i="43"/>
  <c r="A628" i="43"/>
  <c r="C42" i="59"/>
  <c r="C43" i="59"/>
  <c r="B43" i="59"/>
  <c r="B42" i="59"/>
  <c r="J66" i="58" l="1"/>
  <c r="I121" i="61"/>
  <c r="AM70" i="59"/>
  <c r="AM84" i="59" s="1"/>
  <c r="J68" i="58"/>
  <c r="E67" i="58"/>
  <c r="E122" i="61" s="1"/>
  <c r="M20" i="61"/>
  <c r="N22" i="61"/>
  <c r="N91" i="61"/>
  <c r="N21" i="61" s="1"/>
  <c r="N97" i="61"/>
  <c r="N27" i="61" s="1"/>
  <c r="F661" i="43"/>
  <c r="X641" i="43" s="1"/>
  <c r="X11" i="43" s="1"/>
  <c r="J27" i="60"/>
  <c r="K24" i="60"/>
  <c r="J28" i="60"/>
  <c r="N90" i="61"/>
  <c r="O92" i="61"/>
  <c r="F688" i="43"/>
  <c r="C661" i="43"/>
  <c r="Q641" i="43" s="1"/>
  <c r="Q11" i="43" s="1"/>
  <c r="G688" i="43"/>
  <c r="C688" i="43"/>
  <c r="E661" i="43"/>
  <c r="R641" i="43" s="1"/>
  <c r="R11" i="43" s="1"/>
  <c r="D688" i="43"/>
  <c r="F686" i="43"/>
  <c r="D661" i="43"/>
  <c r="E641" i="43" s="1"/>
  <c r="E11" i="43" s="1"/>
  <c r="G686" i="43"/>
  <c r="C11" i="43"/>
  <c r="C12" i="43"/>
  <c r="E686" i="43"/>
  <c r="G661" i="43"/>
  <c r="P641" i="43" s="1"/>
  <c r="P11" i="43" s="1"/>
  <c r="C687" i="43"/>
  <c r="E688" i="43"/>
  <c r="G687" i="43"/>
  <c r="D686" i="43"/>
  <c r="F687" i="43"/>
  <c r="C686" i="43"/>
  <c r="E687" i="43"/>
  <c r="D687"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689" i="43"/>
  <c r="X642" i="43" s="1"/>
  <c r="X12" i="43" s="1"/>
  <c r="E689" i="43"/>
  <c r="R642" i="43" s="1"/>
  <c r="R12" i="43" s="1"/>
  <c r="D689" i="43"/>
  <c r="E642" i="43" s="1"/>
  <c r="E12" i="43" s="1"/>
  <c r="G689" i="43"/>
  <c r="P642" i="43" s="1"/>
  <c r="P12" i="43" s="1"/>
  <c r="C689" i="43"/>
  <c r="Q642" i="43" s="1"/>
  <c r="Q12" i="43" s="1"/>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C629" i="43"/>
  <c r="C630" i="43"/>
  <c r="C628" i="43"/>
  <c r="B627" i="43"/>
  <c r="B640" i="43" s="1"/>
  <c r="H577" i="43"/>
  <c r="E608" i="43" s="1"/>
  <c r="C577" i="43"/>
  <c r="D577" i="43"/>
  <c r="E577" i="43"/>
  <c r="F577" i="43"/>
  <c r="G577" i="43"/>
  <c r="I577" i="43"/>
  <c r="J577" i="43"/>
  <c r="K577" i="43"/>
  <c r="L577" i="43"/>
  <c r="C578" i="43"/>
  <c r="D578" i="43"/>
  <c r="E578" i="43"/>
  <c r="F578" i="43"/>
  <c r="G578" i="43"/>
  <c r="H578" i="43"/>
  <c r="I578" i="43"/>
  <c r="J578" i="43"/>
  <c r="K578" i="43"/>
  <c r="L578" i="43"/>
  <c r="C579" i="43"/>
  <c r="D579" i="43"/>
  <c r="E579" i="43"/>
  <c r="F579" i="43"/>
  <c r="G579" i="43"/>
  <c r="H579" i="43"/>
  <c r="I579" i="43"/>
  <c r="J579" i="43"/>
  <c r="K579" i="43"/>
  <c r="L579" i="43"/>
  <c r="C580" i="43"/>
  <c r="D580" i="43"/>
  <c r="E580" i="43"/>
  <c r="F580" i="43"/>
  <c r="G580" i="43"/>
  <c r="H580" i="43"/>
  <c r="I580" i="43"/>
  <c r="J580" i="43"/>
  <c r="K580" i="43"/>
  <c r="L580" i="43"/>
  <c r="C581" i="43"/>
  <c r="D581" i="43"/>
  <c r="E581" i="43"/>
  <c r="F581" i="43"/>
  <c r="G581" i="43"/>
  <c r="H581" i="43"/>
  <c r="I581" i="43"/>
  <c r="J581" i="43"/>
  <c r="K581" i="43"/>
  <c r="L581" i="43"/>
  <c r="C582" i="43"/>
  <c r="D582" i="43"/>
  <c r="E582" i="43"/>
  <c r="F582" i="43"/>
  <c r="G582" i="43"/>
  <c r="H582" i="43"/>
  <c r="I582" i="43"/>
  <c r="J582" i="43"/>
  <c r="K582" i="43"/>
  <c r="L582" i="43"/>
  <c r="C583" i="43"/>
  <c r="D583" i="43"/>
  <c r="E583" i="43"/>
  <c r="F583" i="43"/>
  <c r="G583" i="43"/>
  <c r="H583" i="43"/>
  <c r="I583" i="43"/>
  <c r="J583" i="43"/>
  <c r="K583" i="43"/>
  <c r="L583" i="43"/>
  <c r="C584" i="43"/>
  <c r="D584" i="43"/>
  <c r="E584" i="43"/>
  <c r="F584" i="43"/>
  <c r="G584" i="43"/>
  <c r="H584" i="43"/>
  <c r="I584" i="43"/>
  <c r="J584" i="43"/>
  <c r="K584" i="43"/>
  <c r="L584" i="43"/>
  <c r="C585" i="43"/>
  <c r="D585" i="43"/>
  <c r="E585" i="43"/>
  <c r="F585" i="43"/>
  <c r="G585" i="43"/>
  <c r="H585" i="43"/>
  <c r="I585" i="43"/>
  <c r="J585" i="43"/>
  <c r="K585" i="43"/>
  <c r="L585" i="43"/>
  <c r="C586" i="43"/>
  <c r="D586" i="43"/>
  <c r="E586" i="43"/>
  <c r="F586" i="43"/>
  <c r="G586" i="43"/>
  <c r="H586" i="43"/>
  <c r="I586" i="43"/>
  <c r="J586" i="43"/>
  <c r="K586" i="43"/>
  <c r="L586" i="43"/>
  <c r="C587" i="43"/>
  <c r="D587" i="43"/>
  <c r="E587" i="43"/>
  <c r="F587" i="43"/>
  <c r="G587" i="43"/>
  <c r="H587" i="43"/>
  <c r="I587" i="43"/>
  <c r="J587" i="43"/>
  <c r="K587" i="43"/>
  <c r="L587" i="43"/>
  <c r="B578" i="43"/>
  <c r="B579" i="43"/>
  <c r="B580" i="43"/>
  <c r="B581" i="43"/>
  <c r="B582" i="43"/>
  <c r="B583" i="43"/>
  <c r="B584" i="43"/>
  <c r="B585" i="43"/>
  <c r="B586" i="43"/>
  <c r="B587" i="43"/>
  <c r="B577" i="43"/>
  <c r="E607" i="43"/>
  <c r="D607" i="43"/>
  <c r="F607" i="43"/>
  <c r="G607" i="43"/>
  <c r="H607" i="43"/>
  <c r="I607" i="43"/>
  <c r="J607" i="43"/>
  <c r="K607" i="43"/>
  <c r="L607" i="43"/>
  <c r="M607" i="43"/>
  <c r="N607" i="43"/>
  <c r="O607" i="43"/>
  <c r="P607" i="43"/>
  <c r="Q607" i="43"/>
  <c r="R607" i="43"/>
  <c r="S607" i="43"/>
  <c r="T607" i="43"/>
  <c r="U607" i="43"/>
  <c r="V607" i="43"/>
  <c r="W607" i="43"/>
  <c r="X607" i="43"/>
  <c r="Y607" i="43"/>
  <c r="Z607" i="43"/>
  <c r="AA607" i="43"/>
  <c r="AB607" i="43"/>
  <c r="AC607" i="43"/>
  <c r="E506" i="43"/>
  <c r="E505" i="43"/>
  <c r="A73" i="58"/>
  <c r="A31" i="58" s="1"/>
  <c r="A74" i="58"/>
  <c r="A32" i="58" s="1"/>
  <c r="A70" i="58"/>
  <c r="A28" i="58" s="1"/>
  <c r="E74" i="58"/>
  <c r="F74" i="58" l="1"/>
  <c r="E32" i="58"/>
  <c r="BM54" i="59"/>
  <c r="BM68" i="59" s="1"/>
  <c r="AP70" i="59"/>
  <c r="AP84" i="59" s="1"/>
  <c r="M66" i="58"/>
  <c r="L121" i="61"/>
  <c r="AK71" i="59"/>
  <c r="G122" i="61"/>
  <c r="H67" i="58"/>
  <c r="M68" i="58"/>
  <c r="P20" i="61"/>
  <c r="Q22" i="61"/>
  <c r="Q91" i="61"/>
  <c r="Q21" i="61" s="1"/>
  <c r="Q97" i="61"/>
  <c r="Q27" i="61" s="1"/>
  <c r="N24" i="60"/>
  <c r="M28" i="60"/>
  <c r="M27" i="60"/>
  <c r="R92" i="61"/>
  <c r="Q90" i="61"/>
  <c r="Y608" i="43"/>
  <c r="W608" i="43"/>
  <c r="O608" i="43"/>
  <c r="C8" i="43"/>
  <c r="C10" i="43"/>
  <c r="T608" i="43"/>
  <c r="AC608" i="43"/>
  <c r="V608" i="43"/>
  <c r="J608" i="43"/>
  <c r="M608" i="43"/>
  <c r="G608" i="43"/>
  <c r="AB608" i="43"/>
  <c r="F608" i="43"/>
  <c r="Z608" i="43"/>
  <c r="Q608" i="43"/>
  <c r="H608" i="43"/>
  <c r="X608" i="43"/>
  <c r="I608" i="43"/>
  <c r="R608" i="43"/>
  <c r="K608" i="43"/>
  <c r="S608" i="43"/>
  <c r="AA608" i="43"/>
  <c r="P608" i="43"/>
  <c r="L608" i="43"/>
  <c r="D608" i="43"/>
  <c r="U608" i="43"/>
  <c r="N608" i="43"/>
  <c r="C9" i="43"/>
  <c r="A27" i="60"/>
  <c r="A62" i="60" s="1"/>
  <c r="A28" i="60"/>
  <c r="A63" i="60" s="1"/>
  <c r="A24" i="60"/>
  <c r="A59" i="60" s="1"/>
  <c r="AQ70" i="59" l="1"/>
  <c r="AQ84" i="59" s="1"/>
  <c r="N66" i="58"/>
  <c r="M121" i="61"/>
  <c r="G74" i="58"/>
  <c r="F32"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G32" i="58"/>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H32"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05" i="43"/>
  <c r="F505" i="43"/>
  <c r="G505" i="43"/>
  <c r="H505" i="43"/>
  <c r="I505" i="43"/>
  <c r="J505" i="43"/>
  <c r="K505" i="43"/>
  <c r="L505" i="43"/>
  <c r="M505" i="43"/>
  <c r="N505" i="43"/>
  <c r="O505" i="43"/>
  <c r="P505" i="43"/>
  <c r="Q505" i="43"/>
  <c r="R505" i="43"/>
  <c r="S505" i="43"/>
  <c r="T505" i="43"/>
  <c r="U505" i="43"/>
  <c r="V505" i="43"/>
  <c r="W505" i="43"/>
  <c r="X505" i="43"/>
  <c r="Y505" i="43"/>
  <c r="Z505" i="43"/>
  <c r="AA505" i="43"/>
  <c r="AB505" i="43"/>
  <c r="AC505"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I32" i="58"/>
  <c r="BQ54" i="59"/>
  <c r="BQ68" i="59" s="1"/>
  <c r="AT70" i="59"/>
  <c r="AT84" i="59" s="1"/>
  <c r="P121" i="61"/>
  <c r="Q66" i="58"/>
  <c r="C190" i="59"/>
  <c r="E74" i="59"/>
  <c r="D506"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10" i="43"/>
  <c r="H510" i="43"/>
  <c r="P510" i="43"/>
  <c r="X510" i="43"/>
  <c r="J510" i="43"/>
  <c r="R510" i="43"/>
  <c r="L510" i="43"/>
  <c r="T510" i="43"/>
  <c r="AB510" i="43"/>
  <c r="T506" i="43"/>
  <c r="L506" i="43"/>
  <c r="AC506" i="43"/>
  <c r="Z506" i="43"/>
  <c r="R506" i="43"/>
  <c r="J506" i="43"/>
  <c r="S506" i="43"/>
  <c r="Z510" i="43"/>
  <c r="Y506" i="43"/>
  <c r="Q506" i="43"/>
  <c r="I506" i="43"/>
  <c r="AA506" i="43"/>
  <c r="K506" i="43"/>
  <c r="X506" i="43"/>
  <c r="P506" i="43"/>
  <c r="H506" i="43"/>
  <c r="M506" i="43"/>
  <c r="O506" i="43"/>
  <c r="U506" i="43"/>
  <c r="AB506" i="43"/>
  <c r="W506" i="43"/>
  <c r="V506" i="43"/>
  <c r="F506" i="43"/>
  <c r="C189" i="59"/>
  <c r="Y510" i="43"/>
  <c r="W510" i="43"/>
  <c r="O510" i="43"/>
  <c r="G510" i="43"/>
  <c r="D510" i="43"/>
  <c r="V510" i="43"/>
  <c r="N510" i="43"/>
  <c r="M510" i="43"/>
  <c r="AC510" i="43"/>
  <c r="U510" i="43"/>
  <c r="E510" i="43"/>
  <c r="AA510" i="43"/>
  <c r="S510" i="43"/>
  <c r="K510" i="43"/>
  <c r="Q510" i="43"/>
  <c r="I510" i="43"/>
  <c r="N506" i="43"/>
  <c r="G506"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J32" i="58"/>
  <c r="BR54" i="59"/>
  <c r="BR68" i="59" s="1"/>
  <c r="B92" i="43"/>
  <c r="AP71" i="59"/>
  <c r="M67" i="58"/>
  <c r="L122" i="61"/>
  <c r="R68" i="58"/>
  <c r="V22" i="61"/>
  <c r="U20" i="61"/>
  <c r="V97" i="61"/>
  <c r="V27" i="61" s="1"/>
  <c r="V91" i="61"/>
  <c r="V21" i="61" s="1"/>
  <c r="R28" i="60"/>
  <c r="S24" i="60"/>
  <c r="R27" i="60"/>
  <c r="V90" i="61"/>
  <c r="W92" i="61"/>
  <c r="B91" i="43"/>
  <c r="C608" i="43"/>
  <c r="C510" i="43"/>
  <c r="C506" i="43"/>
  <c r="H175" i="59"/>
  <c r="J56" i="59" s="1"/>
  <c r="L74" i="58" l="1"/>
  <c r="K32" i="58"/>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L32"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M32" i="58"/>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N32"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O32" i="58"/>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P32"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Q32" i="58"/>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05" i="43"/>
  <c r="C607" i="43"/>
  <c r="Y426" i="43"/>
  <c r="Y452" i="43" s="1"/>
  <c r="Y461" i="43" s="1"/>
  <c r="Y404" i="43"/>
  <c r="Q426" i="43"/>
  <c r="Q452" i="43" s="1"/>
  <c r="Q461" i="43" s="1"/>
  <c r="Q404" i="43"/>
  <c r="X426" i="43"/>
  <c r="X452" i="43" s="1"/>
  <c r="X461" i="43" s="1"/>
  <c r="X404" i="43"/>
  <c r="P426" i="43"/>
  <c r="P452" i="43" s="1"/>
  <c r="P461" i="43" s="1"/>
  <c r="P404" i="43"/>
  <c r="H426" i="43"/>
  <c r="H452" i="43" s="1"/>
  <c r="H461" i="43" s="1"/>
  <c r="H404" i="43"/>
  <c r="I426" i="43"/>
  <c r="I452" i="43" s="1"/>
  <c r="I461" i="43" s="1"/>
  <c r="I404" i="43"/>
  <c r="W426" i="43"/>
  <c r="W452" i="43" s="1"/>
  <c r="W461" i="43" s="1"/>
  <c r="W404" i="43"/>
  <c r="O426" i="43"/>
  <c r="O452" i="43" s="1"/>
  <c r="O461" i="43" s="1"/>
  <c r="O404" i="43"/>
  <c r="G426" i="43"/>
  <c r="G452" i="43" s="1"/>
  <c r="G461" i="43" s="1"/>
  <c r="G404" i="43"/>
  <c r="V426" i="43"/>
  <c r="V452" i="43" s="1"/>
  <c r="V461" i="43" s="1"/>
  <c r="V404" i="43"/>
  <c r="N426" i="43"/>
  <c r="N452" i="43" s="1"/>
  <c r="N461" i="43" s="1"/>
  <c r="N404" i="43"/>
  <c r="AC426" i="43"/>
  <c r="AC452" i="43" s="1"/>
  <c r="AC461" i="43" s="1"/>
  <c r="AC404" i="43"/>
  <c r="U426" i="43"/>
  <c r="U452" i="43" s="1"/>
  <c r="U461" i="43" s="1"/>
  <c r="U404" i="43"/>
  <c r="M426" i="43"/>
  <c r="M452" i="43" s="1"/>
  <c r="M461" i="43" s="1"/>
  <c r="M404" i="43"/>
  <c r="E426" i="43"/>
  <c r="E452" i="43" s="1"/>
  <c r="E461" i="43" s="1"/>
  <c r="E404" i="43"/>
  <c r="AB426" i="43"/>
  <c r="AB452" i="43" s="1"/>
  <c r="AB461" i="43" s="1"/>
  <c r="AB404" i="43"/>
  <c r="T426" i="43"/>
  <c r="T452" i="43" s="1"/>
  <c r="T461" i="43" s="1"/>
  <c r="T404" i="43"/>
  <c r="L426" i="43"/>
  <c r="L452" i="43" s="1"/>
  <c r="L461" i="43" s="1"/>
  <c r="L404" i="43"/>
  <c r="D426" i="43"/>
  <c r="D452" i="43" s="1"/>
  <c r="D461" i="43" s="1"/>
  <c r="D404" i="43"/>
  <c r="C426" i="43"/>
  <c r="C452" i="43" s="1"/>
  <c r="C461" i="43" s="1"/>
  <c r="C404" i="43"/>
  <c r="AA426" i="43"/>
  <c r="AA452" i="43" s="1"/>
  <c r="AA461" i="43" s="1"/>
  <c r="AA404" i="43"/>
  <c r="S426" i="43"/>
  <c r="S452" i="43" s="1"/>
  <c r="S461" i="43" s="1"/>
  <c r="S404" i="43"/>
  <c r="K426" i="43"/>
  <c r="K452" i="43" s="1"/>
  <c r="K461" i="43" s="1"/>
  <c r="K404" i="43"/>
  <c r="F426" i="43"/>
  <c r="F452" i="43" s="1"/>
  <c r="F461" i="43" s="1"/>
  <c r="F404" i="43"/>
  <c r="Z426" i="43"/>
  <c r="Z452" i="43" s="1"/>
  <c r="Z461" i="43" s="1"/>
  <c r="Z404" i="43"/>
  <c r="R426" i="43"/>
  <c r="R452" i="43" s="1"/>
  <c r="R461" i="43" s="1"/>
  <c r="R404" i="43"/>
  <c r="J426" i="43"/>
  <c r="J452" i="43" s="1"/>
  <c r="J461" i="43" s="1"/>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Y121" i="61" l="1"/>
  <c r="BC70" i="59"/>
  <c r="BC84" i="59" s="1"/>
  <c r="Z66" i="58"/>
  <c r="S74" i="58"/>
  <c r="R32"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04" i="43"/>
  <c r="H606" i="43" s="1"/>
  <c r="H616" i="43" s="1"/>
  <c r="AA504" i="43"/>
  <c r="AA606" i="43" s="1"/>
  <c r="AA616" i="43" s="1"/>
  <c r="F413" i="43"/>
  <c r="C413" i="43"/>
  <c r="AB504" i="43"/>
  <c r="AB627" i="43" s="1"/>
  <c r="AB640" i="43" s="1"/>
  <c r="AC413" i="43"/>
  <c r="O413" i="43"/>
  <c r="P413" i="43"/>
  <c r="T504" i="43"/>
  <c r="T606" i="43" s="1"/>
  <c r="T616" i="43" s="1"/>
  <c r="K413" i="43"/>
  <c r="D413" i="43"/>
  <c r="E413" i="43"/>
  <c r="N413" i="43"/>
  <c r="W413" i="43"/>
  <c r="X413" i="43"/>
  <c r="U413" i="43"/>
  <c r="G413" i="43"/>
  <c r="R413" i="43"/>
  <c r="S413" i="43"/>
  <c r="L413" i="43"/>
  <c r="M504" i="43"/>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04" i="43"/>
  <c r="Y606" i="43" s="1"/>
  <c r="Y616" i="43" s="1"/>
  <c r="AA413" i="43"/>
  <c r="U504" i="43"/>
  <c r="U606" i="43" s="1"/>
  <c r="U616" i="43" s="1"/>
  <c r="T413" i="43"/>
  <c r="AC504" i="43"/>
  <c r="AC606" i="43" s="1"/>
  <c r="AC616" i="43" s="1"/>
  <c r="Z504" i="43"/>
  <c r="Z606" i="43" s="1"/>
  <c r="Z616" i="43" s="1"/>
  <c r="G504" i="43"/>
  <c r="G627" i="43" s="1"/>
  <c r="G640" i="43" s="1"/>
  <c r="O504" i="43"/>
  <c r="O606" i="43" s="1"/>
  <c r="O616" i="43" s="1"/>
  <c r="F504" i="43"/>
  <c r="F606" i="43" s="1"/>
  <c r="F616" i="43" s="1"/>
  <c r="AB413" i="43"/>
  <c r="E504" i="43"/>
  <c r="E606" i="43" s="1"/>
  <c r="E616" i="43" s="1"/>
  <c r="C504" i="43"/>
  <c r="C606" i="43" s="1"/>
  <c r="C616" i="43" s="1"/>
  <c r="P504" i="43"/>
  <c r="P627" i="43" s="1"/>
  <c r="P640" i="43" s="1"/>
  <c r="I504" i="43"/>
  <c r="I627" i="43" s="1"/>
  <c r="I640" i="43" s="1"/>
  <c r="M606" i="43"/>
  <c r="M616" i="43" s="1"/>
  <c r="M627" i="43"/>
  <c r="M640" i="43" s="1"/>
  <c r="M413" i="43"/>
  <c r="V504" i="43"/>
  <c r="Q504" i="43"/>
  <c r="L504" i="43"/>
  <c r="AC609" i="43"/>
  <c r="AC610" i="43" s="1"/>
  <c r="U609" i="43"/>
  <c r="U610" i="43" s="1"/>
  <c r="M609" i="43"/>
  <c r="M610" i="43" s="1"/>
  <c r="E609" i="43"/>
  <c r="E610" i="43" s="1"/>
  <c r="F609" i="43"/>
  <c r="F610" i="43" s="1"/>
  <c r="V609" i="43"/>
  <c r="V610" i="43" s="1"/>
  <c r="N609" i="43"/>
  <c r="N610" i="43" s="1"/>
  <c r="D609" i="43"/>
  <c r="AB609" i="43"/>
  <c r="AB610" i="43" s="1"/>
  <c r="Y609" i="43"/>
  <c r="Y610" i="43" s="1"/>
  <c r="K609" i="43"/>
  <c r="K610" i="43" s="1"/>
  <c r="X609" i="43"/>
  <c r="X610" i="43" s="1"/>
  <c r="O609" i="43"/>
  <c r="O610" i="43" s="1"/>
  <c r="AA609" i="43"/>
  <c r="AA610" i="43" s="1"/>
  <c r="H609" i="43"/>
  <c r="H610" i="43" s="1"/>
  <c r="Z609" i="43"/>
  <c r="Z610" i="43" s="1"/>
  <c r="T609" i="43"/>
  <c r="T610" i="43" s="1"/>
  <c r="G609" i="43"/>
  <c r="G610" i="43" s="1"/>
  <c r="W609" i="43"/>
  <c r="W610" i="43" s="1"/>
  <c r="S609" i="43"/>
  <c r="S610" i="43" s="1"/>
  <c r="R609" i="43"/>
  <c r="R610" i="43" s="1"/>
  <c r="L609" i="43"/>
  <c r="L610" i="43" s="1"/>
  <c r="P609" i="43"/>
  <c r="P610" i="43" s="1"/>
  <c r="J609" i="43"/>
  <c r="J610" i="43" s="1"/>
  <c r="I609" i="43"/>
  <c r="I610" i="43" s="1"/>
  <c r="Q609" i="43"/>
  <c r="Q610" i="43" s="1"/>
  <c r="AB606" i="43"/>
  <c r="AB616" i="43" s="1"/>
  <c r="E507" i="43"/>
  <c r="E508" i="43" s="1"/>
  <c r="E7" i="43" s="1"/>
  <c r="D507" i="43"/>
  <c r="D508" i="43" s="1"/>
  <c r="D7" i="43" s="1"/>
  <c r="AA507" i="43"/>
  <c r="AA508" i="43" s="1"/>
  <c r="Q507" i="43"/>
  <c r="Q508" i="43" s="1"/>
  <c r="Z507" i="43"/>
  <c r="Z508" i="43" s="1"/>
  <c r="M507" i="43"/>
  <c r="M508" i="43" s="1"/>
  <c r="X507" i="43"/>
  <c r="X508" i="43" s="1"/>
  <c r="T507" i="43"/>
  <c r="T508" i="43" s="1"/>
  <c r="Y507" i="43"/>
  <c r="Y508" i="43" s="1"/>
  <c r="K507" i="43"/>
  <c r="K508" i="43" s="1"/>
  <c r="W507" i="43"/>
  <c r="W508" i="43" s="1"/>
  <c r="V507" i="43"/>
  <c r="V508" i="43" s="1"/>
  <c r="R507" i="43"/>
  <c r="R508" i="43" s="1"/>
  <c r="G507" i="43"/>
  <c r="G508" i="43" s="1"/>
  <c r="L507" i="43"/>
  <c r="L508" i="43" s="1"/>
  <c r="O507" i="43"/>
  <c r="O508" i="43" s="1"/>
  <c r="J507" i="43"/>
  <c r="J508" i="43" s="1"/>
  <c r="I507" i="43"/>
  <c r="I508" i="43" s="1"/>
  <c r="P507" i="43"/>
  <c r="P508" i="43" s="1"/>
  <c r="U507" i="43"/>
  <c r="U508" i="43" s="1"/>
  <c r="N507" i="43"/>
  <c r="N508" i="43" s="1"/>
  <c r="AC507" i="43"/>
  <c r="AC508" i="43" s="1"/>
  <c r="S507" i="43"/>
  <c r="S508" i="43" s="1"/>
  <c r="H507" i="43"/>
  <c r="H508" i="43" s="1"/>
  <c r="AB507" i="43"/>
  <c r="AB508" i="43" s="1"/>
  <c r="F507" i="43"/>
  <c r="F508" i="43" s="1"/>
  <c r="D504" i="43"/>
  <c r="X504" i="43"/>
  <c r="J504" i="43"/>
  <c r="K504" i="43"/>
  <c r="N504" i="43"/>
  <c r="W504" i="43"/>
  <c r="R504" i="43"/>
  <c r="S504" i="43"/>
  <c r="E367" i="43"/>
  <c r="D107" i="61"/>
  <c r="E55" i="59"/>
  <c r="E66" i="59"/>
  <c r="E54" i="59"/>
  <c r="E64" i="59"/>
  <c r="E65" i="59"/>
  <c r="D239" i="59"/>
  <c r="D245" i="59"/>
  <c r="D246" i="59"/>
  <c r="D237" i="59"/>
  <c r="D238" i="59"/>
  <c r="D240" i="59"/>
  <c r="D241" i="59"/>
  <c r="D242" i="59"/>
  <c r="D243" i="59"/>
  <c r="E65" i="58"/>
  <c r="E52" i="58"/>
  <c r="H7" i="43" l="1"/>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S32" i="58"/>
  <c r="CA54" i="59"/>
  <c r="CA68" i="59" s="1"/>
  <c r="Z121" i="61"/>
  <c r="BD70" i="59"/>
  <c r="BD84" i="59" s="1"/>
  <c r="AA66" i="58"/>
  <c r="D144" i="43"/>
  <c r="D344" i="43" s="1"/>
  <c r="D363" i="43" s="1"/>
  <c r="AI52" i="59"/>
  <c r="AI80" i="59" s="1"/>
  <c r="E107" i="61"/>
  <c r="D153" i="43"/>
  <c r="D353" i="43" s="1"/>
  <c r="D380" i="43" s="1"/>
  <c r="AI68" i="59"/>
  <c r="AI83" i="59" s="1"/>
  <c r="E120" i="61"/>
  <c r="BM75" i="59"/>
  <c r="AA627" i="43"/>
  <c r="AA640" i="43" s="1"/>
  <c r="AL115" i="59"/>
  <c r="AL128" i="59" s="1"/>
  <c r="AL141" i="59" s="1"/>
  <c r="AL153" i="59" s="1"/>
  <c r="AL164" i="59" s="1"/>
  <c r="AY89" i="59"/>
  <c r="AY100" i="59" s="1"/>
  <c r="AR89" i="59"/>
  <c r="AR100" i="59" s="1"/>
  <c r="AQ115" i="59"/>
  <c r="AQ128" i="59" s="1"/>
  <c r="AQ141" i="59" s="1"/>
  <c r="AQ153" i="59" s="1"/>
  <c r="AQ164" i="59" s="1"/>
  <c r="H627" i="43"/>
  <c r="H640" i="43" s="1"/>
  <c r="T627" i="43"/>
  <c r="T640" i="43" s="1"/>
  <c r="BM77" i="59"/>
  <c r="BM83" i="59"/>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352" i="43"/>
  <c r="D366" i="43" s="1"/>
  <c r="D106" i="61"/>
  <c r="D132" i="61" s="1"/>
  <c r="D39" i="61"/>
  <c r="D75" i="61"/>
  <c r="AA27" i="60"/>
  <c r="AB24" i="60"/>
  <c r="G20" i="60"/>
  <c r="F55" i="60"/>
  <c r="AA28" i="60"/>
  <c r="I23" i="60"/>
  <c r="G21" i="60"/>
  <c r="F56" i="60"/>
  <c r="G22" i="60"/>
  <c r="F57" i="60"/>
  <c r="U627" i="43"/>
  <c r="U640" i="43" s="1"/>
  <c r="C508" i="43"/>
  <c r="H618" i="43"/>
  <c r="H619" i="43" s="1"/>
  <c r="O618" i="43"/>
  <c r="O619" i="43" s="1"/>
  <c r="T618" i="43"/>
  <c r="T619" i="43" s="1"/>
  <c r="S618" i="43"/>
  <c r="S619" i="43" s="1"/>
  <c r="L618" i="43"/>
  <c r="L619" i="43" s="1"/>
  <c r="X618" i="43"/>
  <c r="X619" i="43" s="1"/>
  <c r="AC618" i="43"/>
  <c r="AC619" i="43" s="1"/>
  <c r="G618" i="43"/>
  <c r="G619" i="43" s="1"/>
  <c r="M618" i="43"/>
  <c r="M619" i="43" s="1"/>
  <c r="N618" i="43"/>
  <c r="N619" i="43" s="1"/>
  <c r="R618" i="43"/>
  <c r="R619" i="43" s="1"/>
  <c r="Z618" i="43"/>
  <c r="Z619" i="43" s="1"/>
  <c r="U618" i="43"/>
  <c r="U619" i="43" s="1"/>
  <c r="V618" i="43"/>
  <c r="V619" i="43" s="1"/>
  <c r="Q618" i="43"/>
  <c r="Q619" i="43" s="1"/>
  <c r="P618" i="43"/>
  <c r="P619" i="43" s="1"/>
  <c r="W618" i="43"/>
  <c r="W619" i="43" s="1"/>
  <c r="AA618" i="43"/>
  <c r="AA619" i="43" s="1"/>
  <c r="F618" i="43"/>
  <c r="F619" i="43" s="1"/>
  <c r="I618" i="43"/>
  <c r="I619" i="43" s="1"/>
  <c r="K618" i="43"/>
  <c r="K619" i="43" s="1"/>
  <c r="D618" i="43"/>
  <c r="D619" i="43" s="1"/>
  <c r="AB618" i="43"/>
  <c r="AB619" i="43" s="1"/>
  <c r="J618" i="43"/>
  <c r="J619" i="43" s="1"/>
  <c r="Y618" i="43"/>
  <c r="Y619" i="43" s="1"/>
  <c r="E618" i="43"/>
  <c r="E619" i="43" s="1"/>
  <c r="Y627" i="43"/>
  <c r="Y640" i="43" s="1"/>
  <c r="Z627" i="43"/>
  <c r="Z640" i="43" s="1"/>
  <c r="G606" i="43"/>
  <c r="G616" i="43" s="1"/>
  <c r="AC627" i="43"/>
  <c r="AC640" i="43" s="1"/>
  <c r="O627" i="43"/>
  <c r="O640" i="43" s="1"/>
  <c r="P606" i="43"/>
  <c r="P616" i="43" s="1"/>
  <c r="F627" i="43"/>
  <c r="F640" i="43" s="1"/>
  <c r="E627" i="43"/>
  <c r="E640" i="43" s="1"/>
  <c r="I606" i="43"/>
  <c r="I616" i="43" s="1"/>
  <c r="C627" i="43"/>
  <c r="C640" i="43" s="1"/>
  <c r="X606" i="43"/>
  <c r="X616" i="43" s="1"/>
  <c r="X627" i="43"/>
  <c r="X640" i="43" s="1"/>
  <c r="V606" i="43"/>
  <c r="V616" i="43" s="1"/>
  <c r="V627" i="43"/>
  <c r="V640" i="43" s="1"/>
  <c r="W606" i="43"/>
  <c r="W616" i="43" s="1"/>
  <c r="W627" i="43"/>
  <c r="W640" i="43" s="1"/>
  <c r="L606" i="43"/>
  <c r="L616" i="43" s="1"/>
  <c r="L627" i="43"/>
  <c r="L640" i="43" s="1"/>
  <c r="N606" i="43"/>
  <c r="N616" i="43" s="1"/>
  <c r="N627" i="43"/>
  <c r="N640" i="43" s="1"/>
  <c r="D606" i="43"/>
  <c r="D616" i="43" s="1"/>
  <c r="D627" i="43"/>
  <c r="D640" i="43" s="1"/>
  <c r="S606" i="43"/>
  <c r="S616" i="43" s="1"/>
  <c r="S627" i="43"/>
  <c r="S640" i="43" s="1"/>
  <c r="R606" i="43"/>
  <c r="R616" i="43" s="1"/>
  <c r="R627" i="43"/>
  <c r="R640" i="43" s="1"/>
  <c r="K606" i="43"/>
  <c r="K616" i="43" s="1"/>
  <c r="K627" i="43"/>
  <c r="K640" i="43" s="1"/>
  <c r="J606" i="43"/>
  <c r="J616" i="43" s="1"/>
  <c r="J627" i="43"/>
  <c r="J640" i="43" s="1"/>
  <c r="Q606" i="43"/>
  <c r="Q616" i="43" s="1"/>
  <c r="Q627" i="43"/>
  <c r="Q640" i="43" s="1"/>
  <c r="C507" i="43"/>
  <c r="C609" i="43"/>
  <c r="C610" i="43" s="1"/>
  <c r="D610"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BW77" i="59" l="1"/>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AJ52" i="59"/>
  <c r="AJ80" i="59" s="1"/>
  <c r="F107" i="61"/>
  <c r="D345" i="43"/>
  <c r="D377" i="43" s="1"/>
  <c r="U74" i="58"/>
  <c r="T32" i="58"/>
  <c r="CB54" i="59"/>
  <c r="CB68" i="59" s="1"/>
  <c r="D354" i="43"/>
  <c r="AJ68" i="59"/>
  <c r="AJ83" i="59" s="1"/>
  <c r="F120" i="61"/>
  <c r="E509" i="43"/>
  <c r="D509" i="43"/>
  <c r="CK85" i="59"/>
  <c r="CG85" i="59"/>
  <c r="BN77" i="59"/>
  <c r="BN83" i="59"/>
  <c r="CI86" i="59"/>
  <c r="BX86" i="59"/>
  <c r="BM85" i="59"/>
  <c r="BM86" i="59"/>
  <c r="B79" i="43"/>
  <c r="B77" i="43"/>
  <c r="B82" i="43"/>
  <c r="B81" i="43"/>
  <c r="B83" i="43"/>
  <c r="B78" i="43"/>
  <c r="AB68" i="58"/>
  <c r="AZ71" i="59"/>
  <c r="W67" i="58"/>
  <c r="V122" i="61"/>
  <c r="E345" i="43"/>
  <c r="E377" i="43" s="1"/>
  <c r="E344" i="43"/>
  <c r="E363" i="43" s="1"/>
  <c r="AB28" i="60"/>
  <c r="H22" i="60"/>
  <c r="G57" i="60"/>
  <c r="H20" i="60"/>
  <c r="G55" i="60"/>
  <c r="H21" i="60"/>
  <c r="G56" i="60"/>
  <c r="AC24" i="60"/>
  <c r="J23" i="60"/>
  <c r="AB27" i="60"/>
  <c r="B105" i="43"/>
  <c r="D101" i="43" s="1"/>
  <c r="C618" i="43"/>
  <c r="C619" i="43" s="1"/>
  <c r="M95" i="58"/>
  <c r="D64" i="58" s="1"/>
  <c r="K509" i="43"/>
  <c r="Z509" i="43"/>
  <c r="G509" i="43"/>
  <c r="T509" i="43"/>
  <c r="R509" i="43"/>
  <c r="H509" i="43"/>
  <c r="W509" i="43"/>
  <c r="X509" i="43"/>
  <c r="F509" i="43"/>
  <c r="M509" i="43"/>
  <c r="P509" i="43"/>
  <c r="AC509" i="43"/>
  <c r="Q509" i="43"/>
  <c r="U509" i="43"/>
  <c r="N509" i="43"/>
  <c r="AA509" i="43"/>
  <c r="Y509" i="43"/>
  <c r="J509" i="43"/>
  <c r="V509" i="43"/>
  <c r="L509" i="43"/>
  <c r="O509" i="43"/>
  <c r="AB509" i="43"/>
  <c r="I509" i="43"/>
  <c r="S509" i="43"/>
  <c r="G65" i="58"/>
  <c r="E153" i="43"/>
  <c r="G52" i="58"/>
  <c r="BV86" i="59" l="1"/>
  <c r="CJ86" i="59"/>
  <c r="CD86" i="59"/>
  <c r="CL86" i="59"/>
  <c r="CH85" i="59"/>
  <c r="BR86" i="59"/>
  <c r="CB86" i="59"/>
  <c r="CA86" i="59"/>
  <c r="BT86" i="59"/>
  <c r="BT87" i="59" s="1"/>
  <c r="BT88" i="59" s="1"/>
  <c r="CC86" i="59"/>
  <c r="CF85" i="59"/>
  <c r="CF87" i="59" s="1"/>
  <c r="CF88" i="59" s="1"/>
  <c r="BW86" i="59"/>
  <c r="BW87" i="59" s="1"/>
  <c r="BW88" i="59" s="1"/>
  <c r="BZ86" i="59"/>
  <c r="BQ85" i="59"/>
  <c r="BO86" i="59"/>
  <c r="BP85" i="59"/>
  <c r="BU86" i="59"/>
  <c r="BS86" i="59"/>
  <c r="BS87" i="59" s="1"/>
  <c r="BS88" i="59" s="1"/>
  <c r="CE86" i="59"/>
  <c r="BY86" i="59"/>
  <c r="BY87" i="59" s="1"/>
  <c r="BY88" i="59" s="1"/>
  <c r="BL83" i="59"/>
  <c r="BL86" i="59" s="1"/>
  <c r="BL77" i="59"/>
  <c r="V74" i="58"/>
  <c r="U32" i="58"/>
  <c r="CC54" i="59"/>
  <c r="CC68" i="59" s="1"/>
  <c r="C151" i="43"/>
  <c r="D119" i="61"/>
  <c r="AH66" i="59"/>
  <c r="F144" i="43"/>
  <c r="F345" i="43" s="1"/>
  <c r="F377" i="43" s="1"/>
  <c r="AK52" i="59"/>
  <c r="AK80" i="59" s="1"/>
  <c r="G107" i="61"/>
  <c r="BF70" i="59"/>
  <c r="BF84" i="59" s="1"/>
  <c r="AC66" i="58"/>
  <c r="AB121" i="61"/>
  <c r="CK87" i="59"/>
  <c r="CK88" i="59" s="1"/>
  <c r="BV87" i="59"/>
  <c r="BV88" i="59" s="1"/>
  <c r="AK68" i="59"/>
  <c r="AK83" i="59" s="1"/>
  <c r="G120" i="61"/>
  <c r="U453" i="43"/>
  <c r="U462" i="43" s="1"/>
  <c r="U455" i="43"/>
  <c r="U464" i="43" s="1"/>
  <c r="V73" i="58" s="1"/>
  <c r="U454" i="43"/>
  <c r="U463" i="43" s="1"/>
  <c r="V72" i="58" s="1"/>
  <c r="V30" i="58" s="1"/>
  <c r="AA453" i="43"/>
  <c r="AA462" i="43" s="1"/>
  <c r="AA455" i="43"/>
  <c r="AA464" i="43" s="1"/>
  <c r="AB73" i="58" s="1"/>
  <c r="AA454" i="43"/>
  <c r="AA463" i="43" s="1"/>
  <c r="AB72" i="58" s="1"/>
  <c r="AB30" i="58" s="1"/>
  <c r="AB453" i="43"/>
  <c r="AB455" i="43"/>
  <c r="AB464" i="43" s="1"/>
  <c r="AC73" i="58" s="1"/>
  <c r="AB454" i="43"/>
  <c r="AB463" i="43" s="1"/>
  <c r="AC72" i="58" s="1"/>
  <c r="AC30" i="58" s="1"/>
  <c r="O455" i="43"/>
  <c r="O464" i="43" s="1"/>
  <c r="P73" i="58" s="1"/>
  <c r="O453" i="43"/>
  <c r="O462" i="43" s="1"/>
  <c r="O454" i="43"/>
  <c r="Q454" i="43"/>
  <c r="Q463" i="43" s="1"/>
  <c r="R72" i="58" s="1"/>
  <c r="R30" i="58" s="1"/>
  <c r="Q453" i="43"/>
  <c r="Q462" i="43" s="1"/>
  <c r="Q455" i="43"/>
  <c r="Q464" i="43" s="1"/>
  <c r="R73" i="58" s="1"/>
  <c r="R454" i="43"/>
  <c r="R463" i="43" s="1"/>
  <c r="S72" i="58" s="1"/>
  <c r="S30" i="58" s="1"/>
  <c r="R453" i="43"/>
  <c r="R462" i="43" s="1"/>
  <c r="R455" i="43"/>
  <c r="R464" i="43" s="1"/>
  <c r="S73" i="58" s="1"/>
  <c r="T453" i="43"/>
  <c r="T462" i="43" s="1"/>
  <c r="T455" i="43"/>
  <c r="T464" i="43" s="1"/>
  <c r="U73" i="58" s="1"/>
  <c r="T454" i="43"/>
  <c r="T463" i="43" s="1"/>
  <c r="U72" i="58" s="1"/>
  <c r="U30" i="58" s="1"/>
  <c r="AC453" i="43"/>
  <c r="AC462" i="43" s="1"/>
  <c r="AC455" i="43"/>
  <c r="AC464" i="43" s="1"/>
  <c r="AD73" i="58" s="1"/>
  <c r="AC454" i="43"/>
  <c r="AC463" i="43" s="1"/>
  <c r="AD72" i="58" s="1"/>
  <c r="AD30" i="58" s="1"/>
  <c r="V454" i="43"/>
  <c r="V463" i="43" s="1"/>
  <c r="W72" i="58" s="1"/>
  <c r="W30" i="58" s="1"/>
  <c r="V453" i="43"/>
  <c r="V462" i="43" s="1"/>
  <c r="V455" i="43"/>
  <c r="P453" i="43"/>
  <c r="P462" i="43" s="1"/>
  <c r="P455" i="43"/>
  <c r="P464" i="43" s="1"/>
  <c r="Q73" i="58" s="1"/>
  <c r="P454" i="43"/>
  <c r="P463" i="43" s="1"/>
  <c r="Q72" i="58" s="1"/>
  <c r="Q30" i="58" s="1"/>
  <c r="G453" i="43"/>
  <c r="G462" i="43" s="1"/>
  <c r="G454" i="43"/>
  <c r="G463" i="43" s="1"/>
  <c r="H72" i="58" s="1"/>
  <c r="H30" i="58" s="1"/>
  <c r="G455" i="43"/>
  <c r="G464" i="43" s="1"/>
  <c r="H73" i="58" s="1"/>
  <c r="L453" i="43"/>
  <c r="L462" i="43" s="1"/>
  <c r="L454" i="43"/>
  <c r="L463" i="43" s="1"/>
  <c r="M72" i="58" s="1"/>
  <c r="M30" i="58" s="1"/>
  <c r="L455" i="43"/>
  <c r="L464" i="43" s="1"/>
  <c r="M73" i="58" s="1"/>
  <c r="J453" i="43"/>
  <c r="J462" i="43" s="1"/>
  <c r="J455" i="43"/>
  <c r="J464" i="43" s="1"/>
  <c r="K73" i="58" s="1"/>
  <c r="J454" i="43"/>
  <c r="J463" i="43" s="1"/>
  <c r="K72" i="58" s="1"/>
  <c r="K30" i="58" s="1"/>
  <c r="Z453" i="43"/>
  <c r="Z462" i="43" s="1"/>
  <c r="Z454" i="43"/>
  <c r="Z463" i="43" s="1"/>
  <c r="AA72" i="58" s="1"/>
  <c r="AA30" i="58" s="1"/>
  <c r="Z455" i="43"/>
  <c r="Z464" i="43" s="1"/>
  <c r="AA73" i="58" s="1"/>
  <c r="S453" i="43"/>
  <c r="S462" i="43" s="1"/>
  <c r="S455" i="43"/>
  <c r="S464" i="43" s="1"/>
  <c r="T73" i="58" s="1"/>
  <c r="S454" i="43"/>
  <c r="S463" i="43" s="1"/>
  <c r="T72" i="58" s="1"/>
  <c r="T30" i="58" s="1"/>
  <c r="X454" i="43"/>
  <c r="X463" i="43" s="1"/>
  <c r="Y72" i="58" s="1"/>
  <c r="Y30" i="58" s="1"/>
  <c r="X455" i="43"/>
  <c r="X464" i="43" s="1"/>
  <c r="Y73" i="58" s="1"/>
  <c r="X453" i="43"/>
  <c r="X462" i="43" s="1"/>
  <c r="H453" i="43"/>
  <c r="H462" i="43" s="1"/>
  <c r="H454" i="43"/>
  <c r="H463" i="43" s="1"/>
  <c r="I72" i="58" s="1"/>
  <c r="I30" i="58" s="1"/>
  <c r="H455" i="43"/>
  <c r="H464" i="43" s="1"/>
  <c r="I73" i="58" s="1"/>
  <c r="M453" i="43"/>
  <c r="M455" i="43"/>
  <c r="M464" i="43" s="1"/>
  <c r="N73" i="58" s="1"/>
  <c r="M454" i="43"/>
  <c r="M463" i="43" s="1"/>
  <c r="N72" i="58" s="1"/>
  <c r="N30" i="58" s="1"/>
  <c r="Y454" i="43"/>
  <c r="Y463" i="43" s="1"/>
  <c r="Z72" i="58" s="1"/>
  <c r="Z30" i="58" s="1"/>
  <c r="Y455" i="43"/>
  <c r="Y464" i="43" s="1"/>
  <c r="Z73" i="58" s="1"/>
  <c r="Y453" i="43"/>
  <c r="Y462" i="43" s="1"/>
  <c r="F454" i="43"/>
  <c r="F463" i="43" s="1"/>
  <c r="G72" i="58" s="1"/>
  <c r="G30" i="58" s="1"/>
  <c r="F453" i="43"/>
  <c r="F462" i="43" s="1"/>
  <c r="F455" i="43"/>
  <c r="K453" i="43"/>
  <c r="K462" i="43" s="1"/>
  <c r="K454" i="43"/>
  <c r="K463" i="43" s="1"/>
  <c r="L72" i="58" s="1"/>
  <c r="L30" i="58" s="1"/>
  <c r="K455" i="43"/>
  <c r="K464" i="43" s="1"/>
  <c r="L73" i="58" s="1"/>
  <c r="D454" i="43"/>
  <c r="D463" i="43" s="1"/>
  <c r="E72" i="58" s="1"/>
  <c r="E30" i="58" s="1"/>
  <c r="D455" i="43"/>
  <c r="D464" i="43" s="1"/>
  <c r="E73" i="58" s="1"/>
  <c r="E31" i="58" s="1"/>
  <c r="D453" i="43"/>
  <c r="D462" i="43" s="1"/>
  <c r="I455" i="43"/>
  <c r="I464" i="43" s="1"/>
  <c r="J73" i="58" s="1"/>
  <c r="I453" i="43"/>
  <c r="I454" i="43"/>
  <c r="I463" i="43" s="1"/>
  <c r="J72" i="58" s="1"/>
  <c r="J30" i="58" s="1"/>
  <c r="N455" i="43"/>
  <c r="N464" i="43" s="1"/>
  <c r="O73" i="58" s="1"/>
  <c r="N453" i="43"/>
  <c r="N454" i="43"/>
  <c r="N463" i="43" s="1"/>
  <c r="O72" i="58" s="1"/>
  <c r="O30" i="58" s="1"/>
  <c r="W454" i="43"/>
  <c r="W463" i="43" s="1"/>
  <c r="X72" i="58" s="1"/>
  <c r="X30" i="58" s="1"/>
  <c r="W453" i="43"/>
  <c r="W455" i="43"/>
  <c r="W464" i="43" s="1"/>
  <c r="X73" i="58" s="1"/>
  <c r="E453" i="43"/>
  <c r="E455" i="43"/>
  <c r="E464" i="43" s="1"/>
  <c r="F73" i="58" s="1"/>
  <c r="F31" i="58" s="1"/>
  <c r="E454" i="43"/>
  <c r="E463" i="43" s="1"/>
  <c r="F72" i="58" s="1"/>
  <c r="F30" i="58" s="1"/>
  <c r="CH87" i="59"/>
  <c r="CH88" i="59" s="1"/>
  <c r="BR87" i="59"/>
  <c r="BR88" i="59" s="1"/>
  <c r="CC87" i="59"/>
  <c r="CC88" i="59" s="1"/>
  <c r="CD87" i="59"/>
  <c r="CD88" i="59" s="1"/>
  <c r="CA87" i="59"/>
  <c r="CA88" i="59" s="1"/>
  <c r="BP87" i="59"/>
  <c r="BP88" i="59" s="1"/>
  <c r="BX87" i="59"/>
  <c r="BX88" i="59" s="1"/>
  <c r="CG87" i="59"/>
  <c r="CG88" i="59" s="1"/>
  <c r="CL87" i="59"/>
  <c r="CL88" i="59" s="1"/>
  <c r="BZ87" i="59"/>
  <c r="BZ88" i="59" s="1"/>
  <c r="CJ53" i="59"/>
  <c r="CI53" i="59"/>
  <c r="CK53" i="59"/>
  <c r="BM53" i="59"/>
  <c r="CB53" i="59"/>
  <c r="CA53" i="59"/>
  <c r="CJ87" i="59"/>
  <c r="CJ88" i="59" s="1"/>
  <c r="BY53" i="59"/>
  <c r="CL53" i="59"/>
  <c r="BZ53" i="59"/>
  <c r="BN85" i="59"/>
  <c r="BN86" i="59"/>
  <c r="CH53" i="59"/>
  <c r="E125" i="61"/>
  <c r="BQ53" i="59"/>
  <c r="BP53" i="59"/>
  <c r="CD53" i="59"/>
  <c r="BQ87" i="59"/>
  <c r="BQ88" i="59" s="1"/>
  <c r="BX53" i="59"/>
  <c r="BV53" i="59"/>
  <c r="CG53" i="59"/>
  <c r="BR53" i="59"/>
  <c r="BW53" i="59"/>
  <c r="CC53" i="59"/>
  <c r="BS53" i="59"/>
  <c r="CE87" i="59"/>
  <c r="CE88" i="59" s="1"/>
  <c r="BU53" i="59"/>
  <c r="BT53" i="59"/>
  <c r="BM87" i="59"/>
  <c r="BM88" i="59" s="1"/>
  <c r="CB87" i="59"/>
  <c r="CB88" i="59" s="1"/>
  <c r="D125" i="61"/>
  <c r="D124" i="61"/>
  <c r="BU87" i="59"/>
  <c r="BU88" i="59" s="1"/>
  <c r="CI87" i="59"/>
  <c r="CI88" i="59" s="1"/>
  <c r="BO87" i="59"/>
  <c r="BO88" i="59" s="1"/>
  <c r="BA71" i="59"/>
  <c r="W122" i="61"/>
  <c r="X67" i="58"/>
  <c r="AC68" i="58"/>
  <c r="E352" i="43"/>
  <c r="E366" i="43" s="1"/>
  <c r="E353" i="43"/>
  <c r="E380" i="43" s="1"/>
  <c r="E354" i="43"/>
  <c r="F344" i="43"/>
  <c r="F363" i="43" s="1"/>
  <c r="I21" i="60"/>
  <c r="H56" i="60"/>
  <c r="AC27" i="60"/>
  <c r="I20" i="60"/>
  <c r="H55" i="60"/>
  <c r="K23" i="60"/>
  <c r="I22" i="60"/>
  <c r="H57" i="60"/>
  <c r="AD24" i="60"/>
  <c r="AC28" i="60"/>
  <c r="B84" i="43"/>
  <c r="D75" i="43" s="1"/>
  <c r="C509" i="43"/>
  <c r="D61" i="58"/>
  <c r="D58" i="58"/>
  <c r="D57" i="58"/>
  <c r="D54" i="58"/>
  <c r="D53" i="58"/>
  <c r="D62" i="58"/>
  <c r="D59" i="58"/>
  <c r="D56" i="58"/>
  <c r="D63" i="58"/>
  <c r="D55" i="58"/>
  <c r="D60" i="58"/>
  <c r="H65" i="58"/>
  <c r="F153" i="43"/>
  <c r="H52" i="58"/>
  <c r="E64" i="58"/>
  <c r="E62" i="58"/>
  <c r="BL85" i="59" l="1"/>
  <c r="E456" i="43"/>
  <c r="E462" i="43"/>
  <c r="I456" i="43"/>
  <c r="I462" i="43"/>
  <c r="F456" i="43"/>
  <c r="F464" i="43"/>
  <c r="G73" i="58" s="1"/>
  <c r="M456" i="43"/>
  <c r="M462" i="43"/>
  <c r="T31" i="58"/>
  <c r="T125" i="61"/>
  <c r="M31" i="58"/>
  <c r="M125" i="61"/>
  <c r="Q70" i="58"/>
  <c r="Q71" i="58"/>
  <c r="Q29" i="58" s="1"/>
  <c r="U31" i="58"/>
  <c r="U125" i="61"/>
  <c r="O456" i="43"/>
  <c r="O463" i="43"/>
  <c r="P72" i="58" s="1"/>
  <c r="P30" i="58" s="1"/>
  <c r="AB71" i="58"/>
  <c r="AB29" i="58" s="1"/>
  <c r="AB70" i="58"/>
  <c r="X31" i="58"/>
  <c r="X125" i="61"/>
  <c r="J31" i="58"/>
  <c r="J125" i="61"/>
  <c r="G71" i="58"/>
  <c r="G29" i="58" s="1"/>
  <c r="G70" i="58"/>
  <c r="I31" i="58"/>
  <c r="I125" i="61"/>
  <c r="T71" i="58"/>
  <c r="T29" i="58" s="1"/>
  <c r="T70" i="58"/>
  <c r="V456" i="43"/>
  <c r="V464" i="43"/>
  <c r="W73" i="58" s="1"/>
  <c r="U70" i="58"/>
  <c r="U71" i="58"/>
  <c r="U29" i="58" s="1"/>
  <c r="P71" i="58"/>
  <c r="P29" i="58" s="1"/>
  <c r="P70" i="58"/>
  <c r="CF53" i="59"/>
  <c r="W456" i="43"/>
  <c r="W462" i="43"/>
  <c r="E70" i="58"/>
  <c r="E71" i="58"/>
  <c r="E29" i="58" s="1"/>
  <c r="AA31" i="58"/>
  <c r="AA125" i="61"/>
  <c r="M70" i="58"/>
  <c r="M71" i="58"/>
  <c r="M29" i="58" s="1"/>
  <c r="W71" i="58"/>
  <c r="W29" i="58" s="1"/>
  <c r="W70" i="58"/>
  <c r="S31" i="58"/>
  <c r="S125" i="61"/>
  <c r="P31" i="58"/>
  <c r="P125" i="61"/>
  <c r="V31" i="58"/>
  <c r="V125" i="61"/>
  <c r="Z70" i="58"/>
  <c r="Z71" i="58"/>
  <c r="Z29" i="58" s="1"/>
  <c r="I70" i="58"/>
  <c r="I71" i="58"/>
  <c r="I29" i="58" s="1"/>
  <c r="H31" i="58"/>
  <c r="H125" i="61"/>
  <c r="S71" i="58"/>
  <c r="S29" i="58" s="1"/>
  <c r="S70" i="58"/>
  <c r="V70" i="58"/>
  <c r="V71" i="58"/>
  <c r="V29" i="58" s="1"/>
  <c r="Z31" i="58"/>
  <c r="Z125" i="61"/>
  <c r="Y70" i="58"/>
  <c r="Y71" i="58"/>
  <c r="Y29" i="58" s="1"/>
  <c r="AA70" i="58"/>
  <c r="AA71" i="58"/>
  <c r="AA29" i="58" s="1"/>
  <c r="AC31" i="58"/>
  <c r="AC125" i="61"/>
  <c r="N456" i="43"/>
  <c r="N462" i="43"/>
  <c r="L31" i="58"/>
  <c r="L125" i="61"/>
  <c r="Y31" i="58"/>
  <c r="Y125" i="61"/>
  <c r="H71" i="58"/>
  <c r="H29" i="58" s="1"/>
  <c r="H70" i="58"/>
  <c r="AD31" i="58"/>
  <c r="AD125" i="61"/>
  <c r="R31" i="58"/>
  <c r="R125" i="61"/>
  <c r="AB456" i="43"/>
  <c r="AB462" i="43"/>
  <c r="O31" i="58"/>
  <c r="O125" i="61"/>
  <c r="K31" i="58"/>
  <c r="K125" i="61"/>
  <c r="AD70" i="58"/>
  <c r="AD71" i="58"/>
  <c r="AD29" i="58" s="1"/>
  <c r="R70" i="58"/>
  <c r="R71" i="58"/>
  <c r="R29" i="58" s="1"/>
  <c r="L71" i="58"/>
  <c r="L29" i="58" s="1"/>
  <c r="L70" i="58"/>
  <c r="N31" i="58"/>
  <c r="N125" i="61"/>
  <c r="K71" i="58"/>
  <c r="K29" i="58" s="1"/>
  <c r="K70" i="58"/>
  <c r="Q31" i="58"/>
  <c r="Q125" i="61"/>
  <c r="AB31" i="58"/>
  <c r="AB125" i="61"/>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AL52" i="59"/>
  <c r="AL80" i="59" s="1"/>
  <c r="H107" i="61"/>
  <c r="C149" i="43"/>
  <c r="AH64" i="59"/>
  <c r="AH82" i="59" s="1"/>
  <c r="D117" i="61"/>
  <c r="BG70" i="59"/>
  <c r="BG84" i="59" s="1"/>
  <c r="AD66" i="58"/>
  <c r="AC121" i="61"/>
  <c r="E53" i="58"/>
  <c r="AH54" i="59"/>
  <c r="D108" i="61"/>
  <c r="E54" i="58"/>
  <c r="AI55" i="59" s="1"/>
  <c r="AH55" i="59"/>
  <c r="D109" i="61"/>
  <c r="W74" i="58"/>
  <c r="V32"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56" i="43"/>
  <c r="G456" i="43"/>
  <c r="J456" i="43"/>
  <c r="AC456" i="43"/>
  <c r="Q456" i="43"/>
  <c r="K456" i="43"/>
  <c r="P456" i="43"/>
  <c r="AA456" i="43"/>
  <c r="S456" i="43"/>
  <c r="L456" i="43"/>
  <c r="T456" i="43"/>
  <c r="D456" i="43"/>
  <c r="Z456" i="43"/>
  <c r="R456" i="43"/>
  <c r="Y456" i="43"/>
  <c r="H456" i="43"/>
  <c r="U456" i="43"/>
  <c r="BN87" i="59"/>
  <c r="BN88" i="59" s="1"/>
  <c r="BN53" i="59"/>
  <c r="F125" i="61"/>
  <c r="BL53" i="59"/>
  <c r="BL52" i="59"/>
  <c r="BL87" i="59"/>
  <c r="BL88" i="59" s="1"/>
  <c r="AD68" i="58"/>
  <c r="BB71" i="59"/>
  <c r="Y67" i="58"/>
  <c r="X122" i="61"/>
  <c r="F352" i="43"/>
  <c r="F366" i="43" s="1"/>
  <c r="F354" i="43"/>
  <c r="F353" i="43"/>
  <c r="F380" i="43" s="1"/>
  <c r="G345" i="43"/>
  <c r="G377" i="43" s="1"/>
  <c r="G344" i="43"/>
  <c r="G363" i="43" s="1"/>
  <c r="J20" i="60"/>
  <c r="I55" i="60"/>
  <c r="AD27" i="60"/>
  <c r="L23" i="60"/>
  <c r="AD28" i="60"/>
  <c r="J22" i="60"/>
  <c r="I57" i="60"/>
  <c r="J21" i="60"/>
  <c r="I56" i="60"/>
  <c r="F54" i="58"/>
  <c r="C152" i="43"/>
  <c r="E303" i="43" s="1"/>
  <c r="E300" i="43" s="1"/>
  <c r="F55" i="58"/>
  <c r="G55" i="58" s="1"/>
  <c r="E63" i="58"/>
  <c r="F53" i="58"/>
  <c r="F62" i="58"/>
  <c r="I65" i="58"/>
  <c r="G153" i="43"/>
  <c r="F64" i="58"/>
  <c r="D151" i="43"/>
  <c r="I52" i="58"/>
  <c r="H208" i="43"/>
  <c r="I28" i="58" l="1"/>
  <c r="I124" i="61"/>
  <c r="BQ52" i="59"/>
  <c r="BQ67" i="59" s="1"/>
  <c r="BQ69" i="59" s="1"/>
  <c r="E28" i="58"/>
  <c r="E124" i="61"/>
  <c r="BM52" i="59"/>
  <c r="BM67" i="59" s="1"/>
  <c r="BM69" i="59" s="1"/>
  <c r="W31" i="58"/>
  <c r="W125" i="61"/>
  <c r="CE53" i="59"/>
  <c r="N70" i="58"/>
  <c r="N71" i="58"/>
  <c r="N29" i="58" s="1"/>
  <c r="L28" i="58"/>
  <c r="L124" i="61"/>
  <c r="BT52" i="59"/>
  <c r="BT67" i="59" s="1"/>
  <c r="BT69" i="59" s="1"/>
  <c r="H28" i="58"/>
  <c r="H124" i="61"/>
  <c r="BP52" i="59"/>
  <c r="BP67" i="59" s="1"/>
  <c r="BP69" i="59" s="1"/>
  <c r="W28" i="58"/>
  <c r="W124" i="61"/>
  <c r="CE52" i="59"/>
  <c r="CE67" i="59" s="1"/>
  <c r="X71" i="58"/>
  <c r="X29" i="58" s="1"/>
  <c r="X70" i="58"/>
  <c r="V28" i="58"/>
  <c r="V124" i="61"/>
  <c r="CD52" i="59"/>
  <c r="CD67" i="59" s="1"/>
  <c r="CD69" i="59" s="1"/>
  <c r="Z28" i="58"/>
  <c r="Z124" i="61"/>
  <c r="CH52" i="59"/>
  <c r="CH67" i="59" s="1"/>
  <c r="T28" i="58"/>
  <c r="T124" i="61"/>
  <c r="CB52" i="59"/>
  <c r="CB67" i="59" s="1"/>
  <c r="CB69" i="59" s="1"/>
  <c r="G31" i="58"/>
  <c r="G125" i="61"/>
  <c r="BO53" i="59"/>
  <c r="AC70" i="58"/>
  <c r="AC71" i="58"/>
  <c r="AC29" i="58" s="1"/>
  <c r="S28" i="58"/>
  <c r="S124" i="61"/>
  <c r="CA52" i="59"/>
  <c r="CA67" i="59" s="1"/>
  <c r="CA69" i="59" s="1"/>
  <c r="Q28" i="58"/>
  <c r="Q124" i="61"/>
  <c r="BY52" i="59"/>
  <c r="BY67" i="59" s="1"/>
  <c r="BY69" i="59" s="1"/>
  <c r="R28" i="58"/>
  <c r="R124" i="61"/>
  <c r="BZ52" i="59"/>
  <c r="BZ67" i="59" s="1"/>
  <c r="BZ69" i="59" s="1"/>
  <c r="AA28" i="58"/>
  <c r="AA124" i="61"/>
  <c r="CI52" i="59"/>
  <c r="CI67" i="59" s="1"/>
  <c r="M28" i="58"/>
  <c r="M124" i="61"/>
  <c r="BU52" i="59"/>
  <c r="BU67" i="59" s="1"/>
  <c r="BU69" i="59" s="1"/>
  <c r="P28" i="58"/>
  <c r="P124" i="61"/>
  <c r="BX52" i="59"/>
  <c r="BX67" i="59" s="1"/>
  <c r="BX69" i="59" s="1"/>
  <c r="AB28" i="58"/>
  <c r="AB124" i="61"/>
  <c r="CJ52" i="59"/>
  <c r="CJ67" i="59" s="1"/>
  <c r="J70" i="58"/>
  <c r="J71" i="58"/>
  <c r="J29" i="58" s="1"/>
  <c r="K28" i="58"/>
  <c r="K124" i="61"/>
  <c r="BS52" i="59"/>
  <c r="BS67" i="59" s="1"/>
  <c r="BS69" i="59" s="1"/>
  <c r="AD28" i="58"/>
  <c r="AD124" i="61"/>
  <c r="CL52" i="59"/>
  <c r="CL67" i="59" s="1"/>
  <c r="Y28" i="58"/>
  <c r="Y124" i="61"/>
  <c r="CG52" i="59"/>
  <c r="CG67" i="59" s="1"/>
  <c r="G28" i="58"/>
  <c r="G124" i="61"/>
  <c r="BO52" i="59"/>
  <c r="BO67" i="59" s="1"/>
  <c r="BO69" i="59" s="1"/>
  <c r="F70" i="58"/>
  <c r="F71" i="58"/>
  <c r="F29" i="58" s="1"/>
  <c r="O71" i="58"/>
  <c r="O29" i="58" s="1"/>
  <c r="O70" i="58"/>
  <c r="U28" i="58"/>
  <c r="U124" i="61"/>
  <c r="CC52" i="59"/>
  <c r="CC67" i="59" s="1"/>
  <c r="CC69" i="59" s="1"/>
  <c r="AI57" i="59"/>
  <c r="X74" i="58"/>
  <c r="W32" i="58"/>
  <c r="CE54" i="59"/>
  <c r="CE68" i="59" s="1"/>
  <c r="CE69" i="59" s="1"/>
  <c r="F58" i="58"/>
  <c r="E113" i="61"/>
  <c r="AI59" i="59"/>
  <c r="AH81" i="59"/>
  <c r="F57" i="58"/>
  <c r="AI58" i="59"/>
  <c r="E112" i="61"/>
  <c r="AD121" i="61"/>
  <c r="BH70" i="59"/>
  <c r="BH84" i="59" s="1"/>
  <c r="H144" i="43"/>
  <c r="H344" i="43" s="1"/>
  <c r="H363" i="43" s="1"/>
  <c r="AM52" i="59"/>
  <c r="AM80" i="59" s="1"/>
  <c r="I107" i="61"/>
  <c r="E109" i="61"/>
  <c r="D145" i="43"/>
  <c r="AI54" i="59"/>
  <c r="AI81" i="59" s="1"/>
  <c r="E108" i="61"/>
  <c r="D148" i="43"/>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E302" i="43"/>
  <c r="C335" i="43"/>
  <c r="C365" i="43" s="1"/>
  <c r="E301" i="43"/>
  <c r="M23" i="60"/>
  <c r="K21" i="60"/>
  <c r="J56" i="60"/>
  <c r="K22" i="60"/>
  <c r="J57" i="60"/>
  <c r="K20" i="60"/>
  <c r="J55" i="60"/>
  <c r="G54" i="58"/>
  <c r="F63" i="58"/>
  <c r="G62" i="58"/>
  <c r="E145" i="43"/>
  <c r="H55" i="58"/>
  <c r="G64" i="58"/>
  <c r="J65" i="58"/>
  <c r="H153" i="43"/>
  <c r="J52" i="58"/>
  <c r="F28" i="58" l="1"/>
  <c r="BN52" i="59"/>
  <c r="BN67" i="59" s="1"/>
  <c r="BN69" i="59" s="1"/>
  <c r="F124" i="61"/>
  <c r="X28" i="58"/>
  <c r="X124" i="61"/>
  <c r="CF52" i="59"/>
  <c r="CF67" i="59" s="1"/>
  <c r="O28" i="58"/>
  <c r="O124" i="61"/>
  <c r="BW52" i="59"/>
  <c r="BW67" i="59" s="1"/>
  <c r="BW69" i="59" s="1"/>
  <c r="AC28" i="58"/>
  <c r="AC124" i="61"/>
  <c r="CK52" i="59"/>
  <c r="CK67" i="59" s="1"/>
  <c r="J28" i="58"/>
  <c r="J124" i="61"/>
  <c r="BR52" i="59"/>
  <c r="BR67" i="59" s="1"/>
  <c r="BR69" i="59" s="1"/>
  <c r="N28" i="58"/>
  <c r="N124" i="61"/>
  <c r="BV52" i="59"/>
  <c r="BV67" i="59" s="1"/>
  <c r="BV69" i="59" s="1"/>
  <c r="H345" i="43"/>
  <c r="H377" i="43" s="1"/>
  <c r="G57" i="58"/>
  <c r="AJ58" i="59"/>
  <c r="F112" i="61"/>
  <c r="Y74" i="58"/>
  <c r="X32" i="58"/>
  <c r="CF54" i="59"/>
  <c r="CF68" i="59" s="1"/>
  <c r="CF69"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I344" i="43"/>
  <c r="I363" i="43" s="1"/>
  <c r="F301" i="43"/>
  <c r="C336" i="43"/>
  <c r="C379" i="43" s="1"/>
  <c r="F300" i="43"/>
  <c r="F302" i="43"/>
  <c r="C337" i="43"/>
  <c r="C393" i="43" s="1"/>
  <c r="F320" i="43"/>
  <c r="L20" i="60"/>
  <c r="K55" i="60"/>
  <c r="L22" i="60"/>
  <c r="K57" i="60"/>
  <c r="L21" i="60"/>
  <c r="K56" i="60"/>
  <c r="N23" i="60"/>
  <c r="G63" i="58"/>
  <c r="H54" i="58"/>
  <c r="H62" i="58"/>
  <c r="I62" i="58" s="1"/>
  <c r="I55" i="58"/>
  <c r="H64" i="58"/>
  <c r="I53" i="58"/>
  <c r="K65" i="58"/>
  <c r="I153" i="43"/>
  <c r="K52" i="58"/>
  <c r="H58" i="58" l="1"/>
  <c r="AK59" i="59"/>
  <c r="G113" i="61"/>
  <c r="Z74" i="58"/>
  <c r="Y32"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F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J345" i="43" l="1"/>
  <c r="J377" i="43" s="1"/>
  <c r="I57" i="58"/>
  <c r="AL58" i="59"/>
  <c r="H112" i="61"/>
  <c r="AA74" i="58"/>
  <c r="Z32"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J346" i="43"/>
  <c r="D338" i="43"/>
  <c r="E338" i="43"/>
  <c r="P23" i="60"/>
  <c r="N22" i="60"/>
  <c r="M57" i="60"/>
  <c r="N21" i="60"/>
  <c r="M56" i="60"/>
  <c r="N20" i="60"/>
  <c r="M55" i="60"/>
  <c r="J54" i="58"/>
  <c r="G150" i="43"/>
  <c r="G152" i="43" s="1"/>
  <c r="I63" i="58"/>
  <c r="K53" i="58"/>
  <c r="J64" i="58"/>
  <c r="M65" i="58"/>
  <c r="K153" i="43"/>
  <c r="M52" i="58"/>
  <c r="K62" i="58"/>
  <c r="L55" i="58"/>
  <c r="K345" i="43" l="1"/>
  <c r="K377" i="43" s="1"/>
  <c r="AB74" i="58"/>
  <c r="AA32"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K346" i="43"/>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L344" i="43" l="1"/>
  <c r="L363" i="43" s="1"/>
  <c r="K58" i="58"/>
  <c r="AN59" i="59"/>
  <c r="J113" i="61"/>
  <c r="K57" i="58"/>
  <c r="AN58" i="59"/>
  <c r="J112" i="61"/>
  <c r="M144" i="43"/>
  <c r="M345" i="43" s="1"/>
  <c r="M377" i="43" s="1"/>
  <c r="AR52" i="59"/>
  <c r="AR80" i="59" s="1"/>
  <c r="N107" i="61"/>
  <c r="AC74" i="58"/>
  <c r="AB32"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AF45" i="56"/>
  <c r="M344" i="43" l="1"/>
  <c r="M363" i="43" s="1"/>
  <c r="N144" i="43"/>
  <c r="AS52" i="59"/>
  <c r="AS80" i="59" s="1"/>
  <c r="O107" i="61"/>
  <c r="K112" i="61"/>
  <c r="AO58" i="59"/>
  <c r="L57" i="58"/>
  <c r="AD74" i="58"/>
  <c r="AC32" i="58"/>
  <c r="CK54" i="59"/>
  <c r="CK68" i="59" s="1"/>
  <c r="CK69" i="59" s="1"/>
  <c r="L58" i="58"/>
  <c r="K113" i="61"/>
  <c r="AO59" i="59"/>
  <c r="AO81" i="59"/>
  <c r="M147" i="43"/>
  <c r="AR56" i="59"/>
  <c r="N110" i="61"/>
  <c r="M56" i="58"/>
  <c r="AP57" i="59"/>
  <c r="L111" i="61"/>
  <c r="M61" i="58"/>
  <c r="AP62" i="59"/>
  <c r="L116" i="61"/>
  <c r="L145" i="43"/>
  <c r="L148" i="43" s="1"/>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M346" i="43"/>
  <c r="N345" i="43"/>
  <c r="N377" i="43" s="1"/>
  <c r="N344" i="43"/>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AD32" i="58" l="1"/>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63"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O346" i="43"/>
  <c r="P345" i="43"/>
  <c r="P377" i="43" s="1"/>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D112" i="43" s="1"/>
  <c r="O58" i="58" l="1"/>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P346"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Q344" i="43" l="1"/>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R344" i="43"/>
  <c r="R363" i="43" s="1"/>
  <c r="Q346"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Q58" i="58" l="1"/>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S345" i="43"/>
  <c r="S377" i="43" s="1"/>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AU58" i="59" l="1"/>
  <c r="Q112" i="61"/>
  <c r="R57" i="58"/>
  <c r="T144" i="43"/>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T345" i="43"/>
  <c r="T377" i="43" s="1"/>
  <c r="T344" i="43"/>
  <c r="T363" i="43" s="1"/>
  <c r="S346" i="43"/>
  <c r="O337" i="43"/>
  <c r="O336" i="43"/>
  <c r="O379" i="43" s="1"/>
  <c r="O335" i="43"/>
  <c r="O365" i="43" s="1"/>
  <c r="N338" i="43"/>
  <c r="R326" i="43"/>
  <c r="R364" i="43" s="1"/>
  <c r="J327" i="43"/>
  <c r="J378" i="43" s="1"/>
  <c r="R327" i="43"/>
  <c r="R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U144" i="43" l="1"/>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T346"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R392" i="43"/>
  <c r="W65" i="58"/>
  <c r="U153" i="43"/>
  <c r="S394" i="43"/>
  <c r="W55" i="58"/>
  <c r="V144" i="43" l="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V345" i="43"/>
  <c r="V377" i="43" s="1"/>
  <c r="V344" i="43"/>
  <c r="V363" i="43" s="1"/>
  <c r="U346" i="43"/>
  <c r="Q336" i="43"/>
  <c r="Q379" i="43" s="1"/>
  <c r="Q337" i="43"/>
  <c r="Q335" i="43"/>
  <c r="Q365" i="43" s="1"/>
  <c r="P338" i="43"/>
  <c r="T328" i="43"/>
  <c r="T326" i="43"/>
  <c r="T364" i="43" s="1"/>
  <c r="T327" i="43"/>
  <c r="T378" i="43" s="1"/>
  <c r="AA23" i="60"/>
  <c r="Y22" i="60"/>
  <c r="X57" i="60"/>
  <c r="Y20" i="60"/>
  <c r="X55" i="60"/>
  <c r="Y21" i="60"/>
  <c r="X56" i="60"/>
  <c r="V54" i="58"/>
  <c r="P393" i="43"/>
  <c r="V62" i="58"/>
  <c r="W53" i="58"/>
  <c r="X53" i="58" s="1"/>
  <c r="R150" i="43"/>
  <c r="R152" i="43" s="1"/>
  <c r="T63" i="58"/>
  <c r="X52" i="58"/>
  <c r="V64" i="58"/>
  <c r="T394" i="43"/>
  <c r="X65" i="58"/>
  <c r="V153" i="43"/>
  <c r="X55" i="58"/>
  <c r="AX58" i="59" l="1"/>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U326" i="43"/>
  <c r="U364" i="43" s="1"/>
  <c r="U327" i="43"/>
  <c r="U378" i="43" s="1"/>
  <c r="T392" i="43"/>
  <c r="Z21" i="60"/>
  <c r="Y56" i="60"/>
  <c r="Z22" i="60"/>
  <c r="Y57" i="60"/>
  <c r="Z20" i="60"/>
  <c r="Y55" i="60"/>
  <c r="AB23" i="60"/>
  <c r="Q393" i="43"/>
  <c r="Y52" i="58"/>
  <c r="Z52" i="58" s="1"/>
  <c r="S150" i="43"/>
  <c r="S152" i="43" s="1"/>
  <c r="U63" i="58"/>
  <c r="W64" i="58"/>
  <c r="U394" i="43"/>
  <c r="Y65" i="58"/>
  <c r="W153" i="43"/>
  <c r="Y53" i="58"/>
  <c r="X54" i="58"/>
  <c r="X62" i="58"/>
  <c r="Y55" i="58"/>
  <c r="W345" i="43" l="1"/>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X344" i="43"/>
  <c r="X363" i="43" s="1"/>
  <c r="S337" i="43"/>
  <c r="S335" i="43"/>
  <c r="S365" i="43" s="1"/>
  <c r="S336" i="43"/>
  <c r="S379" i="43" s="1"/>
  <c r="R338" i="43"/>
  <c r="AA22" i="60"/>
  <c r="Z57" i="60"/>
  <c r="AC23" i="60"/>
  <c r="AA20" i="60"/>
  <c r="Z55" i="60"/>
  <c r="AA21" i="60"/>
  <c r="Z56" i="60"/>
  <c r="U392" i="43"/>
  <c r="R393" i="43"/>
  <c r="T150" i="43"/>
  <c r="T152" i="43" s="1"/>
  <c r="V63" i="58"/>
  <c r="X64" i="58"/>
  <c r="Z65" i="58"/>
  <c r="X153" i="43"/>
  <c r="AA52" i="58"/>
  <c r="Y62" i="58"/>
  <c r="Y54" i="58"/>
  <c r="Z55" i="58"/>
  <c r="Z53" i="58"/>
  <c r="W327" i="43" l="1"/>
  <c r="W378" i="43" s="1"/>
  <c r="W326" i="43"/>
  <c r="W364"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X346" i="43"/>
  <c r="Y346" i="43"/>
  <c r="T337" i="43"/>
  <c r="T336" i="43"/>
  <c r="T379" i="43" s="1"/>
  <c r="T335" i="43"/>
  <c r="T365" i="43" s="1"/>
  <c r="S338" i="43"/>
  <c r="V392" i="43"/>
  <c r="AB21" i="60"/>
  <c r="AA56" i="60"/>
  <c r="AD23" i="60"/>
  <c r="AB20" i="60"/>
  <c r="AA55" i="60"/>
  <c r="AB22" i="60"/>
  <c r="AA57" i="60"/>
  <c r="S393" i="43"/>
  <c r="U150" i="43"/>
  <c r="U152" i="43" s="1"/>
  <c r="W63" i="58"/>
  <c r="Y64" i="58"/>
  <c r="W392" i="43"/>
  <c r="AA65" i="58"/>
  <c r="Y153" i="43"/>
  <c r="W394" i="43"/>
  <c r="AB52" i="58"/>
  <c r="AA53" i="58"/>
  <c r="Z54" i="58"/>
  <c r="Z62" i="58"/>
  <c r="AA55" i="58"/>
  <c r="Z345" i="43" l="1"/>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Z346"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AA344" i="43" l="1"/>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Z328"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AB344" i="43" l="1"/>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C345" i="43" l="1"/>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AB326" i="43"/>
  <c r="AB364" i="43" s="1"/>
  <c r="W393" i="43"/>
  <c r="Y150" i="43"/>
  <c r="Y152" i="43" s="1"/>
  <c r="AA63" i="58"/>
  <c r="AA392" i="43"/>
  <c r="AA394" i="43"/>
  <c r="AD64" i="58"/>
  <c r="AD54" i="58"/>
  <c r="AD62" i="58"/>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B58" i="58" l="1"/>
  <c r="BE59" i="59"/>
  <c r="AA113" i="61"/>
  <c r="AA112" i="61"/>
  <c r="BE58" i="59"/>
  <c r="AB57" i="58"/>
  <c r="AB327" i="43"/>
  <c r="AB378" i="43" s="1"/>
  <c r="AB392"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H62" i="56"/>
  <c r="AM7" i="56"/>
  <c r="AM9" i="56"/>
  <c r="AL62" i="56"/>
  <c r="AD62" i="56"/>
  <c r="C30" i="56"/>
  <c r="AM30" i="56" s="1"/>
  <c r="AM31" i="56"/>
  <c r="AM23" i="56"/>
  <c r="AM22" i="56" s="1"/>
  <c r="X29" i="56"/>
  <c r="X28" i="56" s="1"/>
  <c r="X8" i="56" s="1"/>
  <c r="C62" i="56"/>
  <c r="AM27" i="56"/>
  <c r="W29" i="56"/>
  <c r="Y29" i="56"/>
  <c r="Y28" i="56" s="1"/>
  <c r="Y8" i="56" s="1"/>
  <c r="AC394" i="43" l="1"/>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X62" i="56"/>
  <c r="Y62" i="56"/>
  <c r="W28" i="56"/>
  <c r="L29" i="56"/>
  <c r="AD58" i="58" l="1"/>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L28" i="56"/>
  <c r="AM29" i="56"/>
  <c r="AM28" i="56" s="1"/>
  <c r="W8" i="56"/>
  <c r="W62" i="56"/>
  <c r="BH58" i="59" l="1"/>
  <c r="AD112" i="61"/>
  <c r="AD113" i="61"/>
  <c r="BH59" i="59"/>
  <c r="AC150" i="43"/>
  <c r="AC152" i="43" s="1"/>
  <c r="AC336" i="43" s="1"/>
  <c r="AC379" i="43" s="1"/>
  <c r="BH65" i="59"/>
  <c r="BH82" i="59" s="1"/>
  <c r="AD118" i="61"/>
  <c r="BH81" i="59"/>
  <c r="AB337" i="43"/>
  <c r="AB336" i="43"/>
  <c r="AB379" i="43" s="1"/>
  <c r="AB335" i="43"/>
  <c r="AB365" i="43" s="1"/>
  <c r="AA338" i="43"/>
  <c r="AA393" i="43"/>
  <c r="L8" i="56"/>
  <c r="AM8" i="56" s="1"/>
  <c r="L62" i="56"/>
  <c r="AM62" i="56" s="1"/>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28" i="43"/>
  <c r="Q8" i="43" s="1"/>
  <c r="Q630" i="43"/>
  <c r="Q10" i="43" s="1"/>
  <c r="Q629" i="43"/>
  <c r="Q9" i="43" s="1"/>
  <c r="AB628" i="43"/>
  <c r="AB8" i="43" s="1"/>
  <c r="AB630" i="43"/>
  <c r="AB10" i="43" s="1"/>
  <c r="AB629" i="43"/>
  <c r="AB9" i="43" s="1"/>
  <c r="W628" i="43"/>
  <c r="W8" i="43" s="1"/>
  <c r="W630" i="43"/>
  <c r="W10" i="43" s="1"/>
  <c r="W629" i="43"/>
  <c r="W9" i="43" s="1"/>
  <c r="D628" i="43"/>
  <c r="D8" i="43" s="1"/>
  <c r="D630" i="43"/>
  <c r="D10" i="43" s="1"/>
  <c r="D629"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J129" i="59" l="1"/>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30" i="43"/>
  <c r="I95" i="59"/>
  <c r="AL74" i="59" s="1"/>
  <c r="I96" i="59"/>
  <c r="AL75" i="59" s="1"/>
  <c r="G188" i="59"/>
  <c r="P96" i="59"/>
  <c r="AS75" i="59" s="1"/>
  <c r="P95" i="59"/>
  <c r="AS74" i="59" s="1"/>
  <c r="N188" i="59"/>
  <c r="E630" i="43"/>
  <c r="E10" i="43" s="1"/>
  <c r="E155" i="43"/>
  <c r="E396" i="43" s="1"/>
  <c r="X628" i="43"/>
  <c r="X8" i="43" s="1"/>
  <c r="X630" i="43"/>
  <c r="X10" i="43" s="1"/>
  <c r="X629" i="43"/>
  <c r="X9" i="43" s="1"/>
  <c r="T628" i="43"/>
  <c r="T8" i="43" s="1"/>
  <c r="T630" i="43"/>
  <c r="T10" i="43" s="1"/>
  <c r="T629" i="43"/>
  <c r="T9" i="43" s="1"/>
  <c r="AC629" i="43"/>
  <c r="AC9" i="43" s="1"/>
  <c r="AC630" i="43"/>
  <c r="AC10" i="43" s="1"/>
  <c r="AC628" i="43"/>
  <c r="AC8" i="43" s="1"/>
  <c r="U628" i="43"/>
  <c r="U8" i="43" s="1"/>
  <c r="U629" i="43"/>
  <c r="U9" i="43" s="1"/>
  <c r="U630" i="43"/>
  <c r="U10" i="43" s="1"/>
  <c r="M628" i="43"/>
  <c r="M8" i="43" s="1"/>
  <c r="M629" i="43"/>
  <c r="M9" i="43" s="1"/>
  <c r="M630" i="43"/>
  <c r="M10" i="43" s="1"/>
  <c r="F629" i="43"/>
  <c r="F9" i="43" s="1"/>
  <c r="F628" i="43"/>
  <c r="F8" i="43" s="1"/>
  <c r="F630" i="43"/>
  <c r="F10" i="43" s="1"/>
  <c r="Z628" i="43"/>
  <c r="Z8" i="43" s="1"/>
  <c r="Z630" i="43"/>
  <c r="Z10" i="43" s="1"/>
  <c r="Z629" i="43"/>
  <c r="Z9" i="43" s="1"/>
  <c r="G629" i="43"/>
  <c r="G9" i="43" s="1"/>
  <c r="G628" i="43"/>
  <c r="G8" i="43" s="1"/>
  <c r="G10" i="43"/>
  <c r="E629" i="43"/>
  <c r="E9" i="43" s="1"/>
  <c r="E628" i="43"/>
  <c r="E8" i="43" s="1"/>
  <c r="Y628" i="43"/>
  <c r="Y8" i="43" s="1"/>
  <c r="Y629" i="43"/>
  <c r="Y9" i="43" s="1"/>
  <c r="Y630" i="43"/>
  <c r="Y10" i="43" s="1"/>
  <c r="AA628" i="43"/>
  <c r="AA8" i="43" s="1"/>
  <c r="AA629" i="43"/>
  <c r="AA9" i="43" s="1"/>
  <c r="AA630" i="43"/>
  <c r="AA10" i="43" s="1"/>
  <c r="O630" i="43"/>
  <c r="O10" i="43" s="1"/>
  <c r="O628" i="43"/>
  <c r="O8" i="43" s="1"/>
  <c r="O629" i="43"/>
  <c r="O9" i="43" s="1"/>
  <c r="N630" i="43"/>
  <c r="N10" i="43" s="1"/>
  <c r="N629" i="43"/>
  <c r="N9" i="43" s="1"/>
  <c r="N628" i="43"/>
  <c r="N8" i="43" s="1"/>
  <c r="V628" i="43"/>
  <c r="V8" i="43" s="1"/>
  <c r="V630" i="43"/>
  <c r="V10" i="43" s="1"/>
  <c r="V629" i="43"/>
  <c r="V9" i="43" s="1"/>
  <c r="S628" i="43"/>
  <c r="S8" i="43" s="1"/>
  <c r="S629" i="43"/>
  <c r="S9" i="43" s="1"/>
  <c r="S630" i="43"/>
  <c r="S10" i="43" s="1"/>
  <c r="R628" i="43"/>
  <c r="R8" i="43" s="1"/>
  <c r="R630" i="43"/>
  <c r="R10" i="43" s="1"/>
  <c r="R629" i="43"/>
  <c r="R9" i="43" s="1"/>
  <c r="I628" i="43"/>
  <c r="I8" i="43" s="1"/>
  <c r="I629" i="43"/>
  <c r="I9" i="43" s="1"/>
  <c r="I630" i="43"/>
  <c r="I10" i="43" s="1"/>
  <c r="L629" i="43"/>
  <c r="L9" i="43" s="1"/>
  <c r="L630" i="43"/>
  <c r="L10" i="43" s="1"/>
  <c r="L628" i="43"/>
  <c r="L8" i="43" s="1"/>
  <c r="H630" i="43"/>
  <c r="H10" i="43" s="1"/>
  <c r="H628" i="43"/>
  <c r="H8" i="43" s="1"/>
  <c r="H629" i="43"/>
  <c r="H9" i="43" s="1"/>
  <c r="K628" i="43"/>
  <c r="K8" i="43" s="1"/>
  <c r="K630" i="43"/>
  <c r="K10" i="43" s="1"/>
  <c r="K629" i="43"/>
  <c r="K9" i="43" s="1"/>
  <c r="P629" i="43"/>
  <c r="P9" i="43" s="1"/>
  <c r="P628" i="43"/>
  <c r="P8" i="43" s="1"/>
  <c r="P630" i="43"/>
  <c r="P10" i="43" s="1"/>
  <c r="J628" i="43"/>
  <c r="J8" i="43" s="1"/>
  <c r="J630" i="43"/>
  <c r="J10" i="43" s="1"/>
  <c r="J629"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I116" i="59" l="1"/>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AB24"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Q26" i="43" l="1"/>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Q27" i="43" s="1"/>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AN165" i="59" l="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J10" i="58"/>
  <c r="AN90" i="59" s="1"/>
  <c r="AN101"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AY95" i="59" l="1"/>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H24" i="58" l="1"/>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I24" i="58" l="1"/>
  <c r="AM94" i="59" s="1"/>
  <c r="AW102" i="59"/>
  <c r="AS102" i="59"/>
  <c r="AO102" i="59"/>
  <c r="AT102" i="59"/>
  <c r="AN102" i="59"/>
  <c r="AQ102" i="59"/>
  <c r="AU102" i="59"/>
  <c r="BC102" i="59"/>
  <c r="BD102" i="59"/>
  <c r="AV102" i="59"/>
  <c r="AL102" i="59"/>
  <c r="AL96" i="59"/>
  <c r="AN169" i="59"/>
  <c r="I126" i="61"/>
  <c r="AM105" i="59" l="1"/>
  <c r="AM96" i="59"/>
  <c r="J24" i="58"/>
  <c r="AN94" i="59" s="1"/>
  <c r="AO169" i="59"/>
  <c r="J126" i="61"/>
  <c r="AN105" i="59" l="1"/>
  <c r="AN96" i="59"/>
  <c r="K24" i="58"/>
  <c r="AO94" i="59" s="1"/>
  <c r="AO96" i="59" s="1"/>
  <c r="AP169" i="59"/>
  <c r="K126" i="61"/>
  <c r="L24" i="58" l="1"/>
  <c r="AP94" i="59" s="1"/>
  <c r="AO105" i="59"/>
  <c r="AQ169" i="59"/>
  <c r="L126" i="61"/>
  <c r="AP96" i="59" l="1"/>
  <c r="AP105" i="59"/>
  <c r="M24" i="58"/>
  <c r="AQ94" i="59" s="1"/>
  <c r="AR169" i="59"/>
  <c r="M126" i="61"/>
  <c r="AQ96" i="59" l="1"/>
  <c r="AQ105" i="59"/>
  <c r="N24" i="58"/>
  <c r="AR94" i="59" s="1"/>
  <c r="AS169" i="59"/>
  <c r="N126" i="61"/>
  <c r="AR105" i="59" l="1"/>
  <c r="AR96" i="59"/>
  <c r="O24" i="58"/>
  <c r="AS94" i="59" s="1"/>
  <c r="AT169" i="59"/>
  <c r="O126" i="61"/>
  <c r="AS105" i="59" l="1"/>
  <c r="AS96" i="59"/>
  <c r="P24" i="58"/>
  <c r="AT94" i="59" s="1"/>
  <c r="AU169" i="59"/>
  <c r="P126" i="61"/>
  <c r="AT105" i="59" l="1"/>
  <c r="AT96" i="59"/>
  <c r="Q24" i="58"/>
  <c r="AU94" i="59" s="1"/>
  <c r="AV169" i="59"/>
  <c r="Q126" i="61"/>
  <c r="AU105" i="59" l="1"/>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<sst xmlns="http://schemas.openxmlformats.org/spreadsheetml/2006/main" count="3329" uniqueCount="1143">
  <si>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</si>
  <si>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</si>
  <si>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</si>
  <si>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</si>
  <si>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</si>
  <si>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</si>
  <si>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</si>
  <si>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</si>
  <si>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</si>
  <si>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</si>
  <si>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</si>
  <si>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</si>
  <si>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</si>
  <si>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</si>
  <si>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</si>
  <si>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</si>
  <si>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</si>
  <si>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</si>
  <si>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</si>
  <si>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</si>
  <si>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</si>
  <si>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</si>
  <si>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</si>
  <si>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</si>
  <si>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</si>
  <si>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</si>
  <si>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</si>
  <si>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</si>
  <si>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</si>
  <si>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</si>
  <si>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</si>
  <si>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</si>
  <si>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</si>
  <si>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</si>
  <si>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</si>
  <si>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</si>
  <si>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</si>
  <si>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</si>
  <si>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</si>
  <si>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</si>
  <si>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</si>
  <si>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</si>
  <si>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</si>
  <si>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</si>
  <si>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</si>
  <si>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</si>
  <si>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</si>
  <si>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</si>
  <si>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</si>
  <si>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</si>
  <si>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</si>
  <si>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</si>
  <si>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</si>
  <si>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</si>
  <si>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</si>
  <si>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</si>
  <si>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</si>
  <si>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</si>
  <si>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</si>
  <si>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</si>
  <si>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</si>
  <si>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</si>
  <si>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</si>
  <si>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</si>
  <si>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</si>
  <si>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</si>
  <si>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</si>
  <si>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</si>
  <si>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</si>
  <si>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</si>
  <si>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</si>
  <si>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</si>
  <si>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</si>
  <si>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</si>
  <si>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</si>
  <si>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</si>
  <si>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</si>
  <si>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</si>
  <si>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</si>
  <si>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</si>
  <si>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</si>
  <si>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</si>
  <si>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</si>
  <si>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</si>
  <si>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</si>
  <si>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</si>
  <si>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</si>
  <si>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</si>
  <si>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</si>
  <si>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</si>
  <si>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</si>
  <si>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</si>
  <si>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</si>
  <si>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</si>
  <si>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</si>
  <si>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</si>
  <si>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</si>
  <si>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</si>
  <si>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</si>
  <si>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</si>
  <si>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</si>
  <si>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</si>
  <si>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</si>
  <si>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</si>
  <si>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</si>
  <si>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</si>
  <si>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</si>
  <si>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</si>
  <si>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</si>
  <si>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</si>
  <si>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</si>
  <si>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</si>
  <si>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</si>
  <si>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</si>
  <si>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</si>
  <si>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</si>
  <si>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</si>
  <si>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</si>
  <si>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</si>
  <si>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</si>
  <si>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</si>
  <si>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</si>
  <si>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</si>
  <si>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</si>
  <si>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</si>
  <si>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</si>
  <si>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</si>
  <si>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</si>
  <si>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</si>
  <si>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</si>
  <si>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</si>
  <si>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</si>
  <si>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</si>
  <si>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</si>
  <si>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</si>
  <si>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</si>
  <si>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</si>
  <si>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</si>
  <si>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</si>
  <si>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</si>
  <si>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</si>
  <si>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</si>
  <si>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</si>
  <si>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</si>
  <si>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</si>
  <si>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</si>
  <si>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</si>
  <si>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</si>
  <si>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</si>
  <si>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</si>
  <si>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</si>
  <si>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</si>
  <si>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</si>
  <si>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</si>
  <si>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</si>
  <si>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</si>
  <si>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</si>
  <si>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</si>
  <si>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</si>
  <si>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</si>
  <si>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</si>
  <si>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</si>
  <si>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</si>
  <si>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</si>
  <si>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</si>
  <si>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</si>
  <si>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</si>
  <si>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</si>
  <si>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</si>
  <si>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</si>
  <si>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</si>
  <si>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</si>
  <si>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</si>
  <si>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</si>
  <si>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</si>
  <si>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</si>
  <si>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</si>
  <si>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</si>
  <si>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</si>
  <si>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</si>
  <si>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</si>
  <si>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</si>
  <si>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</si>
  <si>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</si>
  <si>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</si>
  <si>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</si>
  <si>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</si>
  <si>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</si>
  <si>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</si>
  <si>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</si>
  <si>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</si>
  <si>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</si>
  <si>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</si>
  <si>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</si>
  <si>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</si>
  <si>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</si>
  <si>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</si>
  <si>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</si>
  <si>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</si>
  <si>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</si>
  <si>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</si>
  <si>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</si>
  <si>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</si>
  <si>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</si>
  <si>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</si>
  <si>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</si>
  <si>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</si>
  <si>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</si>
  <si>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</si>
  <si>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</si>
  <si>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</si>
  <si>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</si>
  <si>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</si>
  <si>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</si>
  <si>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</si>
  <si>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</si>
  <si>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</si>
  <si>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</si>
  <si>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</si>
  <si>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</si>
  <si>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</si>
  <si>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</si>
  <si>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</si>
  <si>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</si>
  <si>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</si>
  <si>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</si>
  <si>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</si>
  <si>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</si>
  <si>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</si>
  <si>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</si>
  <si>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</si>
  <si>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</si>
  <si>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</si>
  <si>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</si>
  <si>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</si>
  <si>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</si>
  <si>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</si>
  <si>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</si>
  <si>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</si>
  <si>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</si>
  <si>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</si>
  <si>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</si>
  <si>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</si>
  <si>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</si>
  <si>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</si>
  <si>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</si>
  <si>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</si>
  <si>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</si>
  <si>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</si>
  <si>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</si>
  <si>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</si>
  <si>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</si>
  <si>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</si>
  <si>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</si>
  <si>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</si>
  <si>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</si>
  <si>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</si>
  <si>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</si>
  <si>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</si>
  <si>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</si>
  <si>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</si>
  <si>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</si>
  <si>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</si>
  <si>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</si>
  <si>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</si>
  <si>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</si>
  <si>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</si>
  <si>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</si>
  <si>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</si>
  <si>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</si>
  <si>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</si>
  <si>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</si>
  <si>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</si>
  <si>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</si>
  <si>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</si>
  <si>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</si>
  <si>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</si>
  <si>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</si>
  <si>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</si>
  <si>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</si>
  <si>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</si>
  <si>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</si>
  <si>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</si>
  <si>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</si>
  <si>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</si>
  <si>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</si>
  <si>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</si>
  <si>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</si>
  <si>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</si>
  <si>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</si>
  <si>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</si>
  <si>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</si>
  <si>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</si>
  <si>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</si>
  <si>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</si>
  <si>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</si>
  <si>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</si>
  <si>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</si>
  <si>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</si>
  <si>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</si>
  <si>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</si>
  <si>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</si>
  <si>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</si>
  <si>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</si>
  <si>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</si>
  <si>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</si>
  <si>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</si>
  <si>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</si>
  <si>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</si>
  <si>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</si>
  <si>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</si>
  <si>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</si>
  <si>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</si>
  <si>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</si>
  <si>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</si>
  <si>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</si>
  <si>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</si>
  <si>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</si>
  <si>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</si>
  <si>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</si>
  <si>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</si>
  <si>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</si>
  <si>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</si>
  <si>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</si>
  <si>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</si>
  <si>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</si>
  <si>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</si>
  <si>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</si>
  <si>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</si>
  <si>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</si>
  <si>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</si>
  <si>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</si>
  <si>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</si>
  <si>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</si>
  <si>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</si>
  <si>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</si>
  <si>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</si>
  <si>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</si>
  <si>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</si>
  <si>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</si>
  <si>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</si>
  <si>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</si>
  <si>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</si>
  <si>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</si>
  <si>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</si>
  <si>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</si>
  <si>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</si>
  <si>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</si>
  <si>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</si>
  <si>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</si>
  <si>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</si>
  <si>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</si>
  <si>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</si>
  <si>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</si>
  <si>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</si>
  <si>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</si>
  <si>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</si>
  <si>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</si>
  <si>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</si>
  <si>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</si>
  <si>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</si>
  <si>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</si>
  <si>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</si>
  <si>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</si>
  <si>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</si>
  <si>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</si>
  <si>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</si>
  <si>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</si>
  <si>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</si>
  <si>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</si>
  <si>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</si>
  <si>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</si>
  <si>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</si>
  <si>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</si>
  <si>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</si>
  <si>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</si>
  <si>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</si>
  <si>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</si>
  <si>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</si>
  <si>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</si>
  <si>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</si>
  <si>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</si>
  <si>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</si>
  <si>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</si>
  <si>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</si>
  <si>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</si>
  <si>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</si>
  <si>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</si>
  <si>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</si>
  <si>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</si>
  <si>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</si>
  <si>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</si>
  <si>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</si>
  <si>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</si>
  <si>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</si>
  <si>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</si>
  <si>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</si>
  <si>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</si>
  <si>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</si>
  <si>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</si>
  <si>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</si>
  <si>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</si>
  <si>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</si>
  <si>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</si>
  <si>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</si>
  <si>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</si>
  <si>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</si>
  <si>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</si>
  <si>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</si>
  <si>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</si>
  <si>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</si>
  <si>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</si>
  <si>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</si>
  <si>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</si>
  <si>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</si>
  <si>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</si>
  <si>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</si>
  <si>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</si>
  <si>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</si>
  <si>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</si>
  <si>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</si>
  <si>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</si>
  <si>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</si>
  <si>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</si>
  <si>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</si>
  <si>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</si>
  <si>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</si>
  <si>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</si>
  <si>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</si>
  <si>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</si>
  <si>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</si>
  <si>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</si>
  <si>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</si>
  <si>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</si>
  <si>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</si>
  <si>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</si>
  <si>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</si>
  <si>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</si>
  <si>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</si>
  <si>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</si>
  <si>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</si>
  <si>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</si>
  <si>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</si>
  <si>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</si>
  <si>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</si>
  <si>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</si>
  <si>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</si>
  <si>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</si>
  <si>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</si>
  <si>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</si>
  <si>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</si>
  <si>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</si>
  <si>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</si>
  <si>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</si>
  <si>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</si>
  <si>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</si>
  <si>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</si>
  <si>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</si>
  <si>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</si>
  <si>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</si>
  <si>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</si>
  <si>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</si>
  <si>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</si>
  <si>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</si>
  <si>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</si>
  <si>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</si>
  <si>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</si>
  <si>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</si>
  <si>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</si>
  <si>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</si>
  <si>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</si>
  <si>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</si>
  <si>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</si>
  <si>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</si>
  <si>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</si>
  <si>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</si>
  <si>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</si>
  <si>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</si>
  <si>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</si>
  <si>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</si>
  <si>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</si>
  <si>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</si>
  <si>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</si>
  <si>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</si>
  <si>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</si>
  <si>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</si>
  <si>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</si>
  <si>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</si>
  <si>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</si>
  <si>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</si>
  <si>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</si>
  <si>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</si>
  <si>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</si>
  <si>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</si>
  <si>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</si>
  <si>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</si>
  <si>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</si>
  <si>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</si>
  <si>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</si>
  <si>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</si>
  <si>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</si>
  <si>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</si>
  <si>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</si>
  <si>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</si>
  <si>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</si>
  <si>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</si>
  <si>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</si>
  <si>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</si>
  <si>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</si>
  <si>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</si>
  <si>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</si>
  <si>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</si>
  <si>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</si>
  <si>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</si>
  <si>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</si>
  <si>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</si>
  <si>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</si>
  <si>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</si>
  <si>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</si>
  <si>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</si>
  <si>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</si>
  <si>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</si>
  <si>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</si>
  <si>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</si>
  <si>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</si>
  <si>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</si>
  <si>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</si>
  <si>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</si>
  <si>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</si>
  <si>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</si>
  <si>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</si>
  <si>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</si>
  <si>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</si>
  <si>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</si>
  <si>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</si>
  <si>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</si>
  <si>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</si>
  <si>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</si>
  <si>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</si>
  <si>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</si>
  <si>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</si>
  <si>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</si>
  <si>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</si>
  <si>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</si>
  <si>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</si>
  <si>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</si>
  <si>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</si>
  <si>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</si>
  <si>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</si>
  <si>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</si>
  <si>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</si>
  <si>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</si>
  <si>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</si>
  <si>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</si>
  <si>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</si>
  <si>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</si>
  <si>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</si>
  <si>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</si>
  <si>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</si>
  <si>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</si>
  <si>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</si>
  <si>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</si>
  <si>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</si>
  <si>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</si>
  <si>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</si>
  <si>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</si>
  <si>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</si>
  <si>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</si>
  <si>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</si>
  <si>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</si>
  <si>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</si>
  <si>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</si>
  <si>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</si>
  <si>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</si>
  <si>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</si>
  <si>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</si>
  <si>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</si>
  <si>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</si>
  <si>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</si>
  <si>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</si>
  <si>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</si>
  <si>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</si>
  <si>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</si>
  <si>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</si>
  <si>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</si>
  <si>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</si>
  <si>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</si>
  <si>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</si>
  <si>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</si>
  <si>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</si>
  <si>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</si>
  <si>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</si>
  <si>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</si>
  <si>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</si>
  <si>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</si>
  <si>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</si>
  <si>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</si>
  <si>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</si>
  <si>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</si>
  <si>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</si>
  <si>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</si>
  <si>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</si>
  <si>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</si>
  <si>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</si>
  <si>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</si>
  <si>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</si>
  <si>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</si>
  <si>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</si>
  <si>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</si>
  <si>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</si>
  <si>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</si>
  <si>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</si>
  <si>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</si>
  <si>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</si>
  <si>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</si>
  <si>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</si>
  <si>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</si>
  <si>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</si>
  <si>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</si>
  <si>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</si>
  <si>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</si>
  <si>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</si>
  <si>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</si>
  <si>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</si>
  <si>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</si>
  <si>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</si>
  <si>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</si>
  <si>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</si>
  <si>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</si>
  <si>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</si>
  <si>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</si>
  <si>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</si>
  <si>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</si>
  <si>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</si>
  <si>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</si>
  <si>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</si>
  <si>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</si>
  <si>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</si>
  <si>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</si>
  <si>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</si>
  <si>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</si>
  <si>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</si>
  <si>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</si>
  <si>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</si>
  <si>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</si>
  <si>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</si>
  <si>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</si>
  <si>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</si>
  <si>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</si>
  <si>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</si>
  <si>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</si>
  <si>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</si>
  <si>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</si>
  <si>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</si>
  <si>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</si>
  <si>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</si>
  <si>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</si>
  <si>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</si>
  <si>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</si>
  <si>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</si>
  <si>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</si>
  <si>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</si>
  <si>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</si>
  <si>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</si>
  <si>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</si>
  <si>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</si>
  <si>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</si>
  <si>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</si>
  <si>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</si>
  <si>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</si>
  <si>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</si>
  <si>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</si>
  <si>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</si>
  <si>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</si>
  <si>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</si>
  <si>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</si>
  <si>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</si>
  <si>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</si>
  <si>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</si>
  <si>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</si>
  <si>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</si>
  <si>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</si>
  <si>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</si>
  <si>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</si>
  <si>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</si>
  <si>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</si>
  <si>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</si>
  <si>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</si>
  <si>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</si>
  <si>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</si>
  <si>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</si>
  <si>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</si>
  <si>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</si>
  <si>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</si>
  <si>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</si>
  <si>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</si>
  <si>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</si>
  <si>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</si>
  <si>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</si>
  <si>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</si>
  <si>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</si>
  <si>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</si>
  <si>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</si>
  <si>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</si>
  <si>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</si>
  <si>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</si>
  <si>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</si>
  <si>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</si>
  <si>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</si>
  <si>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</si>
  <si>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</si>
  <si>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</si>
  <si>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</si>
  <si>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</si>
  <si>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</si>
  <si>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</si>
  <si>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</si>
  <si>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</si>
  <si>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</si>
  <si>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</si>
  <si>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</si>
  <si>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</si>
  <si>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</si>
  <si>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</si>
  <si>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</si>
  <si>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</si>
  <si>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</si>
  <si>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</si>
  <si>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</si>
  <si>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</si>
  <si>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</si>
  <si>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</si>
  <si>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</si>
  <si>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</si>
  <si>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</si>
  <si>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</si>
  <si>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</si>
  <si>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</si>
  <si>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</si>
  <si>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</si>
  <si>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</si>
  <si>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</si>
  <si>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</si>
  <si>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</si>
  <si>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</si>
  <si>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</si>
  <si>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</si>
  <si>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</si>
  <si>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</si>
  <si>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</si>
  <si>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</si>
  <si>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</si>
  <si>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</si>
  <si>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</si>
  <si>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</si>
  <si>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</si>
  <si>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</si>
  <si>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</si>
  <si>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</si>
  <si>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</si>
  <si>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</si>
  <si>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</si>
  <si>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</si>
  <si>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</si>
  <si>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</si>
  <si>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</si>
  <si>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</si>
  <si>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</si>
  <si>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</si>
  <si>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</si>
  <si>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</si>
  <si>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</si>
  <si>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</si>
  <si>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</si>
  <si>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</si>
  <si>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</si>
  <si>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</si>
  <si>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</si>
  <si>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</si>
  <si>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</si>
  <si>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</si>
  <si>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</si>
  <si>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</si>
  <si>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</si>
  <si>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</si>
  <si>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</si>
  <si>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</si>
  <si>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</si>
  <si>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</si>
  <si>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</si>
  <si>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</si>
  <si>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</si>
  <si>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</si>
  <si>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</si>
  <si>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</si>
  <si>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</si>
  <si>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</si>
  <si>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</si>
  <si>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</si>
  <si>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</si>
  <si>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</si>
  <si>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</si>
  <si>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</si>
  <si>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</si>
  <si>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</si>
  <si>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</si>
  <si>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</si>
  <si>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</si>
  <si>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</si>
  <si>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</si>
  <si>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</si>
  <si>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</si>
  <si>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</si>
  <si>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</si>
  <si>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</si>
  <si>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</si>
  <si>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</si>
  <si>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</si>
  <si>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</si>
  <si>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</si>
  <si>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</si>
  <si>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</si>
  <si>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</si>
  <si>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</si>
  <si>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</si>
  <si>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</si>
  <si>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</si>
  <si>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</si>
  <si>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</si>
  <si>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</si>
  <si>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</si>
  <si>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</si>
  <si>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</si>
  <si>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</si>
  <si>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</si>
  <si>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</si>
  <si>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</si>
  <si>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</si>
  <si>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</si>
  <si>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</si>
  <si>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</si>
  <si>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</si>
  <si>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</si>
  <si>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</si>
  <si>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</si>
  <si>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</si>
  <si>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</si>
  <si>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</si>
  <si>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</si>
  <si>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</si>
  <si>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</si>
  <si>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</si>
  <si>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</si>
  <si>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</si>
  <si>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</si>
  <si>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</si>
  <si>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</si>
  <si>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</si>
  <si>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</si>
  <si>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</si>
  <si>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</si>
  <si>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</si>
  <si>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</si>
  <si>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</si>
  <si>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</si>
  <si>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</si>
  <si>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</si>
  <si>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</si>
  <si>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</si>
  <si>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</si>
  <si>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</si>
  <si>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</si>
  <si>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</si>
  <si>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</si>
  <si>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</si>
  <si>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</si>
  <si>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</si>
  <si>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</si>
  <si>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</si>
  <si>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</si>
  <si>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</si>
  <si>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</si>
  <si>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</si>
  <si>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</si>
  <si>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</si>
  <si>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</si>
  <si>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</si>
  <si>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</si>
  <si>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</si>
  <si>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</si>
  <si>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</si>
  <si>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</si>
  <si>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</si>
  <si>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</si>
  <si>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</si>
  <si>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</si>
  <si>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</si>
  <si>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</si>
  <si>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</si>
  <si>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</si>
  <si>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</si>
  <si>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</si>
  <si>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</si>
  <si>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</si>
  <si>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</si>
  <si>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</si>
  <si>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</si>
  <si>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</si>
  <si>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</si>
  <si>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</si>
  <si>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</si>
  <si>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</si>
  <si>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</si>
  <si>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</si>
  <si>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</si>
  <si>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</si>
  <si>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</si>
  <si>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</si>
  <si>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</si>
  <si>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</si>
  <si>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</si>
  <si>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</si>
  <si>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</si>
  <si>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</si>
  <si>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</si>
  <si>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</si>
  <si>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</si>
  <si>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</si>
  <si>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</si>
  <si>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</si>
  <si>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</si>
  <si>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</si>
  <si>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</si>
  <si>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</si>
  <si>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</si>
  <si>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</si>
  <si>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</si>
  <si>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</si>
  <si>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</si>
  <si>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</si>
  <si>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</si>
  <si>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</si>
  <si>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</si>
  <si>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</si>
  <si>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</si>
  <si>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</si>
  <si>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</si>
  <si>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</si>
  <si>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</si>
  <si>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</si>
  <si>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</si>
  <si>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</si>
  <si>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</si>
  <si>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</si>
  <si>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</si>
  <si>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</si>
  <si>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</si>
  <si>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</si>
  <si>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</si>
  <si>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</si>
  <si>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</si>
  <si>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</si>
  <si>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</si>
  <si>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</si>
  <si>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</si>
  <si>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</si>
  <si>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</si>
  <si>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</si>
  <si>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</si>
  <si>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</si>
  <si>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</si>
  <si>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</si>
  <si>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</si>
  <si>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</si>
  <si>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</si>
  <si>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</si>
  <si>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</si>
  <si>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</si>
  <si>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</si>
  <si>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</si>
  <si>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</si>
  <si>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</si>
  <si>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</si>
  <si>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</si>
  <si>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</si>
  <si>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</si>
  <si>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</si>
  <si>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</si>
  <si>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</si>
  <si>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</si>
  <si>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</si>
  <si>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</si>
  <si>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</si>
  <si>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</si>
  <si>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</si>
  <si>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</si>
  <si>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</si>
  <si>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</si>
  <si>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</si>
  <si>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</si>
  <si>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</si>
  <si>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</si>
  <si>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</si>
  <si>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</si>
  <si>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</si>
  <si>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</si>
  <si>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</si>
  <si>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</si>
  <si>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</si>
  <si>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</si>
  <si>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</si>
  <si>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</si>
  <si>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</si>
  <si>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</si>
  <si>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</si>
  <si>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</si>
  <si>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</si>
  <si>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</si>
  <si>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</si>
  <si>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</si>
  <si>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</si>
  <si>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</si>
  <si>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</si>
  <si>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</si>
  <si>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</si>
  <si>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</si>
  <si>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</si>
  <si>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</si>
  <si>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</si>
  <si>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</si>
  <si>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</si>
  <si>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</si>
  <si>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</si>
  <si>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</si>
  <si>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</si>
  <si>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</si>
  <si>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</si>
  <si>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</si>
  <si>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</si>
  <si>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</si>
  <si>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</si>
  <si>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</si>
  <si>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</si>
  <si>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</si>
  <si>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</si>
  <si>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</si>
  <si>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</si>
  <si>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</si>
  <si>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</si>
  <si>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</si>
  <si>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</si>
  <si>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</si>
  <si>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</si>
  <si>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</si>
  <si>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</si>
  <si>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</si>
  <si>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</si>
  <si>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</si>
  <si>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</si>
  <si>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</si>
  <si>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</si>
  <si>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</si>
  <si>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</si>
  <si>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</si>
  <si>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</si>
  <si>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</si>
  <si>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</si>
  <si>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</si>
  <si>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T-LPT-EV_ELC00</t>
  </si>
  <si>
    <t>TRA Light Passenger Train: Electric - Existing</t>
  </si>
  <si>
    <t>T-HPT-EV_ELC00</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</si>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</sst>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00_-;\-* #,##0.00_-;_-* &quot;-&quot;??_-;_-@_-"/>
    <numFmt numFmtId="184"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57">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0" fontId="10" fillId="0" borderId="0" xfId="2" applyNumberFormat="1" applyFont="1" applyFill="1"/>
    <xf numFmtId="1" fontId="1" fillId="0" borderId="144" xfId="0" applyNumberFormat="1" applyFont="1" applyBorder="1"/>
    <xf numFmtId="170" fontId="0" fillId="0" borderId="144" xfId="0" applyNumberFormat="1" applyBorder="1"/>
    <xf numFmtId="0" fontId="45" fillId="0" borderId="0" xfId="0" applyFont="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8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4" fontId="0" fillId="0" borderId="150" xfId="0" applyNumberFormat="1" applyBorder="1"/>
    <xf numFmtId="173" fontId="0" fillId="0" borderId="150" xfId="0" applyNumberFormat="1" applyBorder="1"/>
    <xf numFmtId="165" fontId="0" fillId="0" borderId="150" xfId="0" applyNumberFormat="1" applyBorder="1"/>
    <xf numFmtId="0" fontId="75" fillId="16" borderId="0" xfId="3" applyFont="1" applyAlignment="1">
      <alignment horizontal="left"/>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8" fillId="0" borderId="146" xfId="0" applyFont="1" applyBorder="1" applyAlignment="1">
      <alignment horizontal="left"/>
    </xf>
    <xf numFmtId="0" fontId="8" fillId="0" borderId="0" xfId="0" applyFont="1" applyBorder="1" applyAlignment="1">
      <alignment horizontal="left"/>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0" fillId="0" borderId="0" xfId="0" applyBorder="1" applyAlignment="1">
      <alignment horizontal="left" vertical="top"/>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0" fillId="0" borderId="151"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sheetData sheetId="1"/>
      <sheetData sheetId="2"/>
      <sheetData sheetId="3">
        <row r="33">
          <cell r="C33" t="str">
            <v>Carbon Dioxide - Combustion (TRA)</v>
          </cell>
        </row>
        <row r="34">
          <cell r="C34" t="str">
            <v>Methane (TRA)</v>
          </cell>
        </row>
        <row r="35">
          <cell r="C35" t="str">
            <v>Sulphur Oxides (TRA)</v>
          </cell>
        </row>
        <row r="36">
          <cell r="C36" t="str">
            <v>Nitrogen Oxide (TRA)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20" t="s">
        <v>221</v>
      </c>
      <c r="B17" s="820"/>
      <c r="C17" s="820"/>
      <c r="D17" s="820"/>
      <c r="E17" s="820"/>
      <c r="F17" s="820"/>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222</v>
      </c>
      <c r="B20" s="821" t="s">
        <v>223</v>
      </c>
      <c r="C20" s="821"/>
      <c r="D20" s="821"/>
      <c r="E20" s="821"/>
      <c r="F20" s="821"/>
      <c r="G20" s="52"/>
      <c r="H20" s="52"/>
      <c r="I20" s="53"/>
      <c r="J20" s="53"/>
      <c r="K20" s="53"/>
      <c r="L20" s="53"/>
      <c r="M20" s="53"/>
      <c r="N20" s="53"/>
    </row>
    <row r="21" spans="1:14" ht="17.25" customHeight="1">
      <c r="A21" s="51" t="s">
        <v>224</v>
      </c>
      <c r="B21" s="822" t="s">
        <v>227</v>
      </c>
      <c r="C21" s="822"/>
      <c r="D21" s="822"/>
      <c r="E21" s="822"/>
      <c r="F21" s="822"/>
      <c r="G21" s="52"/>
      <c r="H21" s="52"/>
      <c r="I21" s="53"/>
      <c r="J21" s="53"/>
      <c r="K21" s="53"/>
      <c r="L21" s="53"/>
      <c r="M21" s="53"/>
      <c r="N21" s="53"/>
    </row>
    <row r="22" spans="1:14" ht="17.25" customHeight="1">
      <c r="A22" s="51" t="s">
        <v>225</v>
      </c>
      <c r="B22" s="822" t="s">
        <v>226</v>
      </c>
      <c r="C22" s="822"/>
      <c r="D22" s="822"/>
      <c r="E22" s="822"/>
      <c r="F22" s="822"/>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301</v>
      </c>
      <c r="C2" s="96"/>
    </row>
    <row r="3" spans="2:3">
      <c r="B3" s="122" t="s">
        <v>302</v>
      </c>
      <c r="C3" s="123" t="s">
        <v>108</v>
      </c>
    </row>
    <row r="4" spans="2:3">
      <c r="B4" s="98" t="s">
        <v>559</v>
      </c>
      <c r="C4" s="124" t="s">
        <v>356</v>
      </c>
    </row>
    <row r="5" spans="2:3">
      <c r="B5" s="99" t="s">
        <v>307</v>
      </c>
      <c r="C5" s="125" t="s">
        <v>308</v>
      </c>
    </row>
    <row r="6" spans="2:3">
      <c r="B6" s="99" t="s">
        <v>309</v>
      </c>
      <c r="C6" s="125" t="s">
        <v>335</v>
      </c>
    </row>
    <row r="7" spans="2:3">
      <c r="B7" s="99" t="s">
        <v>310</v>
      </c>
      <c r="C7" s="125" t="s">
        <v>334</v>
      </c>
    </row>
    <row r="8" spans="2:3">
      <c r="B8" s="99" t="s">
        <v>311</v>
      </c>
      <c r="C8" s="125" t="s">
        <v>314</v>
      </c>
    </row>
    <row r="9" spans="2:3">
      <c r="B9" s="99" t="s">
        <v>312</v>
      </c>
      <c r="C9" s="125" t="s">
        <v>313</v>
      </c>
    </row>
    <row r="10" spans="2:3">
      <c r="B10" s="99" t="s">
        <v>315</v>
      </c>
      <c r="C10" s="125" t="s">
        <v>328</v>
      </c>
    </row>
    <row r="11" spans="2:3">
      <c r="B11" s="99" t="s">
        <v>316</v>
      </c>
      <c r="C11" s="125" t="s">
        <v>329</v>
      </c>
    </row>
    <row r="12" spans="2:3">
      <c r="B12" s="99" t="s">
        <v>317</v>
      </c>
      <c r="C12" s="125" t="s">
        <v>330</v>
      </c>
    </row>
    <row r="13" spans="2:3">
      <c r="B13" s="99" t="s">
        <v>318</v>
      </c>
      <c r="C13" s="125" t="s">
        <v>331</v>
      </c>
    </row>
    <row r="14" spans="2:3">
      <c r="B14" s="99" t="s">
        <v>319</v>
      </c>
      <c r="C14" s="125" t="s">
        <v>332</v>
      </c>
    </row>
    <row r="15" spans="2:3">
      <c r="B15" s="99" t="s">
        <v>320</v>
      </c>
      <c r="C15" s="125" t="s">
        <v>333</v>
      </c>
    </row>
    <row r="16" spans="2:3">
      <c r="B16" s="100" t="s">
        <v>326</v>
      </c>
      <c r="C16" s="126" t="s">
        <v>327</v>
      </c>
    </row>
    <row r="17" spans="2:3">
      <c r="B17" s="101"/>
    </row>
    <row r="18" spans="2:3" ht="18">
      <c r="B18" s="104" t="s">
        <v>303</v>
      </c>
      <c r="C18" s="105"/>
    </row>
    <row r="19" spans="2:3">
      <c r="B19" s="112"/>
      <c r="C19" s="119" t="s">
        <v>322</v>
      </c>
    </row>
    <row r="20" spans="2:3">
      <c r="B20" s="113"/>
      <c r="C20" s="120" t="s">
        <v>321</v>
      </c>
    </row>
    <row r="21" spans="2:3">
      <c r="B21" s="114"/>
      <c r="C21" s="120" t="s">
        <v>323</v>
      </c>
    </row>
    <row r="22" spans="2:3">
      <c r="B22" s="115"/>
      <c r="C22" s="120" t="s">
        <v>324</v>
      </c>
    </row>
    <row r="23" spans="2:3">
      <c r="B23" s="116"/>
      <c r="C23" s="120" t="s">
        <v>325</v>
      </c>
    </row>
    <row r="24" spans="2:3">
      <c r="B24" s="117"/>
      <c r="C24" s="120" t="s">
        <v>172</v>
      </c>
    </row>
    <row r="25" spans="2:3">
      <c r="B25" s="118"/>
      <c r="C25" s="121" t="s">
        <v>95</v>
      </c>
    </row>
    <row r="26" spans="2:3">
      <c r="B26" s="102"/>
      <c r="C26" s="103"/>
    </row>
    <row r="27" spans="2:3" ht="18">
      <c r="B27" s="104" t="s">
        <v>58</v>
      </c>
      <c r="C27" s="105"/>
    </row>
    <row r="28" spans="2:3">
      <c r="B28" s="106" t="s">
        <v>304</v>
      </c>
      <c r="C28" s="111" t="s">
        <v>878</v>
      </c>
    </row>
    <row r="29" spans="2:3">
      <c r="B29" s="107" t="s">
        <v>299</v>
      </c>
      <c r="C29" s="108" t="s">
        <v>88</v>
      </c>
    </row>
    <row r="30" spans="2:3">
      <c r="B30" s="107" t="s">
        <v>305</v>
      </c>
      <c r="C30" s="390" t="s">
        <v>357</v>
      </c>
    </row>
    <row r="31" spans="2:3">
      <c r="B31" s="109" t="s">
        <v>306</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3" zoomScale="60" zoomScaleNormal="65" workbookViewId="0">
      <selection activeCell="AN55" sqref="AN55"/>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339</v>
      </c>
      <c r="B1" s="343" t="s">
        <v>338</v>
      </c>
      <c r="C1" s="327" t="s">
        <v>173</v>
      </c>
      <c r="D1" s="328" t="s">
        <v>174</v>
      </c>
      <c r="E1" s="329" t="s">
        <v>175</v>
      </c>
      <c r="F1" s="330" t="s">
        <v>176</v>
      </c>
      <c r="G1" s="330" t="s">
        <v>177</v>
      </c>
      <c r="H1" s="331" t="s">
        <v>178</v>
      </c>
      <c r="I1" s="328" t="s">
        <v>179</v>
      </c>
      <c r="J1" s="329" t="s">
        <v>180</v>
      </c>
      <c r="K1" s="329" t="s">
        <v>181</v>
      </c>
      <c r="L1" s="331" t="s">
        <v>182</v>
      </c>
      <c r="M1" s="328" t="s">
        <v>183</v>
      </c>
      <c r="N1" s="329" t="s">
        <v>184</v>
      </c>
      <c r="O1" s="329" t="s">
        <v>185</v>
      </c>
      <c r="P1" s="329" t="s">
        <v>186</v>
      </c>
      <c r="Q1" s="329" t="s">
        <v>187</v>
      </c>
      <c r="R1" s="329" t="s">
        <v>188</v>
      </c>
      <c r="S1" s="329" t="s">
        <v>189</v>
      </c>
      <c r="T1" s="329" t="s">
        <v>190</v>
      </c>
      <c r="U1" s="329" t="s">
        <v>191</v>
      </c>
      <c r="V1" s="330" t="s">
        <v>192</v>
      </c>
      <c r="W1" s="330" t="s">
        <v>193</v>
      </c>
      <c r="X1" s="330" t="s">
        <v>194</v>
      </c>
      <c r="Y1" s="329" t="s">
        <v>195</v>
      </c>
      <c r="Z1" s="331" t="s">
        <v>196</v>
      </c>
      <c r="AA1" s="332" t="s">
        <v>197</v>
      </c>
      <c r="AB1" s="333" t="s">
        <v>198</v>
      </c>
      <c r="AC1" s="329" t="s">
        <v>199</v>
      </c>
      <c r="AD1" s="329" t="s">
        <v>200</v>
      </c>
      <c r="AE1" s="329" t="s">
        <v>201</v>
      </c>
      <c r="AF1" s="329" t="s">
        <v>202</v>
      </c>
      <c r="AG1" s="329" t="s">
        <v>203</v>
      </c>
      <c r="AH1" s="329" t="s">
        <v>204</v>
      </c>
      <c r="AI1" s="330" t="s">
        <v>205</v>
      </c>
      <c r="AJ1" s="331" t="s">
        <v>206</v>
      </c>
      <c r="AK1" s="331" t="s">
        <v>207</v>
      </c>
      <c r="AL1" s="332" t="s">
        <v>208</v>
      </c>
      <c r="AM1" s="334" t="s">
        <v>209</v>
      </c>
      <c r="AO1" s="58"/>
    </row>
    <row r="2" spans="1:41" s="59" customFormat="1" ht="12.75" customHeight="1">
      <c r="A2" s="164" t="s">
        <v>229</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230</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231</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232</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233</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234</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235</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236</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237</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238</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239</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240</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241</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242</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237</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243</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244</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245</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240</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246</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247</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248</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249</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250</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251</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252</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253</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254</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255</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256</v>
      </c>
      <c r="B32" s="141" t="s">
        <v>257</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258</v>
      </c>
      <c r="B33" s="335" t="s">
        <v>259</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260</v>
      </c>
      <c r="B34" s="143" t="s">
        <v>261</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262</v>
      </c>
      <c r="B35" s="143" t="s">
        <v>263</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264</v>
      </c>
      <c r="B36" s="143" t="s">
        <v>265</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266</v>
      </c>
      <c r="B37" s="143" t="s">
        <v>267</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268</v>
      </c>
      <c r="B38" s="143" t="s">
        <v>269</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270</v>
      </c>
      <c r="B39" s="143" t="s">
        <v>271</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272</v>
      </c>
      <c r="B40" s="143" t="s">
        <v>273</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274</v>
      </c>
      <c r="B41" s="143" t="s">
        <v>275</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276</v>
      </c>
      <c r="B42" s="143" t="s">
        <v>277</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278</v>
      </c>
      <c r="B43" s="143" t="s">
        <v>279</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280</v>
      </c>
      <c r="B44" s="144" t="s">
        <v>281</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282</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283</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284</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285</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286</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287</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288</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210</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1"/>
    </row>
    <row r="54" spans="1:41" s="59" customFormat="1" ht="12.75" customHeight="1">
      <c r="A54" s="167" t="s">
        <v>172</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1"/>
    </row>
    <row r="55" spans="1:41" s="59" customFormat="1" ht="12.75" customHeight="1">
      <c r="A55" s="182" t="s">
        <v>211</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N55" s="797"/>
      <c r="AO55" s="571"/>
    </row>
    <row r="56" spans="1:41" s="62" customFormat="1" ht="12.75" customHeight="1">
      <c r="A56" s="207" t="s">
        <v>289</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290</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291</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292</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293</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294</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295</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296</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69"/>
      <c r="AH64" s="64"/>
      <c r="AI64" s="64"/>
      <c r="AJ64" s="64"/>
      <c r="AK64" s="73"/>
      <c r="AL64" s="64"/>
      <c r="AM64" s="64"/>
      <c r="AO64" s="61"/>
    </row>
    <row r="65" spans="1:39" ht="12.75" customHeight="1">
      <c r="A65" s="76" t="s">
        <v>340</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341</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342</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343</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297</v>
      </c>
      <c r="B69" s="382"/>
      <c r="C69" s="382"/>
      <c r="D69" s="382"/>
      <c r="E69" s="81"/>
      <c r="F69" s="82"/>
      <c r="G69" s="82"/>
      <c r="H69" s="83"/>
      <c r="I69" s="82"/>
      <c r="J69" s="82"/>
      <c r="K69" s="82"/>
      <c r="R69" s="84"/>
      <c r="S69" s="85"/>
      <c r="T69" s="84"/>
      <c r="U69" s="84"/>
      <c r="Y69" s="82"/>
      <c r="AA69" s="87"/>
      <c r="AL69" s="88"/>
    </row>
    <row r="70" spans="1:39" ht="12.75" customHeight="1">
      <c r="A70" s="80" t="s">
        <v>298</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4" customWidth="1"/>
    <col min="2" max="2" width="11.6640625" style="714" customWidth="1"/>
    <col min="3" max="3" width="3.109375" style="714" bestFit="1" customWidth="1"/>
    <col min="4" max="4" width="8.5546875" style="714" bestFit="1" customWidth="1"/>
    <col min="5" max="5" width="6.44140625" style="714" bestFit="1" customWidth="1"/>
    <col min="6" max="6" width="4.88671875" style="714" bestFit="1" customWidth="1"/>
    <col min="7" max="7" width="5.6640625" style="714" bestFit="1" customWidth="1"/>
    <col min="8" max="8" width="5.88671875" style="714" bestFit="1" customWidth="1"/>
    <col min="9" max="9" width="5.44140625" style="714" bestFit="1" customWidth="1"/>
    <col min="10" max="11" width="5.6640625" style="714" bestFit="1" customWidth="1"/>
    <col min="12" max="12" width="6.5546875" style="714" bestFit="1" customWidth="1"/>
    <col min="13" max="13" width="6.109375" style="714" bestFit="1" customWidth="1"/>
    <col min="14" max="14" width="6.6640625" style="714" bestFit="1" customWidth="1"/>
    <col min="15" max="15" width="6.5546875" style="714" bestFit="1" customWidth="1"/>
    <col min="16" max="16" width="7.33203125" style="714" bestFit="1" customWidth="1"/>
    <col min="17" max="17" width="5.6640625" style="714" bestFit="1" customWidth="1"/>
    <col min="18" max="18" width="6.109375" style="714" bestFit="1" customWidth="1"/>
    <col min="19" max="19" width="5.6640625" style="714" bestFit="1" customWidth="1"/>
    <col min="20" max="20" width="5.5546875" style="714" bestFit="1" customWidth="1"/>
    <col min="21" max="21" width="5.88671875" style="714" bestFit="1" customWidth="1"/>
    <col min="22" max="22" width="6.6640625" style="714" bestFit="1" customWidth="1"/>
    <col min="23" max="23" width="4.88671875" style="714" bestFit="1" customWidth="1"/>
    <col min="24" max="24" width="7.5546875" style="714" customWidth="1"/>
    <col min="25" max="25" width="6.6640625" style="714" bestFit="1" customWidth="1"/>
    <col min="26" max="26" width="6.109375" style="714" bestFit="1" customWidth="1"/>
    <col min="27" max="28" width="6" style="714" bestFit="1" customWidth="1"/>
    <col min="29" max="29" width="5.6640625" style="714" bestFit="1" customWidth="1"/>
    <col min="30" max="30" width="6.6640625" style="714" bestFit="1" customWidth="1"/>
    <col min="31" max="16384" width="9.109375" style="714"/>
  </cols>
  <sheetData>
    <row r="3" spans="1:30">
      <c r="C3" s="717" t="str" cm="1">
        <f t="array" ref="C3">INDEX(C5:C7,$A$4)</f>
        <v>IE</v>
      </c>
      <c r="D3" s="717" t="str" cm="1">
        <f t="array" ref="D3">INDEX(D5:D7,$A$4)</f>
        <v>National</v>
      </c>
      <c r="E3" s="717" t="str" cm="1">
        <f t="array" ref="E3">INDEX(E5:E7,$A$4)</f>
        <v>IE-CW</v>
      </c>
      <c r="F3" s="717" t="str" cm="1">
        <f t="array" ref="F3">INDEX(F5:F7,$A$4)</f>
        <v>IE-D</v>
      </c>
      <c r="G3" s="717" t="str" cm="1">
        <f t="array" ref="G3">INDEX(G5:G7,$A$4)</f>
        <v>IE-KE</v>
      </c>
      <c r="H3" s="717" t="str" cm="1">
        <f t="array" ref="H3">INDEX(H5:H7,$A$4)</f>
        <v>IE-KK</v>
      </c>
      <c r="I3" s="717" t="str" cm="1">
        <f t="array" ref="I3">INDEX(I5:I7,$A$4)</f>
        <v>IE-LS</v>
      </c>
      <c r="J3" s="717" t="str" cm="1">
        <f t="array" ref="J3">INDEX(J5:J7,$A$4)</f>
        <v>IE-LD</v>
      </c>
      <c r="K3" s="717" t="str" cm="1">
        <f t="array" ref="K3">INDEX(K5:K7,$A$4)</f>
        <v>IE-LH</v>
      </c>
      <c r="L3" s="717" t="str" cm="1">
        <f t="array" ref="L3">INDEX(L5:L7,$A$4)</f>
        <v>IE-MH</v>
      </c>
      <c r="M3" s="717" t="str" cm="1">
        <f t="array" ref="M3">INDEX(M5:M7,$A$4)</f>
        <v>IE-OY</v>
      </c>
      <c r="N3" s="717" t="str" cm="1">
        <f t="array" ref="N3">INDEX(N5:N7,$A$4)</f>
        <v>IE-WH</v>
      </c>
      <c r="O3" s="717" t="str" cm="1">
        <f t="array" ref="O3">INDEX(O5:O7,$A$4)</f>
        <v>IE-WX</v>
      </c>
      <c r="P3" s="717" t="str" cm="1">
        <f t="array" ref="P3">INDEX(P5:P7,$A$4)</f>
        <v>IE-WW</v>
      </c>
      <c r="Q3" s="717" t="str" cm="1">
        <f t="array" ref="Q3">INDEX(Q5:Q7,$A$4)</f>
        <v>IE-CE</v>
      </c>
      <c r="R3" s="717" t="str" cm="1">
        <f t="array" ref="R3">INDEX(R5:R7,$A$4)</f>
        <v>IE-CO</v>
      </c>
      <c r="S3" s="717" t="str" cm="1">
        <f t="array" ref="S3">INDEX(S5:S7,$A$4)</f>
        <v>IE-KY</v>
      </c>
      <c r="T3" s="717" t="str" cm="1">
        <f t="array" ref="T3">INDEX(T5:T7,$A$4)</f>
        <v>IE-LK</v>
      </c>
      <c r="U3" s="717" t="str" cm="1">
        <f t="array" ref="U3">INDEX(U5:U7,$A$4)</f>
        <v>IE-TA</v>
      </c>
      <c r="V3" s="717" t="str" cm="1">
        <f t="array" ref="V3">INDEX(V5:V7,$A$4)</f>
        <v>IE-WD</v>
      </c>
      <c r="W3" s="717" t="str" cm="1">
        <f t="array" ref="W3">INDEX(W5:W7,$A$4)</f>
        <v>IE-G</v>
      </c>
      <c r="X3" s="717" t="str" cm="1">
        <f t="array" ref="X3">INDEX(X5:X7,$A$4)</f>
        <v>IE-LM</v>
      </c>
      <c r="Y3" s="717" t="str" cm="1">
        <f t="array" ref="Y3">INDEX(Y5:Y7,$A$4)</f>
        <v>IE-MO</v>
      </c>
      <c r="Z3" s="717" t="str" cm="1">
        <f t="array" ref="Z3">INDEX(Z5:Z7,$A$4)</f>
        <v>IE-RN</v>
      </c>
      <c r="AA3" s="717" t="str" cm="1">
        <f t="array" ref="AA3">INDEX(AA5:AA7,$A$4)</f>
        <v>IE-SO</v>
      </c>
      <c r="AB3" s="717" t="str" cm="1">
        <f t="array" ref="AB3">INDEX(AB5:AB7,$A$4)</f>
        <v>IE-CN</v>
      </c>
      <c r="AC3" s="717" t="str" cm="1">
        <f t="array" ref="AC3">INDEX(AC5:AC7,$A$4)</f>
        <v>IE-DL</v>
      </c>
      <c r="AD3" s="717" t="str" cm="1">
        <f t="array" ref="AD3">INDEX(AD5:AD7,$A$4)</f>
        <v>IE-MN</v>
      </c>
    </row>
    <row r="4" spans="1:30">
      <c r="A4" s="714">
        <v>1</v>
      </c>
    </row>
    <row r="5" spans="1:30">
      <c r="A5" s="714" t="s">
        <v>980</v>
      </c>
      <c r="C5" s="716" t="s">
        <v>979</v>
      </c>
      <c r="D5" s="132" t="s">
        <v>399</v>
      </c>
      <c r="E5" s="717" t="str">
        <f>Regions!A11</f>
        <v>IE-CW</v>
      </c>
      <c r="F5" s="717" t="str">
        <f>Regions!A16</f>
        <v>IE-D</v>
      </c>
      <c r="G5" s="717" t="str">
        <f>Regions!A19</f>
        <v>IE-KE</v>
      </c>
      <c r="H5" s="717" t="str">
        <f>Regions!A20</f>
        <v>IE-KK</v>
      </c>
      <c r="I5" s="717" t="str">
        <f>Regions!A21</f>
        <v>IE-LS</v>
      </c>
      <c r="J5" s="717" t="str">
        <f>Regions!A24</f>
        <v>IE-LD</v>
      </c>
      <c r="K5" s="717" t="str">
        <f>Regions!A25</f>
        <v>IE-LH</v>
      </c>
      <c r="L5" s="717" t="str">
        <f>Regions!A27</f>
        <v>IE-MH</v>
      </c>
      <c r="M5" s="717" t="str">
        <f>Regions!A29</f>
        <v>IE-OY</v>
      </c>
      <c r="N5" s="717" t="str">
        <f>Regions!A34</f>
        <v>IE-WH</v>
      </c>
      <c r="O5" s="717" t="str">
        <f>Regions!A35</f>
        <v>IE-WX</v>
      </c>
      <c r="P5" s="717" t="str">
        <f>Regions!A36</f>
        <v>IE-WW</v>
      </c>
      <c r="Q5" s="717" t="str">
        <f>Regions!A13</f>
        <v>IE-CE</v>
      </c>
      <c r="R5" s="717" t="str">
        <f>Regions!A14</f>
        <v>IE-CO</v>
      </c>
      <c r="S5" s="717" t="str">
        <f>Regions!A18</f>
        <v>IE-KY</v>
      </c>
      <c r="T5" s="717" t="str">
        <f>Regions!A23</f>
        <v>IE-LK</v>
      </c>
      <c r="U5" s="717" t="str">
        <f>Regions!A32</f>
        <v>IE-TA</v>
      </c>
      <c r="V5" s="717" t="str">
        <f>Regions!A33</f>
        <v>IE-WD</v>
      </c>
      <c r="W5" s="717" t="str">
        <f>Regions!A17</f>
        <v>IE-G</v>
      </c>
      <c r="X5" s="717" t="str">
        <f>Regions!A22</f>
        <v>IE-LM</v>
      </c>
      <c r="Y5" s="717" t="str">
        <f>Regions!A26</f>
        <v>IE-MO</v>
      </c>
      <c r="Z5" s="717" t="str">
        <f>Regions!A30</f>
        <v>IE-RN</v>
      </c>
      <c r="AA5" s="717" t="str">
        <f>Regions!A31</f>
        <v>IE-SO</v>
      </c>
      <c r="AB5" s="717" t="str">
        <f>Regions!A12</f>
        <v>IE-CN</v>
      </c>
      <c r="AC5" s="717" t="str">
        <f>Regions!A15</f>
        <v>IE-DL</v>
      </c>
      <c r="AD5" s="717" t="str">
        <f>Regions!A28</f>
        <v>IE-MN</v>
      </c>
    </row>
    <row r="6" spans="1:30">
      <c r="A6" s="714" t="s">
        <v>911</v>
      </c>
      <c r="C6" s="715" t="str">
        <f>C5</f>
        <v>IE</v>
      </c>
      <c r="D6" s="715" t="str">
        <f>"*"&amp;D5</f>
        <v>*National</v>
      </c>
      <c r="E6" s="715" t="str">
        <f t="shared" ref="E6:AD6" si="0">"*"&amp;E5</f>
        <v>*IE-CW</v>
      </c>
      <c r="F6" s="715" t="str">
        <f t="shared" si="0"/>
        <v>*IE-D</v>
      </c>
      <c r="G6" s="715" t="str">
        <f t="shared" si="0"/>
        <v>*IE-KE</v>
      </c>
      <c r="H6" s="715" t="str">
        <f t="shared" si="0"/>
        <v>*IE-KK</v>
      </c>
      <c r="I6" s="715" t="str">
        <f t="shared" si="0"/>
        <v>*IE-LS</v>
      </c>
      <c r="J6" s="715" t="str">
        <f t="shared" si="0"/>
        <v>*IE-LD</v>
      </c>
      <c r="K6" s="715" t="str">
        <f t="shared" si="0"/>
        <v>*IE-LH</v>
      </c>
      <c r="L6" s="715" t="str">
        <f t="shared" si="0"/>
        <v>*IE-MH</v>
      </c>
      <c r="M6" s="715" t="str">
        <f t="shared" si="0"/>
        <v>*IE-OY</v>
      </c>
      <c r="N6" s="715" t="str">
        <f t="shared" si="0"/>
        <v>*IE-WH</v>
      </c>
      <c r="O6" s="715" t="str">
        <f t="shared" si="0"/>
        <v>*IE-WX</v>
      </c>
      <c r="P6" s="715" t="str">
        <f t="shared" si="0"/>
        <v>*IE-WW</v>
      </c>
      <c r="Q6" s="715" t="str">
        <f t="shared" si="0"/>
        <v>*IE-CE</v>
      </c>
      <c r="R6" s="715" t="str">
        <f t="shared" si="0"/>
        <v>*IE-CO</v>
      </c>
      <c r="S6" s="715" t="str">
        <f t="shared" si="0"/>
        <v>*IE-KY</v>
      </c>
      <c r="T6" s="715" t="str">
        <f t="shared" si="0"/>
        <v>*IE-LK</v>
      </c>
      <c r="U6" s="715" t="str">
        <f t="shared" si="0"/>
        <v>*IE-TA</v>
      </c>
      <c r="V6" s="715" t="str">
        <f t="shared" si="0"/>
        <v>*IE-WD</v>
      </c>
      <c r="W6" s="715" t="str">
        <f t="shared" si="0"/>
        <v>*IE-G</v>
      </c>
      <c r="X6" s="715" t="str">
        <f t="shared" si="0"/>
        <v>*IE-LM</v>
      </c>
      <c r="Y6" s="715" t="str">
        <f t="shared" si="0"/>
        <v>*IE-MO</v>
      </c>
      <c r="Z6" s="715" t="str">
        <f t="shared" si="0"/>
        <v>*IE-RN</v>
      </c>
      <c r="AA6" s="715" t="str">
        <f t="shared" si="0"/>
        <v>*IE-SO</v>
      </c>
      <c r="AB6" s="715" t="str">
        <f t="shared" si="0"/>
        <v>*IE-CN</v>
      </c>
      <c r="AC6" s="715" t="str">
        <f t="shared" si="0"/>
        <v>*IE-DL</v>
      </c>
      <c r="AD6" s="715" t="str">
        <f t="shared" si="0"/>
        <v>*IE-MN</v>
      </c>
    </row>
    <row r="7" spans="1:30">
      <c r="A7" s="714" t="s">
        <v>912</v>
      </c>
      <c r="C7" s="715" t="str">
        <f>"*"&amp;C5</f>
        <v>*IE</v>
      </c>
      <c r="D7" s="715" t="str">
        <f>D5</f>
        <v>National</v>
      </c>
      <c r="E7" s="715" t="str">
        <f t="shared" ref="E7:AD7" si="1">E5</f>
        <v>IE-CW</v>
      </c>
      <c r="F7" s="715" t="str">
        <f t="shared" si="1"/>
        <v>IE-D</v>
      </c>
      <c r="G7" s="715" t="str">
        <f t="shared" si="1"/>
        <v>IE-KE</v>
      </c>
      <c r="H7" s="715" t="str">
        <f t="shared" si="1"/>
        <v>IE-KK</v>
      </c>
      <c r="I7" s="715" t="str">
        <f t="shared" si="1"/>
        <v>IE-LS</v>
      </c>
      <c r="J7" s="715" t="str">
        <f t="shared" si="1"/>
        <v>IE-LD</v>
      </c>
      <c r="K7" s="715" t="str">
        <f t="shared" si="1"/>
        <v>IE-LH</v>
      </c>
      <c r="L7" s="715" t="str">
        <f t="shared" si="1"/>
        <v>IE-MH</v>
      </c>
      <c r="M7" s="715" t="str">
        <f t="shared" si="1"/>
        <v>IE-OY</v>
      </c>
      <c r="N7" s="715" t="str">
        <f t="shared" si="1"/>
        <v>IE-WH</v>
      </c>
      <c r="O7" s="715" t="str">
        <f t="shared" si="1"/>
        <v>IE-WX</v>
      </c>
      <c r="P7" s="715" t="str">
        <f t="shared" si="1"/>
        <v>IE-WW</v>
      </c>
      <c r="Q7" s="715" t="str">
        <f t="shared" si="1"/>
        <v>IE-CE</v>
      </c>
      <c r="R7" s="715" t="str">
        <f t="shared" si="1"/>
        <v>IE-CO</v>
      </c>
      <c r="S7" s="715" t="str">
        <f t="shared" si="1"/>
        <v>IE-KY</v>
      </c>
      <c r="T7" s="715" t="str">
        <f t="shared" si="1"/>
        <v>IE-LK</v>
      </c>
      <c r="U7" s="715" t="str">
        <f t="shared" si="1"/>
        <v>IE-TA</v>
      </c>
      <c r="V7" s="715" t="str">
        <f t="shared" si="1"/>
        <v>IE-WD</v>
      </c>
      <c r="W7" s="715" t="str">
        <f t="shared" si="1"/>
        <v>IE-G</v>
      </c>
      <c r="X7" s="715" t="str">
        <f t="shared" si="1"/>
        <v>IE-LM</v>
      </c>
      <c r="Y7" s="715" t="str">
        <f t="shared" si="1"/>
        <v>IE-MO</v>
      </c>
      <c r="Z7" s="715" t="str">
        <f t="shared" si="1"/>
        <v>IE-RN</v>
      </c>
      <c r="AA7" s="715" t="str">
        <f t="shared" si="1"/>
        <v>IE-SO</v>
      </c>
      <c r="AB7" s="715" t="str">
        <f t="shared" si="1"/>
        <v>IE-CN</v>
      </c>
      <c r="AC7" s="715" t="str">
        <f t="shared" si="1"/>
        <v>IE-DL</v>
      </c>
      <c r="AD7" s="715" t="str">
        <f t="shared" si="1"/>
        <v>IE-MN</v>
      </c>
    </row>
    <row r="10" spans="1:30" ht="15" thickBot="1">
      <c r="A10" s="677" t="s">
        <v>908</v>
      </c>
      <c r="B10" s="677" t="s">
        <v>909</v>
      </c>
    </row>
    <row r="11" spans="1:30">
      <c r="A11" s="676" t="s">
        <v>882</v>
      </c>
      <c r="B11" s="676" t="s">
        <v>372</v>
      </c>
    </row>
    <row r="12" spans="1:30">
      <c r="A12" s="674" t="s">
        <v>883</v>
      </c>
      <c r="B12" s="674" t="s">
        <v>395</v>
      </c>
    </row>
    <row r="13" spans="1:30">
      <c r="A13" s="674" t="s">
        <v>884</v>
      </c>
      <c r="B13" s="674" t="s">
        <v>384</v>
      </c>
    </row>
    <row r="14" spans="1:30">
      <c r="A14" s="674" t="s">
        <v>885</v>
      </c>
      <c r="B14" s="674" t="s">
        <v>385</v>
      </c>
    </row>
    <row r="15" spans="1:30">
      <c r="A15" s="674" t="s">
        <v>886</v>
      </c>
      <c r="B15" s="674" t="s">
        <v>396</v>
      </c>
    </row>
    <row r="16" spans="1:30">
      <c r="A16" s="674" t="s">
        <v>887</v>
      </c>
      <c r="B16" s="674" t="s">
        <v>373</v>
      </c>
    </row>
    <row r="17" spans="1:2">
      <c r="A17" s="674" t="s">
        <v>888</v>
      </c>
      <c r="B17" s="674" t="s">
        <v>390</v>
      </c>
    </row>
    <row r="18" spans="1:2">
      <c r="A18" s="674" t="s">
        <v>889</v>
      </c>
      <c r="B18" s="674" t="s">
        <v>386</v>
      </c>
    </row>
    <row r="19" spans="1:2">
      <c r="A19" s="674" t="s">
        <v>890</v>
      </c>
      <c r="B19" s="674" t="s">
        <v>374</v>
      </c>
    </row>
    <row r="20" spans="1:2">
      <c r="A20" s="674" t="s">
        <v>891</v>
      </c>
      <c r="B20" s="674" t="s">
        <v>375</v>
      </c>
    </row>
    <row r="21" spans="1:2">
      <c r="A21" s="674" t="s">
        <v>892</v>
      </c>
      <c r="B21" s="674" t="s">
        <v>376</v>
      </c>
    </row>
    <row r="22" spans="1:2">
      <c r="A22" s="674" t="s">
        <v>893</v>
      </c>
      <c r="B22" s="674" t="s">
        <v>391</v>
      </c>
    </row>
    <row r="23" spans="1:2">
      <c r="A23" s="674" t="s">
        <v>894</v>
      </c>
      <c r="B23" s="674" t="s">
        <v>387</v>
      </c>
    </row>
    <row r="24" spans="1:2">
      <c r="A24" s="674" t="s">
        <v>895</v>
      </c>
      <c r="B24" s="674" t="s">
        <v>377</v>
      </c>
    </row>
    <row r="25" spans="1:2">
      <c r="A25" s="674" t="s">
        <v>896</v>
      </c>
      <c r="B25" s="674" t="s">
        <v>378</v>
      </c>
    </row>
    <row r="26" spans="1:2">
      <c r="A26" s="674" t="s">
        <v>897</v>
      </c>
      <c r="B26" s="674" t="s">
        <v>392</v>
      </c>
    </row>
    <row r="27" spans="1:2">
      <c r="A27" s="674" t="s">
        <v>898</v>
      </c>
      <c r="B27" s="674" t="s">
        <v>379</v>
      </c>
    </row>
    <row r="28" spans="1:2">
      <c r="A28" s="674" t="s">
        <v>899</v>
      </c>
      <c r="B28" s="674" t="s">
        <v>397</v>
      </c>
    </row>
    <row r="29" spans="1:2">
      <c r="A29" s="674" t="s">
        <v>900</v>
      </c>
      <c r="B29" s="674" t="s">
        <v>380</v>
      </c>
    </row>
    <row r="30" spans="1:2">
      <c r="A30" s="674" t="s">
        <v>901</v>
      </c>
      <c r="B30" s="674" t="s">
        <v>393</v>
      </c>
    </row>
    <row r="31" spans="1:2">
      <c r="A31" s="674" t="s">
        <v>902</v>
      </c>
      <c r="B31" s="674" t="s">
        <v>394</v>
      </c>
    </row>
    <row r="32" spans="1:2">
      <c r="A32" s="674" t="s">
        <v>903</v>
      </c>
      <c r="B32" s="674" t="s">
        <v>388</v>
      </c>
    </row>
    <row r="33" spans="1:2">
      <c r="A33" s="674" t="s">
        <v>904</v>
      </c>
      <c r="B33" s="674" t="s">
        <v>389</v>
      </c>
    </row>
    <row r="34" spans="1:2">
      <c r="A34" s="674" t="s">
        <v>905</v>
      </c>
      <c r="B34" s="674" t="s">
        <v>381</v>
      </c>
    </row>
    <row r="35" spans="1:2">
      <c r="A35" s="674" t="s">
        <v>906</v>
      </c>
      <c r="B35" s="674" t="s">
        <v>382</v>
      </c>
    </row>
    <row r="36" spans="1:2">
      <c r="A36" s="674" t="s">
        <v>907</v>
      </c>
      <c r="B36" s="674" t="s">
        <v>383</v>
      </c>
    </row>
    <row r="37" spans="1:2">
      <c r="A37" s="675" t="s">
        <v>910</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5"/>
      <c r="L2" s="615"/>
      <c r="M2" s="616"/>
      <c r="N2" s="616"/>
      <c r="O2" s="616"/>
      <c r="P2" s="616"/>
      <c r="Q2" s="616"/>
      <c r="R2" s="616"/>
      <c r="S2" s="616"/>
    </row>
    <row r="3" spans="1:19">
      <c r="A3" s="459"/>
      <c r="B3" s="459"/>
      <c r="C3" s="459"/>
      <c r="D3" s="459"/>
      <c r="E3" s="459"/>
      <c r="F3" s="459"/>
      <c r="G3" s="459"/>
      <c r="H3" s="459"/>
      <c r="I3" s="459"/>
      <c r="J3" s="459"/>
      <c r="K3" s="617" t="s">
        <v>61</v>
      </c>
      <c r="L3" s="618" t="s">
        <v>815</v>
      </c>
      <c r="M3" s="617" t="s">
        <v>62</v>
      </c>
      <c r="N3" s="617" t="s">
        <v>63</v>
      </c>
      <c r="O3" s="617" t="s">
        <v>64</v>
      </c>
      <c r="P3" s="617" t="s">
        <v>65</v>
      </c>
      <c r="Q3" s="617" t="s">
        <v>66</v>
      </c>
      <c r="R3" s="617" t="s">
        <v>67</v>
      </c>
      <c r="S3" s="617" t="s">
        <v>68</v>
      </c>
    </row>
    <row r="4" spans="1:19" ht="35.4" customHeight="1" thickBot="1">
      <c r="A4" s="459"/>
      <c r="B4" s="459"/>
      <c r="C4" s="619"/>
      <c r="D4" s="459"/>
      <c r="E4" s="459"/>
      <c r="F4" s="459"/>
      <c r="G4" s="459"/>
      <c r="H4" s="459"/>
      <c r="I4" s="459"/>
      <c r="J4" s="459"/>
      <c r="K4" s="620" t="s">
        <v>468</v>
      </c>
      <c r="L4" s="620" t="s">
        <v>816</v>
      </c>
      <c r="M4" s="620" t="s">
        <v>469</v>
      </c>
      <c r="N4" s="620" t="s">
        <v>470</v>
      </c>
      <c r="O4" s="620" t="s">
        <v>64</v>
      </c>
      <c r="P4" s="620" t="s">
        <v>817</v>
      </c>
      <c r="Q4" s="620" t="s">
        <v>472</v>
      </c>
      <c r="R4" s="620" t="s">
        <v>473</v>
      </c>
      <c r="S4" s="620" t="s">
        <v>474</v>
      </c>
    </row>
    <row r="5" spans="1:19">
      <c r="A5" s="459"/>
      <c r="B5" s="459"/>
      <c r="C5" s="459"/>
      <c r="D5" s="459"/>
      <c r="E5" s="459"/>
      <c r="F5" s="459"/>
      <c r="G5" s="459"/>
      <c r="H5" s="459"/>
      <c r="I5" s="459"/>
      <c r="J5" s="459"/>
      <c r="K5" s="616" t="s">
        <v>85</v>
      </c>
      <c r="L5" s="26"/>
      <c r="M5" s="616" t="s">
        <v>859</v>
      </c>
      <c r="N5" s="616" t="str">
        <f>Commodities!C6</f>
        <v>Walking (TRA)</v>
      </c>
      <c r="O5" s="616" t="s">
        <v>88</v>
      </c>
      <c r="P5" s="616"/>
      <c r="Q5" s="616"/>
      <c r="R5" s="616"/>
      <c r="S5" s="616"/>
    </row>
    <row r="6" spans="1:19" s="459" customFormat="1">
      <c r="K6" s="616"/>
      <c r="L6" s="26"/>
      <c r="M6" s="616" t="s">
        <v>860</v>
      </c>
      <c r="N6" s="616" t="str">
        <f>Commodities!C7</f>
        <v>Cycling (TRA)</v>
      </c>
      <c r="O6" s="616" t="s">
        <v>88</v>
      </c>
      <c r="P6" s="616"/>
      <c r="Q6" s="616"/>
      <c r="R6" s="616"/>
      <c r="S6" s="616"/>
    </row>
    <row r="7" spans="1:19" s="459" customFormat="1">
      <c r="K7" s="616"/>
      <c r="L7" s="26"/>
      <c r="M7" s="616" t="s">
        <v>987</v>
      </c>
      <c r="N7" s="616" t="str">
        <f>Commodities!C8</f>
        <v>Gasoline (TRA)</v>
      </c>
      <c r="O7" s="616" t="s">
        <v>88</v>
      </c>
      <c r="P7" s="616"/>
      <c r="Q7" s="616"/>
      <c r="R7" s="616"/>
      <c r="S7" s="616"/>
    </row>
    <row r="8" spans="1:19" s="459" customFormat="1">
      <c r="K8" s="616"/>
      <c r="L8" s="26"/>
      <c r="M8" s="616" t="s">
        <v>988</v>
      </c>
      <c r="N8" s="616" t="str">
        <f>Commodities!C9</f>
        <v>Diesel (TRA)</v>
      </c>
      <c r="O8" s="616" t="s">
        <v>88</v>
      </c>
      <c r="P8" s="616"/>
      <c r="Q8" s="616"/>
      <c r="R8" s="616"/>
      <c r="S8" s="616"/>
    </row>
    <row r="9" spans="1:19" s="459" customFormat="1">
      <c r="K9" s="616"/>
      <c r="L9" s="26"/>
      <c r="M9" s="616" t="s">
        <v>989</v>
      </c>
      <c r="N9" s="616" t="str">
        <f>Commodities!C10</f>
        <v>BioEthanol (TRA)</v>
      </c>
      <c r="O9" s="616" t="s">
        <v>88</v>
      </c>
      <c r="P9" s="616"/>
      <c r="Q9" s="616"/>
      <c r="R9" s="616"/>
      <c r="S9" s="616"/>
    </row>
    <row r="10" spans="1:19" s="459" customFormat="1">
      <c r="K10" s="616"/>
      <c r="L10" s="26"/>
      <c r="M10" s="616" t="s">
        <v>990</v>
      </c>
      <c r="N10" s="616" t="str">
        <f>Commodities!C11</f>
        <v>BioDiesel (TRA)</v>
      </c>
      <c r="O10" s="616" t="s">
        <v>88</v>
      </c>
      <c r="P10" s="616"/>
      <c r="Q10" s="616"/>
      <c r="R10" s="616"/>
      <c r="S10" s="616"/>
    </row>
    <row r="11" spans="1:19" s="459" customFormat="1">
      <c r="K11" s="616"/>
      <c r="L11" s="26"/>
      <c r="M11" s="616" t="s">
        <v>476</v>
      </c>
      <c r="N11" s="616" t="str">
        <f>Commodities!C12</f>
        <v>CNG (TRA)</v>
      </c>
      <c r="O11" s="616" t="s">
        <v>88</v>
      </c>
      <c r="P11" s="616"/>
      <c r="Q11" s="616"/>
      <c r="R11" s="616"/>
      <c r="S11" s="616"/>
    </row>
    <row r="12" spans="1:19" s="459" customFormat="1">
      <c r="K12" s="616"/>
      <c r="L12" s="26"/>
      <c r="M12" s="616" t="s">
        <v>861</v>
      </c>
      <c r="N12" s="616" t="str">
        <f>Commodities!C13</f>
        <v>BioCNG (TRA)</v>
      </c>
      <c r="O12" s="616" t="s">
        <v>88</v>
      </c>
      <c r="P12" s="616"/>
      <c r="Q12" s="616"/>
      <c r="R12" s="616"/>
      <c r="S12" s="616"/>
    </row>
    <row r="13" spans="1:19" s="459" customFormat="1">
      <c r="M13" s="616" t="s">
        <v>991</v>
      </c>
      <c r="N13" s="616" t="str">
        <f>Commodities!C15</f>
        <v>LNG (TRA)</v>
      </c>
      <c r="O13" s="616" t="s">
        <v>88</v>
      </c>
    </row>
    <row r="14" spans="1:19" s="459" customFormat="1">
      <c r="K14" s="616"/>
      <c r="L14" s="26"/>
      <c r="M14" s="616" t="s">
        <v>862</v>
      </c>
      <c r="N14" s="616" t="str">
        <f>Commodities!C16</f>
        <v>Hydrogen (TRA)</v>
      </c>
      <c r="O14" s="616" t="s">
        <v>88</v>
      </c>
    </row>
    <row r="15" spans="1:19" s="459" customFormat="1">
      <c r="K15" s="647"/>
      <c r="L15" s="647"/>
      <c r="M15" s="647" t="s">
        <v>992</v>
      </c>
      <c r="N15" s="647" t="str">
        <f>Commodities!C17</f>
        <v>Kerosene (TRA)</v>
      </c>
      <c r="O15" s="647" t="s">
        <v>88</v>
      </c>
      <c r="P15" s="647"/>
      <c r="Q15" s="647"/>
      <c r="R15" s="647"/>
      <c r="S15" s="647"/>
    </row>
    <row r="16" spans="1:19" s="459" customFormat="1">
      <c r="K16" s="659"/>
      <c r="L16" s="659"/>
      <c r="M16" s="659" t="s">
        <v>993</v>
      </c>
      <c r="N16" s="659" t="s">
        <v>107</v>
      </c>
      <c r="O16" s="659" t="s">
        <v>88</v>
      </c>
      <c r="P16" s="659"/>
      <c r="Q16" s="659" t="s">
        <v>90</v>
      </c>
      <c r="R16" s="659"/>
      <c r="S16" s="659" t="s">
        <v>89</v>
      </c>
    </row>
    <row r="17" spans="1:20" s="459" customFormat="1"/>
    <row r="18" spans="1:20">
      <c r="A18" s="459"/>
      <c r="B18" s="459"/>
      <c r="C18" s="459"/>
      <c r="D18" s="459"/>
      <c r="E18" s="459"/>
      <c r="F18" s="459"/>
      <c r="G18" s="459"/>
      <c r="H18" s="459"/>
      <c r="I18" s="459"/>
      <c r="J18" s="459"/>
      <c r="K18" s="619"/>
      <c r="L18" s="459"/>
      <c r="M18" s="619"/>
      <c r="N18" s="619"/>
      <c r="O18" s="619"/>
      <c r="P18" s="619"/>
      <c r="Q18" s="619"/>
      <c r="R18" s="619"/>
      <c r="S18" s="619"/>
    </row>
    <row r="19" spans="1:20">
      <c r="A19" s="459"/>
      <c r="B19" s="459"/>
      <c r="C19" s="459"/>
      <c r="D19" s="459"/>
      <c r="E19" s="459"/>
      <c r="F19" s="621"/>
      <c r="G19" s="459"/>
      <c r="H19" s="621"/>
      <c r="I19" s="459"/>
      <c r="J19" s="459"/>
      <c r="K19" s="615"/>
      <c r="L19" s="615"/>
      <c r="M19" s="26"/>
      <c r="N19" s="26"/>
      <c r="O19" s="26"/>
      <c r="P19" s="26"/>
      <c r="Q19" s="26"/>
      <c r="R19" s="26"/>
      <c r="S19" s="26"/>
    </row>
    <row r="20" spans="1:20">
      <c r="A20" s="459"/>
      <c r="B20" s="622" t="s">
        <v>70</v>
      </c>
      <c r="C20" s="623" t="s">
        <v>77</v>
      </c>
      <c r="D20" s="622" t="s">
        <v>78</v>
      </c>
      <c r="E20" s="622" t="s">
        <v>2</v>
      </c>
      <c r="F20" s="622" t="s">
        <v>65</v>
      </c>
      <c r="G20" s="624" t="s">
        <v>818</v>
      </c>
      <c r="H20" s="624" t="s">
        <v>819</v>
      </c>
      <c r="I20" s="624" t="s">
        <v>820</v>
      </c>
      <c r="J20" s="459"/>
      <c r="K20" s="617" t="s">
        <v>69</v>
      </c>
      <c r="L20" s="618" t="s">
        <v>815</v>
      </c>
      <c r="M20" s="617" t="s">
        <v>70</v>
      </c>
      <c r="N20" s="617" t="s">
        <v>71</v>
      </c>
      <c r="O20" s="617" t="s">
        <v>72</v>
      </c>
      <c r="P20" s="617" t="s">
        <v>73</v>
      </c>
      <c r="Q20" s="617" t="s">
        <v>74</v>
      </c>
      <c r="R20" s="617" t="s">
        <v>75</v>
      </c>
      <c r="S20" s="617" t="s">
        <v>0</v>
      </c>
    </row>
    <row r="21" spans="1:20" ht="24" customHeight="1" thickBot="1">
      <c r="A21" s="459"/>
      <c r="B21" s="625" t="s">
        <v>79</v>
      </c>
      <c r="C21" s="625" t="s">
        <v>81</v>
      </c>
      <c r="D21" s="625" t="s">
        <v>82</v>
      </c>
      <c r="E21" s="625"/>
      <c r="F21" s="625"/>
      <c r="G21" s="625" t="s">
        <v>821</v>
      </c>
      <c r="H21" s="625" t="s">
        <v>822</v>
      </c>
      <c r="I21" s="625" t="s">
        <v>823</v>
      </c>
      <c r="J21" s="459"/>
      <c r="K21" s="620" t="s">
        <v>824</v>
      </c>
      <c r="L21" s="620" t="s">
        <v>816</v>
      </c>
      <c r="M21" s="620" t="s">
        <v>825</v>
      </c>
      <c r="N21" s="620" t="s">
        <v>80</v>
      </c>
      <c r="O21" s="620" t="s">
        <v>826</v>
      </c>
      <c r="P21" s="620" t="s">
        <v>827</v>
      </c>
      <c r="Q21" s="620" t="s">
        <v>828</v>
      </c>
      <c r="R21" s="620" t="s">
        <v>829</v>
      </c>
      <c r="S21" s="620" t="s">
        <v>830</v>
      </c>
    </row>
    <row r="22" spans="1:20" ht="15" thickBot="1">
      <c r="A22" s="459"/>
      <c r="B22" s="625" t="s">
        <v>831</v>
      </c>
      <c r="C22" s="626"/>
      <c r="D22" s="626"/>
      <c r="E22" s="626"/>
      <c r="F22" s="626"/>
      <c r="G22" s="626" t="s">
        <v>88</v>
      </c>
      <c r="H22" s="626" t="s">
        <v>841</v>
      </c>
      <c r="I22" s="626" t="s">
        <v>88</v>
      </c>
      <c r="J22" s="459"/>
      <c r="K22" s="620" t="s">
        <v>27</v>
      </c>
      <c r="L22" s="627"/>
      <c r="M22" s="627"/>
      <c r="N22" s="627"/>
      <c r="O22" s="627"/>
      <c r="P22" s="627"/>
      <c r="Q22" s="627"/>
      <c r="R22" s="627"/>
      <c r="S22" s="627"/>
    </row>
    <row r="23" spans="1:20">
      <c r="A23" s="459"/>
      <c r="B23" s="619" t="s">
        <v>832</v>
      </c>
      <c r="C23" s="619"/>
      <c r="D23" s="619" t="str">
        <f t="shared" ref="D23:D34" si="0">M5</f>
        <v>WLK</v>
      </c>
      <c r="E23" s="619"/>
      <c r="F23" s="619"/>
      <c r="G23" s="619"/>
      <c r="H23" s="619">
        <v>1</v>
      </c>
      <c r="I23" s="619"/>
      <c r="J23" s="459"/>
      <c r="K23" s="616" t="s">
        <v>842</v>
      </c>
      <c r="L23" s="616"/>
      <c r="M23" s="616" t="str">
        <f>B23</f>
        <v>MINWALK</v>
      </c>
      <c r="N23" s="616" t="str">
        <f>Commodities!C6</f>
        <v>Walking (TRA)</v>
      </c>
      <c r="O23" s="616" t="s">
        <v>88</v>
      </c>
      <c r="P23" s="616" t="s">
        <v>871</v>
      </c>
      <c r="Q23" s="616"/>
      <c r="R23" s="616"/>
      <c r="S23" s="616"/>
      <c r="T23" s="616"/>
    </row>
    <row r="24" spans="1:20">
      <c r="A24" s="459"/>
      <c r="B24" s="619" t="s">
        <v>833</v>
      </c>
      <c r="C24" s="619"/>
      <c r="D24" s="619" t="str">
        <f t="shared" si="0"/>
        <v>CYC</v>
      </c>
      <c r="E24" s="619"/>
      <c r="F24" s="619"/>
      <c r="G24" s="619"/>
      <c r="H24" s="619">
        <v>1</v>
      </c>
      <c r="I24" s="619"/>
      <c r="J24" s="459"/>
      <c r="K24" s="616"/>
      <c r="L24" s="616"/>
      <c r="M24" s="616" t="str">
        <f t="shared" ref="M24:M30" si="1">B24</f>
        <v>MINCYCLING</v>
      </c>
      <c r="N24" s="616" t="str">
        <f>Commodities!C7</f>
        <v>Cycling (TRA)</v>
      </c>
      <c r="O24" s="616" t="s">
        <v>88</v>
      </c>
      <c r="P24" s="616" t="s">
        <v>871</v>
      </c>
      <c r="Q24" s="616"/>
      <c r="R24" s="616"/>
      <c r="S24" s="616"/>
      <c r="T24" s="616"/>
    </row>
    <row r="25" spans="1:20">
      <c r="A25" s="459"/>
      <c r="B25" s="619" t="s">
        <v>834</v>
      </c>
      <c r="C25" s="619"/>
      <c r="D25" s="619" t="str">
        <f t="shared" si="0"/>
        <v>OILGSL</v>
      </c>
      <c r="E25" s="619"/>
      <c r="F25" s="619"/>
      <c r="G25" s="619"/>
      <c r="H25" s="619">
        <v>20</v>
      </c>
      <c r="I25" s="619"/>
      <c r="J25" s="459"/>
      <c r="K25" s="616"/>
      <c r="L25" s="616"/>
      <c r="M25" s="616" t="str">
        <f t="shared" si="1"/>
        <v>MINGASOLINE</v>
      </c>
      <c r="N25" s="616" t="str">
        <f>Commodities!C8</f>
        <v>Gasoline (TRA)</v>
      </c>
      <c r="O25" s="616" t="s">
        <v>88</v>
      </c>
      <c r="P25" s="616" t="s">
        <v>871</v>
      </c>
      <c r="Q25" s="616"/>
      <c r="R25" s="616"/>
      <c r="S25" s="616"/>
      <c r="T25" s="616"/>
    </row>
    <row r="26" spans="1:20">
      <c r="A26" s="459"/>
      <c r="B26" s="619" t="s">
        <v>835</v>
      </c>
      <c r="C26" s="619"/>
      <c r="D26" s="619" t="str">
        <f t="shared" si="0"/>
        <v>OILDST</v>
      </c>
      <c r="E26" s="619"/>
      <c r="F26" s="619"/>
      <c r="G26" s="619"/>
      <c r="H26" s="619">
        <v>20</v>
      </c>
      <c r="I26" s="619"/>
      <c r="J26" s="459"/>
      <c r="K26" s="616"/>
      <c r="L26" s="616"/>
      <c r="M26" s="616" t="str">
        <f t="shared" si="1"/>
        <v>MINDIESEL</v>
      </c>
      <c r="N26" s="616" t="str">
        <f>Commodities!C9</f>
        <v>Diesel (TRA)</v>
      </c>
      <c r="O26" s="616" t="s">
        <v>88</v>
      </c>
      <c r="P26" s="616" t="s">
        <v>871</v>
      </c>
      <c r="Q26" s="616"/>
      <c r="R26" s="616"/>
      <c r="S26" s="616"/>
      <c r="T26" s="616"/>
    </row>
    <row r="27" spans="1:20">
      <c r="A27" s="459"/>
      <c r="B27" s="619" t="s">
        <v>836</v>
      </c>
      <c r="C27" s="619"/>
      <c r="D27" s="619" t="str">
        <f t="shared" si="0"/>
        <v>BIOETH</v>
      </c>
      <c r="E27" s="619"/>
      <c r="F27" s="619"/>
      <c r="G27" s="619"/>
      <c r="H27" s="619">
        <v>40</v>
      </c>
      <c r="I27" s="619"/>
      <c r="J27" s="459"/>
      <c r="K27" s="616"/>
      <c r="L27" s="616"/>
      <c r="M27" s="616" t="str">
        <f t="shared" si="1"/>
        <v>MINETHANOL</v>
      </c>
      <c r="N27" s="616" t="str">
        <f>Commodities!C10</f>
        <v>BioEthanol (TRA)</v>
      </c>
      <c r="O27" s="616" t="s">
        <v>88</v>
      </c>
      <c r="P27" s="616" t="s">
        <v>871</v>
      </c>
      <c r="Q27" s="616"/>
      <c r="R27" s="616"/>
      <c r="S27" s="616"/>
      <c r="T27" s="616"/>
    </row>
    <row r="28" spans="1:20">
      <c r="A28" s="459"/>
      <c r="B28" s="619" t="s">
        <v>837</v>
      </c>
      <c r="C28" s="619"/>
      <c r="D28" s="619" t="str">
        <f t="shared" si="0"/>
        <v>BIODST</v>
      </c>
      <c r="E28" s="619"/>
      <c r="F28" s="619"/>
      <c r="G28" s="619"/>
      <c r="H28" s="619">
        <v>40</v>
      </c>
      <c r="I28" s="619"/>
      <c r="J28" s="459"/>
      <c r="K28" s="616"/>
      <c r="L28" s="616"/>
      <c r="M28" s="616" t="str">
        <f t="shared" si="1"/>
        <v>MINBIODIESEL</v>
      </c>
      <c r="N28" s="616" t="str">
        <f>Commodities!C11</f>
        <v>BioDiesel (TRA)</v>
      </c>
      <c r="O28" s="616" t="s">
        <v>88</v>
      </c>
      <c r="P28" s="616" t="s">
        <v>871</v>
      </c>
      <c r="Q28" s="616"/>
      <c r="R28" s="616"/>
      <c r="S28" s="616"/>
      <c r="T28" s="616"/>
    </row>
    <row r="29" spans="1:20">
      <c r="A29" s="459"/>
      <c r="B29" s="619" t="s">
        <v>838</v>
      </c>
      <c r="C29" s="619"/>
      <c r="D29" s="619" t="str">
        <f t="shared" si="0"/>
        <v>CNG</v>
      </c>
      <c r="E29" s="619"/>
      <c r="F29" s="619"/>
      <c r="G29" s="619"/>
      <c r="H29" s="619">
        <v>20</v>
      </c>
      <c r="I29" s="619"/>
      <c r="J29" s="459"/>
      <c r="K29" s="616"/>
      <c r="L29" s="616"/>
      <c r="M29" s="616" t="str">
        <f t="shared" si="1"/>
        <v>MINCNG</v>
      </c>
      <c r="N29" s="616" t="str">
        <f>Commodities!C12</f>
        <v>CNG (TRA)</v>
      </c>
      <c r="O29" s="616" t="s">
        <v>88</v>
      </c>
      <c r="P29" s="616" t="s">
        <v>871</v>
      </c>
      <c r="Q29" s="616"/>
      <c r="R29" s="616"/>
      <c r="S29" s="616"/>
      <c r="T29" s="616"/>
    </row>
    <row r="30" spans="1:20">
      <c r="A30" s="459"/>
      <c r="B30" s="619" t="s">
        <v>839</v>
      </c>
      <c r="C30" s="619"/>
      <c r="D30" s="619" t="str">
        <f t="shared" si="0"/>
        <v>BNG</v>
      </c>
      <c r="E30" s="619"/>
      <c r="F30" s="619"/>
      <c r="G30" s="619"/>
      <c r="H30" s="619">
        <v>40</v>
      </c>
      <c r="I30" s="619"/>
      <c r="J30" s="459"/>
      <c r="K30" s="616"/>
      <c r="L30" s="616"/>
      <c r="M30" s="616" t="str">
        <f t="shared" si="1"/>
        <v>MINBCNG</v>
      </c>
      <c r="N30" s="616" t="str">
        <f>Commodities!C13</f>
        <v>BioCNG (TRA)</v>
      </c>
      <c r="O30" s="616" t="s">
        <v>88</v>
      </c>
      <c r="P30" s="616" t="s">
        <v>871</v>
      </c>
      <c r="Q30" s="616"/>
      <c r="R30" s="616"/>
      <c r="S30" s="616"/>
      <c r="T30" s="616"/>
    </row>
    <row r="31" spans="1:20">
      <c r="A31" s="459"/>
      <c r="B31" s="619" t="s">
        <v>857</v>
      </c>
      <c r="C31" s="619"/>
      <c r="D31" s="619" t="str">
        <f t="shared" si="0"/>
        <v>GASLNG</v>
      </c>
      <c r="E31" s="619"/>
      <c r="F31" s="619"/>
      <c r="G31" s="619"/>
      <c r="H31" s="619">
        <v>80</v>
      </c>
      <c r="I31" s="619"/>
      <c r="J31" s="459"/>
      <c r="K31" s="616"/>
      <c r="L31" s="616"/>
      <c r="M31" s="616" t="str">
        <f>B31</f>
        <v>MINLNG</v>
      </c>
      <c r="N31" s="616" t="str">
        <f>Commodities!C15</f>
        <v>LNG (TRA)</v>
      </c>
      <c r="O31" s="616" t="s">
        <v>88</v>
      </c>
      <c r="P31" s="616" t="s">
        <v>871</v>
      </c>
      <c r="Q31" s="616"/>
      <c r="R31" s="616"/>
      <c r="S31" s="616"/>
      <c r="T31" s="616"/>
    </row>
    <row r="32" spans="1:20">
      <c r="A32" s="459"/>
      <c r="B32" s="619" t="s">
        <v>858</v>
      </c>
      <c r="C32" s="619"/>
      <c r="D32" s="619" t="str">
        <f t="shared" si="0"/>
        <v>H2</v>
      </c>
      <c r="E32" s="619"/>
      <c r="F32" s="619"/>
      <c r="G32" s="619"/>
      <c r="H32" s="619">
        <v>80</v>
      </c>
      <c r="I32" s="619"/>
      <c r="J32" s="459"/>
      <c r="K32" s="616"/>
      <c r="L32" s="616"/>
      <c r="M32" s="616" t="str">
        <f>B32</f>
        <v>MINH2</v>
      </c>
      <c r="N32" s="616" t="str">
        <f>Commodities!C16</f>
        <v>Hydrogen (TRA)</v>
      </c>
      <c r="O32" s="616" t="s">
        <v>88</v>
      </c>
      <c r="P32" s="616" t="s">
        <v>871</v>
      </c>
      <c r="Q32" s="616"/>
      <c r="R32" s="616"/>
      <c r="S32" s="616"/>
      <c r="T32" s="616"/>
    </row>
    <row r="33" spans="1:20">
      <c r="A33" s="459"/>
      <c r="B33" s="648" t="s">
        <v>840</v>
      </c>
      <c r="C33" s="648"/>
      <c r="D33" s="647" t="str">
        <f t="shared" si="0"/>
        <v>OILKER</v>
      </c>
      <c r="E33" s="648"/>
      <c r="F33" s="648"/>
      <c r="G33" s="648"/>
      <c r="H33" s="648">
        <v>20</v>
      </c>
      <c r="I33" s="648"/>
      <c r="J33" s="459"/>
      <c r="K33" s="647"/>
      <c r="L33" s="647"/>
      <c r="M33" s="647" t="str">
        <f>B33</f>
        <v>MINKEROSENE</v>
      </c>
      <c r="N33" s="647" t="str">
        <f>Commodities!C17</f>
        <v>Kerosene (TRA)</v>
      </c>
      <c r="O33" s="647" t="s">
        <v>88</v>
      </c>
      <c r="P33" s="647" t="s">
        <v>871</v>
      </c>
      <c r="Q33" s="647"/>
      <c r="R33" s="647"/>
      <c r="S33" s="647"/>
      <c r="T33" s="616"/>
    </row>
    <row r="34" spans="1:20">
      <c r="A34" s="459"/>
      <c r="B34" s="659" t="s">
        <v>873</v>
      </c>
      <c r="C34" s="661"/>
      <c r="D34" s="647" t="str">
        <f t="shared" si="0"/>
        <v>ELCC</v>
      </c>
      <c r="E34" s="661"/>
      <c r="F34" s="661"/>
      <c r="G34" s="661"/>
      <c r="H34" s="661">
        <v>40</v>
      </c>
      <c r="I34" s="661"/>
      <c r="J34" s="459"/>
      <c r="K34" s="659" t="s">
        <v>872</v>
      </c>
      <c r="L34" s="659"/>
      <c r="M34" s="659" t="str">
        <f>B34</f>
        <v>IMPELC</v>
      </c>
      <c r="N34" s="659" t="s">
        <v>874</v>
      </c>
      <c r="O34" s="659" t="s">
        <v>88</v>
      </c>
      <c r="P34" s="659"/>
      <c r="Q34" s="660" t="s">
        <v>90</v>
      </c>
      <c r="R34" s="659"/>
      <c r="S34" s="659"/>
      <c r="T34" s="616"/>
    </row>
    <row r="35" spans="1:20">
      <c r="A35" s="459"/>
      <c r="B35" s="459"/>
      <c r="C35" s="459"/>
      <c r="D35" s="459"/>
      <c r="E35" s="459"/>
      <c r="F35" s="459"/>
      <c r="G35" s="459"/>
      <c r="H35" s="459"/>
      <c r="I35" s="459"/>
      <c r="J35" s="459"/>
      <c r="K35" s="459"/>
      <c r="L35" s="459"/>
      <c r="M35" s="459"/>
      <c r="N35" s="459"/>
      <c r="O35" s="459"/>
      <c r="P35" s="459"/>
      <c r="Q35" s="459"/>
      <c r="R35" s="459"/>
      <c r="S35" s="459"/>
      <c r="T35" s="616"/>
    </row>
    <row r="36" spans="1:20">
      <c r="A36" s="619"/>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C16" sqref="C16"/>
    </sheetView>
  </sheetViews>
  <sheetFormatPr defaultColWidth="8.88671875" defaultRowHeight="14.4"/>
  <cols>
    <col min="1" max="1" width="3.33203125" style="459" customWidth="1"/>
    <col min="2" max="2" width="15.88671875" style="459" bestFit="1" customWidth="1"/>
    <col min="3" max="3" width="12.1093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8">
      <c r="D2" s="621" t="s">
        <v>76</v>
      </c>
      <c r="E2" s="621"/>
      <c r="G2" s="621"/>
      <c r="J2" s="615" t="s">
        <v>60</v>
      </c>
      <c r="K2" s="615"/>
      <c r="L2" s="26"/>
      <c r="M2" s="26"/>
      <c r="N2" s="26"/>
      <c r="O2" s="26"/>
      <c r="P2" s="26"/>
      <c r="Q2" s="26"/>
      <c r="R2" s="26"/>
    </row>
    <row r="3" spans="2:18">
      <c r="B3" s="622" t="s">
        <v>70</v>
      </c>
      <c r="C3" s="623" t="s">
        <v>77</v>
      </c>
      <c r="D3" s="622" t="s">
        <v>78</v>
      </c>
      <c r="E3" s="649" t="s">
        <v>864</v>
      </c>
      <c r="F3" s="624" t="s">
        <v>875</v>
      </c>
      <c r="G3" s="624" t="s">
        <v>819</v>
      </c>
      <c r="H3" s="624" t="s">
        <v>820</v>
      </c>
      <c r="J3" s="617" t="s">
        <v>69</v>
      </c>
      <c r="K3" s="618" t="s">
        <v>815</v>
      </c>
      <c r="L3" s="617" t="s">
        <v>70</v>
      </c>
      <c r="M3" s="617" t="s">
        <v>71</v>
      </c>
      <c r="N3" s="617" t="s">
        <v>72</v>
      </c>
      <c r="O3" s="617" t="s">
        <v>73</v>
      </c>
      <c r="P3" s="617" t="s">
        <v>74</v>
      </c>
      <c r="Q3" s="617" t="s">
        <v>75</v>
      </c>
      <c r="R3" s="617" t="s">
        <v>0</v>
      </c>
    </row>
    <row r="4" spans="2:18" ht="32.4" thickBot="1">
      <c r="B4" s="625" t="s">
        <v>79</v>
      </c>
      <c r="C4" s="625" t="s">
        <v>81</v>
      </c>
      <c r="D4" s="625" t="s">
        <v>82</v>
      </c>
      <c r="E4" s="625" t="s">
        <v>806</v>
      </c>
      <c r="F4" s="625" t="s">
        <v>876</v>
      </c>
      <c r="G4" s="625" t="s">
        <v>822</v>
      </c>
      <c r="H4" s="625" t="s">
        <v>823</v>
      </c>
      <c r="J4" s="620" t="s">
        <v>824</v>
      </c>
      <c r="K4" s="620" t="s">
        <v>816</v>
      </c>
      <c r="L4" s="620" t="s">
        <v>825</v>
      </c>
      <c r="M4" s="620" t="s">
        <v>80</v>
      </c>
      <c r="N4" s="620" t="s">
        <v>826</v>
      </c>
      <c r="O4" s="620" t="s">
        <v>827</v>
      </c>
      <c r="P4" s="620" t="s">
        <v>828</v>
      </c>
      <c r="Q4" s="620" t="s">
        <v>829</v>
      </c>
      <c r="R4" s="620" t="s">
        <v>830</v>
      </c>
    </row>
    <row r="5" spans="2:18" ht="15" thickBot="1">
      <c r="B5" s="625" t="s">
        <v>831</v>
      </c>
      <c r="C5" s="626"/>
      <c r="D5" s="626"/>
      <c r="E5" s="626"/>
      <c r="F5" s="626" t="s">
        <v>877</v>
      </c>
      <c r="G5" s="626" t="s">
        <v>841</v>
      </c>
      <c r="H5" s="626" t="s">
        <v>88</v>
      </c>
      <c r="J5" s="620" t="s">
        <v>27</v>
      </c>
      <c r="K5" s="627"/>
      <c r="L5" s="627"/>
      <c r="M5" s="627"/>
      <c r="N5" s="627"/>
      <c r="O5" s="627"/>
      <c r="P5" s="627"/>
      <c r="Q5" s="627"/>
      <c r="R5" s="627"/>
    </row>
    <row r="6" spans="2:18" s="662" customFormat="1" ht="13.2">
      <c r="B6" s="616" t="str">
        <f>"FT-TRA"&amp;C6</f>
        <v>FT-TRAWLK</v>
      </c>
      <c r="C6" s="619" t="str">
        <f>Primary!D23</f>
        <v>WLK</v>
      </c>
      <c r="D6" s="616" t="str">
        <f>Commodities!B6</f>
        <v>TRAWLK</v>
      </c>
      <c r="E6" s="662">
        <v>1</v>
      </c>
      <c r="F6" s="662">
        <v>50</v>
      </c>
      <c r="G6" s="662">
        <v>0.01</v>
      </c>
      <c r="J6" s="616" t="s">
        <v>863</v>
      </c>
      <c r="K6" s="664"/>
      <c r="L6" s="664" t="str">
        <f t="shared" ref="L6:L17" si="0">B6</f>
        <v>FT-TRAWLK</v>
      </c>
      <c r="M6" s="665" t="str">
        <f>"TRA "&amp;Commodities!C6</f>
        <v>TRA Walking (TRA)</v>
      </c>
      <c r="N6" s="664" t="s">
        <v>88</v>
      </c>
      <c r="O6" s="664" t="s">
        <v>871</v>
      </c>
      <c r="P6" s="664"/>
      <c r="Q6" s="664"/>
      <c r="R6" s="664"/>
    </row>
    <row r="7" spans="2:18" s="662" customFormat="1" ht="13.2">
      <c r="B7" s="616" t="str">
        <f t="shared" ref="B7" si="1">"FT-TRA"&amp;C7</f>
        <v>FT-TRACYC</v>
      </c>
      <c r="C7" s="619" t="str">
        <f>Primary!D24</f>
        <v>CYC</v>
      </c>
      <c r="D7" s="616" t="str">
        <f>Commodities!B7</f>
        <v>TRACYC</v>
      </c>
      <c r="E7" s="662">
        <v>1</v>
      </c>
      <c r="F7" s="662">
        <v>50</v>
      </c>
      <c r="G7" s="662">
        <v>0.01</v>
      </c>
      <c r="J7" s="616"/>
      <c r="K7" s="664"/>
      <c r="L7" s="664" t="str">
        <f t="shared" si="0"/>
        <v>FT-TRACYC</v>
      </c>
      <c r="M7" s="665" t="str">
        <f>"TRA "&amp;Commodities!C7</f>
        <v>TRA Cycling (TRA)</v>
      </c>
      <c r="N7" s="664" t="s">
        <v>88</v>
      </c>
      <c r="O7" s="664" t="s">
        <v>871</v>
      </c>
      <c r="P7" s="664"/>
      <c r="Q7" s="664"/>
      <c r="R7" s="664"/>
    </row>
    <row r="8" spans="2:18" s="662" customFormat="1" ht="13.2">
      <c r="B8" s="616" t="str">
        <f>"FT-TRA"&amp;RIGHT(C8,3)</f>
        <v>FT-TRAGSL</v>
      </c>
      <c r="C8" s="619" t="str">
        <f>Primary!D25</f>
        <v>OILGSL</v>
      </c>
      <c r="D8" s="616" t="str">
        <f>Commodities!B8</f>
        <v>TRAGSL</v>
      </c>
      <c r="E8" s="662">
        <v>1</v>
      </c>
      <c r="F8" s="662">
        <v>50</v>
      </c>
      <c r="G8" s="662">
        <v>0.01</v>
      </c>
      <c r="J8" s="616"/>
      <c r="K8" s="664"/>
      <c r="L8" s="664" t="str">
        <f t="shared" si="0"/>
        <v>FT-TRAGSL</v>
      </c>
      <c r="M8" s="665" t="str">
        <f>"TRA "&amp;Commodities!C8</f>
        <v>TRA Gasoline (TRA)</v>
      </c>
      <c r="N8" s="664" t="s">
        <v>88</v>
      </c>
      <c r="O8" s="664" t="s">
        <v>871</v>
      </c>
      <c r="P8" s="664"/>
      <c r="Q8" s="664"/>
      <c r="R8" s="664"/>
    </row>
    <row r="9" spans="2:18" s="662" customFormat="1" ht="13.2">
      <c r="B9" s="616" t="str">
        <f>"FT-TRA"&amp;RIGHT(C9,3)</f>
        <v>FT-TRADST</v>
      </c>
      <c r="C9" s="619" t="str">
        <f>Primary!D26</f>
        <v>OILDST</v>
      </c>
      <c r="D9" s="616" t="str">
        <f>Commodities!B9</f>
        <v>TRADST</v>
      </c>
      <c r="E9" s="662">
        <v>1</v>
      </c>
      <c r="F9" s="662">
        <v>50</v>
      </c>
      <c r="G9" s="662">
        <v>0.01</v>
      </c>
      <c r="J9" s="616"/>
      <c r="L9" s="664" t="str">
        <f t="shared" si="0"/>
        <v>FT-TRADST</v>
      </c>
      <c r="M9" s="665" t="str">
        <f>"TRA "&amp;Commodities!C9</f>
        <v>TRA Diesel (TRA)</v>
      </c>
      <c r="N9" s="664" t="s">
        <v>88</v>
      </c>
      <c r="O9" s="664" t="s">
        <v>871</v>
      </c>
    </row>
    <row r="10" spans="2:18" s="662" customFormat="1" ht="13.2">
      <c r="B10" s="616" t="str">
        <f>"FT-"&amp;D10</f>
        <v>FT-TRAETH</v>
      </c>
      <c r="C10" s="619" t="s">
        <v>1115</v>
      </c>
      <c r="D10" s="616" t="str">
        <f>Commodities!B10</f>
        <v>TRAETH</v>
      </c>
      <c r="E10" s="662">
        <v>1</v>
      </c>
      <c r="F10" s="662">
        <v>50</v>
      </c>
      <c r="G10" s="662">
        <v>0.01</v>
      </c>
      <c r="J10" s="616"/>
      <c r="L10" s="664" t="str">
        <f t="shared" si="0"/>
        <v>FT-TRAETH</v>
      </c>
      <c r="M10" s="665" t="str">
        <f>"TRA "&amp;Commodities!C10</f>
        <v>TRA BioEthanol (TRA)</v>
      </c>
      <c r="N10" s="664" t="s">
        <v>88</v>
      </c>
      <c r="O10" s="664" t="s">
        <v>871</v>
      </c>
    </row>
    <row r="11" spans="2:18" s="662" customFormat="1" ht="13.2">
      <c r="B11" s="616" t="str">
        <f>"FT-"&amp;D11</f>
        <v>FT-TRABDL</v>
      </c>
      <c r="C11" s="619" t="s">
        <v>1116</v>
      </c>
      <c r="D11" s="616" t="str">
        <f>Commodities!B11</f>
        <v>TRABDL</v>
      </c>
      <c r="E11" s="662">
        <v>1</v>
      </c>
      <c r="F11" s="662">
        <v>50</v>
      </c>
      <c r="G11" s="662">
        <v>0.01</v>
      </c>
      <c r="J11" s="616"/>
      <c r="L11" s="664" t="str">
        <f t="shared" si="0"/>
        <v>FT-TRABDL</v>
      </c>
      <c r="M11" s="665" t="str">
        <f>"TRA "&amp;Commodities!C11</f>
        <v>TRA BioDiesel (TRA)</v>
      </c>
      <c r="N11" s="664" t="s">
        <v>88</v>
      </c>
      <c r="O11" s="664" t="s">
        <v>871</v>
      </c>
    </row>
    <row r="12" spans="2:18" s="662" customFormat="1" ht="13.2">
      <c r="B12" s="616" t="str">
        <f>"FT-"&amp;D12</f>
        <v>FT-TRACNG</v>
      </c>
      <c r="C12" s="619" t="s">
        <v>1113</v>
      </c>
      <c r="D12" s="616" t="str">
        <f>Commodities!B12</f>
        <v>TRACNG</v>
      </c>
      <c r="E12" s="662">
        <v>1</v>
      </c>
      <c r="F12" s="662">
        <v>50</v>
      </c>
      <c r="G12" s="662">
        <v>0.01</v>
      </c>
      <c r="J12" s="616"/>
      <c r="L12" s="664" t="str">
        <f t="shared" si="0"/>
        <v>FT-TRACNG</v>
      </c>
      <c r="M12" s="665" t="str">
        <f>"TRA "&amp;Commodities!C12</f>
        <v>TRA CNG (TRA)</v>
      </c>
      <c r="N12" s="664" t="s">
        <v>88</v>
      </c>
      <c r="O12" s="664" t="s">
        <v>871</v>
      </c>
    </row>
    <row r="13" spans="2:18" s="662" customFormat="1" ht="13.2">
      <c r="B13" s="616" t="str">
        <f>"FT-"&amp;D13</f>
        <v>FT-TRABNG</v>
      </c>
      <c r="C13" s="619" t="s">
        <v>1114</v>
      </c>
      <c r="D13" s="616" t="str">
        <f>Commodities!B13</f>
        <v>TRABNG</v>
      </c>
      <c r="E13" s="662">
        <v>1</v>
      </c>
      <c r="F13" s="662">
        <v>50</v>
      </c>
      <c r="G13" s="662">
        <v>0.01</v>
      </c>
      <c r="J13" s="616"/>
      <c r="L13" s="664" t="str">
        <f t="shared" si="0"/>
        <v>FT-TRABNG</v>
      </c>
      <c r="M13" s="665" t="str">
        <f>"TRA "&amp;Commodities!C13</f>
        <v>TRA BioCNG (TRA)</v>
      </c>
      <c r="N13" s="664" t="s">
        <v>88</v>
      </c>
      <c r="O13" s="664" t="s">
        <v>871</v>
      </c>
    </row>
    <row r="14" spans="2:18" s="662" customFormat="1" ht="13.2">
      <c r="B14" s="616" t="str">
        <f>"FT-TRA"&amp;LEFT(C14,3)</f>
        <v>FT-TRAELC</v>
      </c>
      <c r="C14" s="662" t="str">
        <f>Primary!D34</f>
        <v>ELCC</v>
      </c>
      <c r="D14" s="662" t="str">
        <f>Commodities!B14</f>
        <v>TRAELC</v>
      </c>
      <c r="E14" s="663">
        <v>1</v>
      </c>
      <c r="F14" s="662">
        <v>50</v>
      </c>
      <c r="G14" s="662">
        <v>0.01</v>
      </c>
      <c r="L14" s="664" t="str">
        <f t="shared" si="0"/>
        <v>FT-TRAELC</v>
      </c>
      <c r="M14" s="665" t="str">
        <f>"TRA "&amp;Commodities!C14</f>
        <v>TRA Electricity (TRA)</v>
      </c>
      <c r="N14" s="664" t="s">
        <v>88</v>
      </c>
      <c r="O14" s="664" t="s">
        <v>871</v>
      </c>
      <c r="P14" s="664" t="s">
        <v>90</v>
      </c>
    </row>
    <row r="15" spans="2:18" s="662" customFormat="1" ht="13.2">
      <c r="B15" s="616" t="str">
        <f>"FT-TRA"&amp;RIGHT(C15,3)</f>
        <v>FT-TRALNG</v>
      </c>
      <c r="C15" s="619" t="str">
        <f>Primary!D31</f>
        <v>GASLNG</v>
      </c>
      <c r="D15" s="616" t="str">
        <f>Commodities!B15</f>
        <v>TRALNG</v>
      </c>
      <c r="E15" s="662">
        <v>1</v>
      </c>
      <c r="F15" s="662">
        <v>50</v>
      </c>
      <c r="G15" s="662">
        <v>0.01</v>
      </c>
      <c r="J15" s="616"/>
      <c r="L15" s="664" t="str">
        <f t="shared" si="0"/>
        <v>FT-TRALNG</v>
      </c>
      <c r="M15" s="665" t="str">
        <f>"TRA "&amp;Commodities!C15</f>
        <v>TRA LNG (TRA)</v>
      </c>
      <c r="N15" s="664" t="s">
        <v>88</v>
      </c>
      <c r="O15" s="664" t="s">
        <v>871</v>
      </c>
    </row>
    <row r="16" spans="2:18" s="662" customFormat="1" ht="13.2">
      <c r="B16" s="616" t="str">
        <f>"FT-TRA"&amp;C16</f>
        <v>FT-TRAH2</v>
      </c>
      <c r="C16" s="619" t="str">
        <f>Primary!D32</f>
        <v>H2</v>
      </c>
      <c r="D16" s="616" t="str">
        <f>Commodities!B16</f>
        <v>TRAHYD</v>
      </c>
      <c r="E16" s="662">
        <v>1</v>
      </c>
      <c r="F16" s="662">
        <v>50</v>
      </c>
      <c r="G16" s="662">
        <v>0.01</v>
      </c>
      <c r="J16" s="616"/>
      <c r="L16" s="664" t="str">
        <f t="shared" si="0"/>
        <v>FT-TRAH2</v>
      </c>
      <c r="M16" s="665" t="str">
        <f>"TRA "&amp;Commodities!C16</f>
        <v>TRA Hydrogen (TRA)</v>
      </c>
      <c r="N16" s="664" t="s">
        <v>88</v>
      </c>
      <c r="O16" s="664" t="s">
        <v>871</v>
      </c>
    </row>
    <row r="17" spans="1:18" s="662" customFormat="1" ht="13.2">
      <c r="B17" s="647" t="str">
        <f>"FT-TRA"&amp;RIGHT(C17,3)</f>
        <v>FT-TRAKER</v>
      </c>
      <c r="C17" s="648" t="str">
        <f>Primary!D33</f>
        <v>OILKER</v>
      </c>
      <c r="D17" s="647" t="str">
        <f>Commodities!B17</f>
        <v>TRAKER</v>
      </c>
      <c r="E17" s="666">
        <v>1</v>
      </c>
      <c r="F17" s="666">
        <v>50</v>
      </c>
      <c r="G17" s="666">
        <v>0.01</v>
      </c>
      <c r="H17" s="666"/>
      <c r="J17" s="647"/>
      <c r="K17" s="666"/>
      <c r="L17" s="667" t="str">
        <f t="shared" si="0"/>
        <v>FT-TRAKER</v>
      </c>
      <c r="M17" s="765" t="str">
        <f>"TRA "&amp;Commodities!C17</f>
        <v>TRA Kerosene (TRA)</v>
      </c>
      <c r="N17" s="667" t="s">
        <v>88</v>
      </c>
      <c r="O17" s="667" t="s">
        <v>871</v>
      </c>
      <c r="P17" s="666"/>
      <c r="Q17" s="666"/>
      <c r="R17" s="666"/>
    </row>
    <row r="18" spans="1:18" s="662" customFormat="1" ht="13.2">
      <c r="A18" s="619"/>
    </row>
    <row r="19" spans="1:18" s="662"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E22" zoomScale="115" zoomScaleNormal="115" workbookViewId="0">
      <selection activeCell="K32" sqref="K32:L38"/>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23" t="s">
        <v>592</v>
      </c>
      <c r="L4" s="823"/>
    </row>
    <row r="5" spans="1:13" ht="29.4" thickBot="1">
      <c r="A5" s="473" t="s">
        <v>468</v>
      </c>
      <c r="B5" s="473" t="s">
        <v>469</v>
      </c>
      <c r="C5" s="473" t="s">
        <v>470</v>
      </c>
      <c r="D5" s="473" t="s">
        <v>64</v>
      </c>
      <c r="E5" s="473" t="s">
        <v>471</v>
      </c>
      <c r="F5" s="473" t="s">
        <v>472</v>
      </c>
      <c r="G5" s="473" t="s">
        <v>473</v>
      </c>
      <c r="H5" s="473" t="s">
        <v>474</v>
      </c>
      <c r="K5" s="41" t="s">
        <v>489</v>
      </c>
      <c r="L5" s="27" t="s">
        <v>108</v>
      </c>
    </row>
    <row r="6" spans="1:13">
      <c r="A6" s="56" t="s">
        <v>85</v>
      </c>
      <c r="B6" s="766" t="s">
        <v>479</v>
      </c>
      <c r="C6" s="766" t="s">
        <v>1016</v>
      </c>
      <c r="D6" s="56" t="s">
        <v>88</v>
      </c>
      <c r="E6" s="56"/>
      <c r="F6" s="56"/>
      <c r="G6" s="56"/>
      <c r="H6" s="56"/>
      <c r="K6" s="427" t="s">
        <v>21</v>
      </c>
      <c r="L6" s="519"/>
    </row>
    <row r="7" spans="1:13" s="24" customFormat="1">
      <c r="A7" s="56"/>
      <c r="B7" s="766" t="s">
        <v>478</v>
      </c>
      <c r="C7" s="766" t="s">
        <v>1017</v>
      </c>
      <c r="D7" s="56" t="s">
        <v>88</v>
      </c>
      <c r="E7" s="56"/>
      <c r="F7" s="56"/>
      <c r="G7" s="56"/>
      <c r="H7" s="56"/>
      <c r="K7" s="768" t="s">
        <v>665</v>
      </c>
      <c r="L7" s="768"/>
      <c r="M7"/>
    </row>
    <row r="8" spans="1:13" s="24" customFormat="1">
      <c r="A8"/>
      <c r="B8" s="766" t="s">
        <v>83</v>
      </c>
      <c r="C8" s="766" t="s">
        <v>1018</v>
      </c>
      <c r="D8" s="56" t="s">
        <v>88</v>
      </c>
      <c r="E8" s="56"/>
      <c r="F8" s="56"/>
      <c r="G8" s="56"/>
      <c r="H8" s="56"/>
      <c r="K8" s="769" t="s">
        <v>1036</v>
      </c>
      <c r="L8" s="769" t="s">
        <v>1037</v>
      </c>
      <c r="M8"/>
    </row>
    <row r="9" spans="1:13" s="93" customFormat="1">
      <c r="A9" s="56"/>
      <c r="B9" s="766" t="s">
        <v>86</v>
      </c>
      <c r="C9" s="766" t="s">
        <v>1019</v>
      </c>
      <c r="D9" s="56" t="s">
        <v>88</v>
      </c>
      <c r="E9" s="56"/>
      <c r="F9" s="56"/>
      <c r="G9" s="56"/>
      <c r="H9" s="56"/>
      <c r="K9" s="769" t="s">
        <v>1038</v>
      </c>
      <c r="L9" s="769" t="s">
        <v>1039</v>
      </c>
    </row>
    <row r="10" spans="1:13">
      <c r="A10" s="56"/>
      <c r="B10" s="766" t="s">
        <v>214</v>
      </c>
      <c r="C10" s="766" t="s">
        <v>1020</v>
      </c>
      <c r="D10" s="56" t="s">
        <v>88</v>
      </c>
      <c r="E10" s="56"/>
      <c r="F10" s="56"/>
      <c r="G10" s="56"/>
      <c r="H10" s="56"/>
      <c r="K10" s="768" t="s">
        <v>537</v>
      </c>
      <c r="L10" s="768"/>
    </row>
    <row r="11" spans="1:13" s="24" customFormat="1">
      <c r="A11" s="56"/>
      <c r="B11" s="766" t="s">
        <v>215</v>
      </c>
      <c r="C11" s="766" t="s">
        <v>1021</v>
      </c>
      <c r="D11" s="56" t="s">
        <v>88</v>
      </c>
      <c r="E11" s="56"/>
      <c r="F11" s="56"/>
      <c r="G11" s="56"/>
      <c r="H11" s="56"/>
      <c r="K11" s="769" t="s">
        <v>1040</v>
      </c>
      <c r="L11" s="769" t="s">
        <v>1041</v>
      </c>
    </row>
    <row r="12" spans="1:13" s="42" customFormat="1">
      <c r="A12" s="56"/>
      <c r="B12" s="766" t="s">
        <v>475</v>
      </c>
      <c r="C12" s="766" t="s">
        <v>1022</v>
      </c>
      <c r="D12" s="56" t="s">
        <v>88</v>
      </c>
      <c r="E12" s="56"/>
      <c r="F12" s="56"/>
      <c r="G12" s="56"/>
      <c r="H12" s="56"/>
      <c r="K12" s="768" t="s">
        <v>321</v>
      </c>
      <c r="L12" s="768"/>
    </row>
    <row r="13" spans="1:13" s="93" customFormat="1">
      <c r="A13" s="56"/>
      <c r="B13" s="766" t="s">
        <v>477</v>
      </c>
      <c r="C13" s="766" t="s">
        <v>1023</v>
      </c>
      <c r="D13" s="56" t="s">
        <v>88</v>
      </c>
      <c r="E13" s="56"/>
      <c r="F13" s="56"/>
      <c r="G13" s="56"/>
      <c r="H13" s="56"/>
      <c r="K13" s="769" t="s">
        <v>1042</v>
      </c>
      <c r="L13" s="769" t="s">
        <v>1043</v>
      </c>
    </row>
    <row r="14" spans="1:13" s="42" customFormat="1">
      <c r="A14" s="636"/>
      <c r="B14" s="766" t="s">
        <v>87</v>
      </c>
      <c r="C14" s="766" t="s">
        <v>1024</v>
      </c>
      <c r="D14" s="636" t="s">
        <v>88</v>
      </c>
      <c r="E14" s="56"/>
      <c r="F14" s="56" t="s">
        <v>90</v>
      </c>
      <c r="G14" s="636"/>
      <c r="H14" s="636" t="s">
        <v>89</v>
      </c>
      <c r="K14" s="769" t="s">
        <v>1044</v>
      </c>
      <c r="L14" s="769" t="s">
        <v>1045</v>
      </c>
    </row>
    <row r="15" spans="1:13" s="42" customFormat="1">
      <c r="B15" s="766" t="s">
        <v>856</v>
      </c>
      <c r="C15" s="766" t="s">
        <v>1025</v>
      </c>
      <c r="D15" s="636" t="s">
        <v>88</v>
      </c>
      <c r="E15" s="56"/>
      <c r="F15" s="56"/>
      <c r="K15" s="769" t="s">
        <v>1046</v>
      </c>
      <c r="L15" s="769" t="s">
        <v>1047</v>
      </c>
    </row>
    <row r="16" spans="1:13" s="24" customFormat="1">
      <c r="B16" s="766" t="s">
        <v>1026</v>
      </c>
      <c r="C16" s="766" t="s">
        <v>1027</v>
      </c>
      <c r="D16" s="636" t="s">
        <v>88</v>
      </c>
      <c r="E16" s="56"/>
      <c r="F16" s="56"/>
      <c r="K16" s="769" t="s">
        <v>1048</v>
      </c>
      <c r="L16" s="769" t="s">
        <v>1049</v>
      </c>
    </row>
    <row r="17" spans="1:12" s="24" customFormat="1">
      <c r="A17" s="714"/>
      <c r="B17" s="766" t="s">
        <v>94</v>
      </c>
      <c r="C17" s="766" t="s">
        <v>1028</v>
      </c>
      <c r="D17" s="714" t="s">
        <v>88</v>
      </c>
      <c r="E17" s="714"/>
      <c r="F17" s="714"/>
      <c r="G17" s="714"/>
      <c r="H17" s="714"/>
      <c r="K17" s="769" t="s">
        <v>1050</v>
      </c>
      <c r="L17" s="769" t="s">
        <v>1051</v>
      </c>
    </row>
    <row r="18" spans="1:12" s="24" customFormat="1">
      <c r="A18" s="714"/>
      <c r="B18" s="766" t="s">
        <v>1029</v>
      </c>
      <c r="C18" s="766" t="s">
        <v>1030</v>
      </c>
      <c r="D18" s="745" t="s">
        <v>88</v>
      </c>
      <c r="E18" s="714"/>
      <c r="F18" s="714"/>
      <c r="G18" s="714"/>
      <c r="H18" s="714"/>
      <c r="I18" s="56"/>
      <c r="K18" s="769" t="s">
        <v>1052</v>
      </c>
      <c r="L18" s="769" t="s">
        <v>1053</v>
      </c>
    </row>
    <row r="19" spans="1:12" s="93" customFormat="1">
      <c r="B19" s="766" t="s">
        <v>1031</v>
      </c>
      <c r="C19" s="766" t="s">
        <v>1032</v>
      </c>
      <c r="D19" s="745" t="s">
        <v>88</v>
      </c>
      <c r="I19" s="56"/>
      <c r="K19" s="769" t="s">
        <v>1054</v>
      </c>
      <c r="L19" s="769" t="s">
        <v>1055</v>
      </c>
    </row>
    <row r="20" spans="1:12" s="93" customFormat="1">
      <c r="A20" s="1"/>
      <c r="B20" s="766" t="s">
        <v>998</v>
      </c>
      <c r="C20" s="766" t="s">
        <v>1033</v>
      </c>
      <c r="D20" s="1" t="s">
        <v>88</v>
      </c>
      <c r="E20" s="1"/>
      <c r="F20" s="1"/>
      <c r="G20" s="1"/>
      <c r="H20" s="1"/>
      <c r="I20" s="56"/>
      <c r="K20" s="769" t="s">
        <v>1056</v>
      </c>
      <c r="L20" s="769" t="s">
        <v>1057</v>
      </c>
    </row>
    <row r="21" spans="1:12" s="93" customFormat="1">
      <c r="A21" s="458"/>
      <c r="B21" s="767" t="s">
        <v>1034</v>
      </c>
      <c r="C21" s="767" t="s">
        <v>1035</v>
      </c>
      <c r="D21" s="458" t="s">
        <v>88</v>
      </c>
      <c r="E21" s="458"/>
      <c r="F21" s="458"/>
      <c r="G21" s="458"/>
      <c r="H21" s="458"/>
      <c r="I21" s="56"/>
      <c r="K21" s="769" t="s">
        <v>1058</v>
      </c>
      <c r="L21" s="769" t="s">
        <v>1059</v>
      </c>
    </row>
    <row r="22" spans="1:12">
      <c r="A22" s="56" t="s">
        <v>91</v>
      </c>
      <c r="B22" s="56" t="s">
        <v>964</v>
      </c>
      <c r="C22" s="26" t="s">
        <v>969</v>
      </c>
      <c r="D22" s="394" t="s">
        <v>868</v>
      </c>
      <c r="E22" s="56"/>
      <c r="F22" s="56"/>
      <c r="G22" s="56"/>
      <c r="H22" s="56"/>
      <c r="K22" s="768" t="s">
        <v>589</v>
      </c>
      <c r="L22" s="768"/>
    </row>
    <row r="23" spans="1:12" s="42" customFormat="1">
      <c r="A23" s="56"/>
      <c r="B23" s="56" t="s">
        <v>965</v>
      </c>
      <c r="C23" s="26" t="s">
        <v>967</v>
      </c>
      <c r="D23" s="394" t="s">
        <v>868</v>
      </c>
      <c r="E23" s="56"/>
      <c r="F23" s="56"/>
      <c r="G23" s="56"/>
      <c r="H23" s="56"/>
      <c r="K23" s="769" t="s">
        <v>1060</v>
      </c>
      <c r="L23" s="769" t="s">
        <v>1061</v>
      </c>
    </row>
    <row r="24" spans="1:12">
      <c r="A24" s="56"/>
      <c r="B24" s="56" t="s">
        <v>966</v>
      </c>
      <c r="C24" s="26" t="s">
        <v>968</v>
      </c>
      <c r="D24" s="459" t="s">
        <v>868</v>
      </c>
      <c r="E24" s="56"/>
      <c r="F24" s="56"/>
      <c r="G24" s="56"/>
      <c r="H24" s="56"/>
      <c r="K24" s="769" t="s">
        <v>1062</v>
      </c>
      <c r="L24" s="769" t="s">
        <v>1063</v>
      </c>
    </row>
    <row r="25" spans="1:12" s="24" customFormat="1">
      <c r="A25" s="394"/>
      <c r="B25" s="56" t="s">
        <v>711</v>
      </c>
      <c r="C25" s="56" t="s">
        <v>848</v>
      </c>
      <c r="D25" s="459" t="s">
        <v>981</v>
      </c>
      <c r="E25" s="56"/>
      <c r="F25" s="56"/>
      <c r="G25" s="56"/>
      <c r="H25" s="56"/>
      <c r="K25" s="769" t="s">
        <v>1064</v>
      </c>
      <c r="L25" s="769" t="s">
        <v>1065</v>
      </c>
    </row>
    <row r="26" spans="1:12" s="24" customFormat="1">
      <c r="A26" s="394"/>
      <c r="B26" s="56" t="s">
        <v>744</v>
      </c>
      <c r="C26" s="56" t="s">
        <v>847</v>
      </c>
      <c r="D26" s="394" t="s">
        <v>88</v>
      </c>
      <c r="E26" s="56"/>
      <c r="F26" s="56"/>
      <c r="G26" s="56"/>
      <c r="H26" s="56"/>
      <c r="K26" s="768" t="s">
        <v>590</v>
      </c>
      <c r="L26" s="768"/>
    </row>
    <row r="27" spans="1:12" s="24" customFormat="1">
      <c r="A27" s="459"/>
      <c r="B27" s="459" t="s">
        <v>212</v>
      </c>
      <c r="C27" s="459" t="s">
        <v>846</v>
      </c>
      <c r="D27" s="459" t="s">
        <v>88</v>
      </c>
      <c r="E27" s="56"/>
      <c r="F27" s="56"/>
      <c r="G27" s="56"/>
      <c r="H27" s="56"/>
      <c r="K27" s="769" t="s">
        <v>1066</v>
      </c>
      <c r="L27" s="769" t="s">
        <v>1067</v>
      </c>
    </row>
    <row r="28" spans="1:12" s="24" customFormat="1">
      <c r="A28" s="394"/>
      <c r="B28" s="394" t="s">
        <v>213</v>
      </c>
      <c r="C28" s="394" t="s">
        <v>845</v>
      </c>
      <c r="D28" s="394" t="s">
        <v>88</v>
      </c>
      <c r="E28" s="56"/>
      <c r="F28" s="56"/>
      <c r="G28" s="56"/>
      <c r="H28" s="56"/>
      <c r="K28" s="768" t="s">
        <v>24</v>
      </c>
      <c r="L28" s="768"/>
    </row>
    <row r="29" spans="1:12" s="24" customFormat="1">
      <c r="A29" s="394"/>
      <c r="B29" s="394" t="s">
        <v>752</v>
      </c>
      <c r="C29" s="394" t="s">
        <v>844</v>
      </c>
      <c r="D29" s="394" t="s">
        <v>88</v>
      </c>
      <c r="E29" s="56"/>
      <c r="F29" s="56"/>
      <c r="G29" s="56"/>
      <c r="H29" s="56"/>
      <c r="K29" s="769" t="s">
        <v>1068</v>
      </c>
      <c r="L29" s="769" t="s">
        <v>1069</v>
      </c>
    </row>
    <row r="30" spans="1:12" s="24" customFormat="1">
      <c r="A30" s="393"/>
      <c r="B30" s="393" t="s">
        <v>753</v>
      </c>
      <c r="C30" s="393" t="s">
        <v>843</v>
      </c>
      <c r="D30" s="393" t="s">
        <v>88</v>
      </c>
      <c r="E30" s="428"/>
      <c r="F30" s="428"/>
      <c r="G30" s="428"/>
      <c r="H30" s="428"/>
      <c r="J30" s="442"/>
      <c r="K30" s="769" t="s">
        <v>1070</v>
      </c>
      <c r="L30" s="769" t="s">
        <v>1071</v>
      </c>
    </row>
    <row r="31" spans="1:12" s="24" customFormat="1" ht="15" thickBot="1">
      <c r="A31" s="394" t="s">
        <v>102</v>
      </c>
      <c r="B31" s="29" t="s">
        <v>97</v>
      </c>
      <c r="C31" s="56" t="s">
        <v>228</v>
      </c>
      <c r="D31" s="394" t="s">
        <v>106</v>
      </c>
      <c r="E31" s="56"/>
      <c r="F31" s="56"/>
      <c r="G31" s="56"/>
      <c r="H31" s="56"/>
      <c r="J31" s="442"/>
      <c r="K31" s="769" t="s">
        <v>1072</v>
      </c>
      <c r="L31" s="769" t="s">
        <v>1073</v>
      </c>
    </row>
    <row r="32" spans="1:12" s="24" customFormat="1" ht="15" thickBot="1">
      <c r="A32" s="394"/>
      <c r="B32" s="29" t="s">
        <v>98</v>
      </c>
      <c r="C32" s="56" t="s">
        <v>103</v>
      </c>
      <c r="D32" s="394" t="s">
        <v>106</v>
      </c>
      <c r="E32" s="56"/>
      <c r="F32" s="56"/>
      <c r="G32" s="56"/>
      <c r="H32" s="56"/>
      <c r="J32" s="442"/>
      <c r="K32" s="770" t="s">
        <v>669</v>
      </c>
      <c r="L32" s="770"/>
    </row>
    <row r="33" spans="1:14" s="24" customFormat="1">
      <c r="A33" s="394"/>
      <c r="B33" s="29" t="s">
        <v>99</v>
      </c>
      <c r="C33" s="56" t="s">
        <v>104</v>
      </c>
      <c r="D33" s="394" t="s">
        <v>106</v>
      </c>
      <c r="E33" s="56"/>
      <c r="F33" s="56"/>
      <c r="G33" s="56"/>
      <c r="H33" s="56"/>
      <c r="J33" s="442"/>
      <c r="K33" s="768" t="s">
        <v>712</v>
      </c>
      <c r="L33" s="768"/>
    </row>
    <row r="34" spans="1:14" s="24" customFormat="1">
      <c r="A34" s="394"/>
      <c r="B34" s="29" t="s">
        <v>100</v>
      </c>
      <c r="C34" s="56" t="s">
        <v>105</v>
      </c>
      <c r="D34" s="394" t="s">
        <v>106</v>
      </c>
      <c r="E34" s="56"/>
      <c r="F34" s="56"/>
      <c r="G34" s="56"/>
      <c r="H34" s="56"/>
      <c r="J34" s="442"/>
      <c r="K34" s="769" t="s">
        <v>1074</v>
      </c>
      <c r="L34" s="769" t="s">
        <v>1075</v>
      </c>
    </row>
    <row r="35" spans="1:14">
      <c r="A35" s="394"/>
      <c r="B35" s="56" t="s">
        <v>110</v>
      </c>
      <c r="C35" s="56" t="s">
        <v>217</v>
      </c>
      <c r="D35" s="394" t="s">
        <v>106</v>
      </c>
      <c r="E35" s="56"/>
      <c r="F35" s="56"/>
      <c r="G35" s="56"/>
      <c r="H35" s="56"/>
      <c r="J35" s="442"/>
      <c r="K35" s="769" t="s">
        <v>1132</v>
      </c>
      <c r="L35" s="769" t="s">
        <v>1131</v>
      </c>
    </row>
    <row r="36" spans="1:14" s="24" customFormat="1" ht="15" thickBot="1">
      <c r="A36" s="429"/>
      <c r="B36" s="430" t="s">
        <v>111</v>
      </c>
      <c r="C36" s="430" t="s">
        <v>218</v>
      </c>
      <c r="D36" s="429" t="s">
        <v>106</v>
      </c>
      <c r="E36" s="430"/>
      <c r="F36" s="430"/>
      <c r="G36" s="430"/>
      <c r="H36" s="430"/>
      <c r="J36" s="442"/>
      <c r="K36" s="769" t="s">
        <v>1133</v>
      </c>
      <c r="L36" s="769" t="s">
        <v>1134</v>
      </c>
    </row>
    <row r="37" spans="1:14" s="24" customFormat="1">
      <c r="J37" s="442"/>
      <c r="K37" s="769" t="s">
        <v>1076</v>
      </c>
      <c r="L37" s="769" t="s">
        <v>1077</v>
      </c>
    </row>
    <row r="38" spans="1:14" ht="15" thickBot="1">
      <c r="A38" s="1"/>
      <c r="B38" s="636"/>
      <c r="C38" s="636"/>
      <c r="D38" s="1"/>
      <c r="E38" s="636"/>
      <c r="F38" s="636"/>
      <c r="G38" s="636"/>
      <c r="H38" s="636"/>
      <c r="K38" s="769" t="s">
        <v>1078</v>
      </c>
      <c r="L38" s="769" t="s">
        <v>1079</v>
      </c>
    </row>
    <row r="39" spans="1:14" ht="15" thickBot="1">
      <c r="A39" s="572" t="s">
        <v>746</v>
      </c>
      <c r="G39" s="56"/>
      <c r="H39" s="56"/>
      <c r="K39" s="770" t="s">
        <v>1080</v>
      </c>
      <c r="L39" s="770"/>
    </row>
    <row r="40" spans="1:14">
      <c r="A40" s="572" t="s">
        <v>747</v>
      </c>
      <c r="G40" s="459"/>
      <c r="H40" s="459"/>
      <c r="K40" s="769" t="s">
        <v>1081</v>
      </c>
      <c r="L40" s="769" t="s">
        <v>1082</v>
      </c>
    </row>
    <row r="41" spans="1:14">
      <c r="A41" s="572" t="s">
        <v>745</v>
      </c>
      <c r="G41" s="459"/>
      <c r="H41" s="459"/>
      <c r="K41" s="769" t="s">
        <v>1083</v>
      </c>
      <c r="L41" s="769" t="s">
        <v>1084</v>
      </c>
    </row>
    <row r="42" spans="1:14" ht="15" thickBot="1">
      <c r="A42" s="572" t="s">
        <v>748</v>
      </c>
      <c r="G42" s="459"/>
      <c r="H42" s="459"/>
      <c r="K42" s="769" t="s">
        <v>1085</v>
      </c>
      <c r="L42" s="769" t="s">
        <v>1086</v>
      </c>
    </row>
    <row r="43" spans="1:14" ht="15" thickBot="1">
      <c r="K43" s="770" t="s">
        <v>95</v>
      </c>
      <c r="L43" s="770"/>
    </row>
    <row r="44" spans="1:14">
      <c r="K44" s="769" t="s">
        <v>1087</v>
      </c>
      <c r="L44" s="769" t="s">
        <v>1088</v>
      </c>
      <c r="M44" s="459"/>
      <c r="N44" s="459"/>
    </row>
    <row r="45" spans="1:14" s="459" customFormat="1" ht="15" thickBot="1">
      <c r="K45" s="771" t="s">
        <v>1089</v>
      </c>
      <c r="L45" s="771" t="s">
        <v>1090</v>
      </c>
    </row>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4"/>
  <sheetViews>
    <sheetView zoomScale="70" zoomScaleNormal="70" workbookViewId="0">
      <selection activeCell="M24" sqref="M24"/>
    </sheetView>
  </sheetViews>
  <sheetFormatPr defaultRowHeight="14.4"/>
  <cols>
    <col min="1" max="1" width="14.33203125" style="714" customWidth="1"/>
    <col min="2" max="2" width="24.6640625" bestFit="1" customWidth="1"/>
    <col min="3" max="3" width="12" customWidth="1"/>
    <col min="5" max="5" width="11.33203125" customWidth="1"/>
    <col min="7" max="7" width="12" bestFit="1" customWidth="1"/>
    <col min="8" max="11" width="15.88671875" customWidth="1"/>
    <col min="12" max="12" width="11.88671875" style="714" customWidth="1"/>
    <col min="14" max="15" width="12.88671875" customWidth="1"/>
    <col min="16" max="16" width="33.6640625" customWidth="1"/>
  </cols>
  <sheetData>
    <row r="2" spans="3:21">
      <c r="L2"/>
      <c r="M2" s="714"/>
    </row>
    <row r="3" spans="3:21">
      <c r="C3" s="56"/>
      <c r="D3" s="56"/>
      <c r="E3" s="56"/>
      <c r="F3" s="728" t="s">
        <v>76</v>
      </c>
      <c r="G3" s="56"/>
      <c r="I3" s="56"/>
      <c r="J3" s="56"/>
      <c r="K3" s="56"/>
      <c r="L3" s="56"/>
      <c r="M3" s="56"/>
      <c r="O3" s="728" t="s">
        <v>60</v>
      </c>
      <c r="P3" s="40"/>
      <c r="Q3" s="40"/>
      <c r="R3" s="40"/>
      <c r="S3" s="40"/>
      <c r="T3" s="40"/>
    </row>
    <row r="4" spans="3:21" ht="15" thickBot="1">
      <c r="C4" s="41" t="s">
        <v>70</v>
      </c>
      <c r="D4" s="41" t="s">
        <v>77</v>
      </c>
      <c r="E4" s="41" t="s">
        <v>78</v>
      </c>
      <c r="F4" s="729" t="s">
        <v>65</v>
      </c>
      <c r="G4" s="729" t="s">
        <v>864</v>
      </c>
      <c r="H4" s="729" t="s">
        <v>1091</v>
      </c>
      <c r="I4" s="729" t="s">
        <v>1009</v>
      </c>
      <c r="J4" s="729" t="s">
        <v>1010</v>
      </c>
      <c r="K4" s="729" t="s">
        <v>1011</v>
      </c>
      <c r="L4" s="729" t="s">
        <v>1012</v>
      </c>
      <c r="M4" s="729" t="s">
        <v>1013</v>
      </c>
      <c r="N4" s="56"/>
      <c r="O4" s="41" t="s">
        <v>69</v>
      </c>
      <c r="P4" s="41" t="s">
        <v>70</v>
      </c>
      <c r="Q4" s="41" t="s">
        <v>71</v>
      </c>
      <c r="R4" s="41" t="s">
        <v>72</v>
      </c>
      <c r="S4" s="41" t="s">
        <v>73</v>
      </c>
      <c r="T4" s="41" t="s">
        <v>74</v>
      </c>
      <c r="U4" s="41" t="s">
        <v>75</v>
      </c>
    </row>
    <row r="5" spans="3:21">
      <c r="C5" s="56" t="str">
        <f>P5</f>
        <v>TRAGSL_BLD</v>
      </c>
      <c r="D5" s="56" t="str">
        <f>Commodities!B8</f>
        <v>TRAGSL</v>
      </c>
      <c r="E5" s="56"/>
      <c r="F5" s="56" t="s">
        <v>1014</v>
      </c>
      <c r="G5" s="56">
        <v>1</v>
      </c>
      <c r="H5" s="56">
        <v>5</v>
      </c>
      <c r="I5" s="730">
        <f>1-J51</f>
        <v>0.9548414346182118</v>
      </c>
      <c r="J5" s="730">
        <f>1-L51</f>
        <v>0.95</v>
      </c>
      <c r="K5" s="730">
        <f>1-V51</f>
        <v>0.9</v>
      </c>
      <c r="L5" s="730">
        <f>1-AF51</f>
        <v>0.9</v>
      </c>
      <c r="M5" s="730">
        <f>1-AP51</f>
        <v>0.9</v>
      </c>
      <c r="N5" s="56"/>
      <c r="O5" s="56" t="s">
        <v>863</v>
      </c>
      <c r="P5" s="56" t="s">
        <v>994</v>
      </c>
      <c r="Q5" s="56" t="s">
        <v>1005</v>
      </c>
      <c r="R5" s="714" t="s">
        <v>88</v>
      </c>
      <c r="S5" s="714" t="s">
        <v>871</v>
      </c>
      <c r="T5" s="56"/>
      <c r="U5" s="56"/>
    </row>
    <row r="6" spans="3:21">
      <c r="C6" s="56"/>
      <c r="D6" s="56" t="str">
        <f>Commodities!B10</f>
        <v>TRAETH</v>
      </c>
      <c r="E6" s="56"/>
      <c r="F6" s="56" t="s">
        <v>1014</v>
      </c>
      <c r="G6" s="56"/>
      <c r="H6" s="56">
        <v>5</v>
      </c>
      <c r="I6" s="764">
        <f>1-I5</f>
        <v>4.5158565381788196E-2</v>
      </c>
      <c r="J6" s="764">
        <f t="shared" ref="J6:M6" si="0">1-J5</f>
        <v>5.0000000000000044E-2</v>
      </c>
      <c r="K6" s="764">
        <f t="shared" si="0"/>
        <v>9.9999999999999978E-2</v>
      </c>
      <c r="L6" s="764">
        <f t="shared" si="0"/>
        <v>9.9999999999999978E-2</v>
      </c>
      <c r="M6" s="764">
        <f t="shared" si="0"/>
        <v>9.9999999999999978E-2</v>
      </c>
      <c r="N6" s="56"/>
      <c r="O6" s="56"/>
      <c r="P6" s="714" t="s">
        <v>995</v>
      </c>
      <c r="Q6" s="56" t="s">
        <v>1006</v>
      </c>
      <c r="R6" s="714" t="s">
        <v>88</v>
      </c>
      <c r="S6" s="714" t="s">
        <v>871</v>
      </c>
      <c r="T6" s="56"/>
      <c r="U6" s="56"/>
    </row>
    <row r="7" spans="3:21">
      <c r="C7" s="56"/>
      <c r="D7" s="56"/>
      <c r="E7" s="56" t="str">
        <f>Commodities!B18</f>
        <v>TRAGSE</v>
      </c>
      <c r="F7" s="428"/>
      <c r="G7" s="56"/>
      <c r="H7" s="56"/>
      <c r="I7" s="56"/>
      <c r="J7" s="56"/>
      <c r="K7" s="56"/>
      <c r="L7" s="56"/>
      <c r="M7" s="56"/>
      <c r="N7" s="56"/>
      <c r="O7" s="636"/>
      <c r="P7" s="636" t="s">
        <v>996</v>
      </c>
      <c r="Q7" s="636" t="s">
        <v>997</v>
      </c>
      <c r="R7" s="1" t="s">
        <v>88</v>
      </c>
      <c r="S7" s="1" t="s">
        <v>871</v>
      </c>
      <c r="T7" s="636"/>
      <c r="U7" s="636"/>
    </row>
    <row r="8" spans="3:21">
      <c r="C8" s="731" t="str">
        <f>P6</f>
        <v>TRADST_BLD</v>
      </c>
      <c r="D8" s="731" t="str">
        <f>Commodities!B9</f>
        <v>TRADST</v>
      </c>
      <c r="E8" s="731"/>
      <c r="F8" s="56" t="s">
        <v>1014</v>
      </c>
      <c r="G8" s="731">
        <v>1</v>
      </c>
      <c r="H8" s="731">
        <v>5</v>
      </c>
      <c r="I8" s="732">
        <f>1-J52</f>
        <v>0.95912212653292017</v>
      </c>
      <c r="J8" s="732">
        <f>1-L52</f>
        <v>0.94884746867213698</v>
      </c>
      <c r="K8" s="732">
        <f>1-V52</f>
        <v>0.9</v>
      </c>
      <c r="L8" s="732">
        <f>1-AG52</f>
        <v>0.9</v>
      </c>
      <c r="M8" s="732">
        <f>1-AP52</f>
        <v>0.9</v>
      </c>
      <c r="N8" s="56"/>
      <c r="O8" s="428"/>
      <c r="P8" s="428" t="s">
        <v>1007</v>
      </c>
      <c r="Q8" s="428" t="s">
        <v>1008</v>
      </c>
      <c r="R8" s="458" t="s">
        <v>88</v>
      </c>
      <c r="S8" s="458" t="s">
        <v>871</v>
      </c>
      <c r="T8" s="428"/>
      <c r="U8" s="428"/>
    </row>
    <row r="9" spans="3:21">
      <c r="C9" s="56"/>
      <c r="D9" s="56" t="str">
        <f>Commodities!B11</f>
        <v>TRABDL</v>
      </c>
      <c r="E9" s="56"/>
      <c r="F9" s="56" t="s">
        <v>1014</v>
      </c>
      <c r="G9" s="56"/>
      <c r="H9" s="56">
        <v>5</v>
      </c>
      <c r="I9" s="764">
        <f>1-I8</f>
        <v>4.0877873467079828E-2</v>
      </c>
      <c r="J9" s="764">
        <f t="shared" ref="J9" si="1">1-J8</f>
        <v>5.1152531327863016E-2</v>
      </c>
      <c r="K9" s="764">
        <f t="shared" ref="K9" si="2">1-K8</f>
        <v>9.9999999999999978E-2</v>
      </c>
      <c r="L9" s="764">
        <f t="shared" ref="L9" si="3">1-L8</f>
        <v>9.9999999999999978E-2</v>
      </c>
      <c r="M9" s="764">
        <f t="shared" ref="M9" si="4">1-M8</f>
        <v>9.9999999999999978E-2</v>
      </c>
      <c r="N9" s="56"/>
      <c r="O9" s="56"/>
      <c r="P9" s="56"/>
      <c r="Q9" s="56"/>
      <c r="R9" s="56"/>
      <c r="S9" s="56"/>
      <c r="T9" s="56"/>
      <c r="U9" s="56"/>
    </row>
    <row r="10" spans="3:21">
      <c r="C10" s="428"/>
      <c r="D10" s="428"/>
      <c r="E10" s="428" t="str">
        <f>Commodities!B19</f>
        <v>TRADSB</v>
      </c>
      <c r="F10" s="428"/>
      <c r="G10" s="428"/>
      <c r="H10" s="428"/>
      <c r="I10" s="428"/>
      <c r="J10" s="428"/>
      <c r="K10" s="428"/>
      <c r="L10" s="428"/>
      <c r="M10" s="428"/>
      <c r="N10" s="56"/>
      <c r="O10" s="56"/>
      <c r="P10" s="56"/>
      <c r="Q10" s="56"/>
      <c r="R10" s="56"/>
      <c r="S10" s="56"/>
      <c r="T10" s="56"/>
      <c r="U10" s="56"/>
    </row>
    <row r="11" spans="3:21">
      <c r="C11" s="731" t="str">
        <f>$P$7</f>
        <v>TRAE85_BLD</v>
      </c>
      <c r="D11" s="731" t="str">
        <f>Commodities!B8</f>
        <v>TRAGSL</v>
      </c>
      <c r="E11" s="731"/>
      <c r="F11" s="56" t="s">
        <v>1014</v>
      </c>
      <c r="G11" s="731">
        <v>1</v>
      </c>
      <c r="H11" s="731">
        <v>5</v>
      </c>
      <c r="I11" s="733">
        <v>0.15</v>
      </c>
      <c r="J11" s="733">
        <v>0.15</v>
      </c>
      <c r="K11" s="733">
        <v>0.15</v>
      </c>
      <c r="L11" s="733">
        <v>0.15</v>
      </c>
      <c r="M11" s="733">
        <v>0.15</v>
      </c>
      <c r="N11" s="56"/>
      <c r="O11" s="714"/>
      <c r="P11" s="714"/>
      <c r="Q11" s="714"/>
      <c r="R11" s="714"/>
      <c r="S11" s="714"/>
      <c r="T11" s="56"/>
      <c r="U11" s="56"/>
    </row>
    <row r="12" spans="3:21">
      <c r="C12" s="56"/>
      <c r="D12" s="56" t="str">
        <f>Commodities!B10</f>
        <v>TRAETH</v>
      </c>
      <c r="E12" s="56"/>
      <c r="F12" s="56" t="s">
        <v>1014</v>
      </c>
      <c r="G12" s="56"/>
      <c r="H12" s="56">
        <v>5</v>
      </c>
      <c r="I12" s="764">
        <f>1-I11</f>
        <v>0.85</v>
      </c>
      <c r="J12" s="764">
        <f t="shared" ref="J12" si="5">1-J11</f>
        <v>0.85</v>
      </c>
      <c r="K12" s="764">
        <f t="shared" ref="K12" si="6">1-K11</f>
        <v>0.85</v>
      </c>
      <c r="L12" s="764">
        <f t="shared" ref="L12" si="7">1-L11</f>
        <v>0.85</v>
      </c>
      <c r="M12" s="764">
        <f t="shared" ref="M12" si="8">1-M11</f>
        <v>0.85</v>
      </c>
      <c r="N12" s="56"/>
      <c r="O12" s="714"/>
      <c r="P12" s="714"/>
      <c r="Q12" s="714"/>
      <c r="R12" s="714"/>
      <c r="S12" s="714"/>
      <c r="T12" s="56"/>
      <c r="U12" s="56"/>
    </row>
    <row r="13" spans="3:21">
      <c r="C13" s="428"/>
      <c r="D13" s="428"/>
      <c r="E13" s="428" t="str">
        <f>Commodities!B20</f>
        <v>TRAE85</v>
      </c>
      <c r="F13" s="428"/>
      <c r="G13" s="428"/>
      <c r="H13" s="428"/>
      <c r="I13" s="428"/>
      <c r="J13" s="428"/>
      <c r="K13" s="428"/>
      <c r="L13" s="428"/>
      <c r="M13" s="428"/>
      <c r="N13" s="56"/>
      <c r="O13" s="714"/>
      <c r="P13" s="714"/>
      <c r="Q13" s="714"/>
      <c r="R13" s="714"/>
      <c r="S13" s="714"/>
      <c r="T13" s="56"/>
      <c r="U13" s="56"/>
    </row>
    <row r="14" spans="3:21">
      <c r="C14" s="731" t="str">
        <f>$P$8</f>
        <v>TRABCNG_BLD</v>
      </c>
      <c r="D14" s="731" t="str">
        <f>Commodities!B12</f>
        <v>TRACNG</v>
      </c>
      <c r="E14" s="731"/>
      <c r="F14" s="56" t="s">
        <v>1014</v>
      </c>
      <c r="G14" s="731">
        <v>1</v>
      </c>
      <c r="H14" s="731">
        <v>5</v>
      </c>
      <c r="I14" s="733">
        <v>0.5</v>
      </c>
      <c r="J14" s="733">
        <v>0.5</v>
      </c>
      <c r="K14" s="733">
        <v>0.5</v>
      </c>
      <c r="L14" s="733">
        <v>0.5</v>
      </c>
      <c r="M14" s="733">
        <v>0.5</v>
      </c>
      <c r="N14" s="56"/>
      <c r="O14" s="714"/>
      <c r="P14" s="714"/>
      <c r="Q14" s="714"/>
      <c r="R14" s="714"/>
      <c r="S14" s="714"/>
      <c r="T14" s="56"/>
      <c r="U14" s="56"/>
    </row>
    <row r="15" spans="3:21">
      <c r="C15" s="56"/>
      <c r="D15" s="56" t="str">
        <f>Commodities!B13</f>
        <v>TRABNG</v>
      </c>
      <c r="E15" s="56"/>
      <c r="F15" s="56" t="s">
        <v>1014</v>
      </c>
      <c r="G15" s="56"/>
      <c r="H15" s="56">
        <v>5</v>
      </c>
      <c r="I15" s="764">
        <f>1-I14</f>
        <v>0.5</v>
      </c>
      <c r="J15" s="764">
        <f t="shared" ref="J15" si="9">1-J14</f>
        <v>0.5</v>
      </c>
      <c r="K15" s="764">
        <f t="shared" ref="K15" si="10">1-K14</f>
        <v>0.5</v>
      </c>
      <c r="L15" s="764">
        <f t="shared" ref="L15" si="11">1-L14</f>
        <v>0.5</v>
      </c>
      <c r="M15" s="764">
        <f t="shared" ref="M15" si="12">1-M14</f>
        <v>0.5</v>
      </c>
      <c r="N15" s="714"/>
      <c r="O15" s="714"/>
      <c r="P15" s="714"/>
      <c r="Q15" s="714"/>
      <c r="R15" s="714"/>
      <c r="S15" s="714"/>
    </row>
    <row r="16" spans="3:21">
      <c r="C16" s="428"/>
      <c r="D16" s="428"/>
      <c r="E16" s="428" t="str">
        <f>Commodities!B21</f>
        <v>TRANGB</v>
      </c>
      <c r="F16" s="428"/>
      <c r="G16" s="428"/>
      <c r="H16" s="428"/>
      <c r="I16" s="428"/>
      <c r="J16" s="428"/>
      <c r="K16" s="428"/>
      <c r="L16" s="428"/>
      <c r="M16" s="428"/>
      <c r="N16" s="714"/>
      <c r="O16" s="714"/>
      <c r="P16" s="714"/>
      <c r="Q16" s="714"/>
      <c r="R16" s="714"/>
      <c r="S16" s="714"/>
    </row>
    <row r="17" spans="1:19">
      <c r="L17"/>
      <c r="N17" s="714"/>
      <c r="O17" s="714"/>
      <c r="P17" s="714"/>
      <c r="Q17" s="714"/>
      <c r="R17" s="714"/>
      <c r="S17" s="714"/>
    </row>
    <row r="18" spans="1:19">
      <c r="L18"/>
      <c r="M18" s="714"/>
      <c r="O18" s="714"/>
      <c r="P18" s="714"/>
      <c r="Q18" s="714"/>
      <c r="R18" s="714"/>
      <c r="S18" s="714"/>
    </row>
    <row r="19" spans="1:19">
      <c r="A19" s="734" t="s">
        <v>480</v>
      </c>
      <c r="B19" s="735"/>
      <c r="L19"/>
      <c r="M19" s="714"/>
      <c r="O19" s="714"/>
      <c r="P19" s="714"/>
      <c r="Q19" s="714"/>
      <c r="R19" s="714"/>
      <c r="S19" s="714"/>
    </row>
    <row r="20" spans="1:19">
      <c r="A20" s="736" t="s">
        <v>481</v>
      </c>
      <c r="B20" s="737" t="s">
        <v>482</v>
      </c>
      <c r="L20"/>
      <c r="M20" s="714"/>
      <c r="O20" s="714"/>
      <c r="P20" s="714"/>
      <c r="Q20" s="714"/>
      <c r="R20" s="714"/>
      <c r="S20" s="714"/>
    </row>
    <row r="21" spans="1:19">
      <c r="A21" s="738" t="s">
        <v>20</v>
      </c>
      <c r="B21" s="739">
        <v>1041376950</v>
      </c>
      <c r="L21"/>
      <c r="M21" s="714"/>
      <c r="O21" s="714"/>
      <c r="P21" s="714"/>
      <c r="Q21" s="714"/>
      <c r="R21" s="714"/>
      <c r="S21" s="714"/>
    </row>
    <row r="22" spans="1:19">
      <c r="A22" s="740" t="s">
        <v>483</v>
      </c>
      <c r="B22" s="739">
        <v>53868503</v>
      </c>
    </row>
    <row r="23" spans="1:19">
      <c r="A23" s="740" t="s">
        <v>19</v>
      </c>
      <c r="B23" s="741">
        <v>3392228806</v>
      </c>
    </row>
    <row r="24" spans="1:19">
      <c r="A24" s="740" t="s">
        <v>484</v>
      </c>
      <c r="B24" s="741">
        <v>162101602</v>
      </c>
    </row>
    <row r="25" spans="1:19">
      <c r="A25" s="742" t="s">
        <v>485</v>
      </c>
      <c r="B25" s="743"/>
    </row>
    <row r="26" spans="1:19">
      <c r="A26" s="743"/>
      <c r="B26" s="743"/>
    </row>
    <row r="27" spans="1:19">
      <c r="A27" s="743"/>
      <c r="B27" s="743"/>
    </row>
    <row r="28" spans="1:19">
      <c r="A28" s="734" t="s">
        <v>486</v>
      </c>
      <c r="B28" s="735"/>
    </row>
    <row r="29" spans="1:19">
      <c r="A29" s="736" t="s">
        <v>481</v>
      </c>
      <c r="B29" s="737" t="s">
        <v>486</v>
      </c>
    </row>
    <row r="30" spans="1:19">
      <c r="A30" s="738" t="s">
        <v>20</v>
      </c>
      <c r="B30" s="739">
        <v>35</v>
      </c>
    </row>
    <row r="31" spans="1:19">
      <c r="A31" s="740" t="s">
        <v>483</v>
      </c>
      <c r="B31" s="739">
        <v>32</v>
      </c>
    </row>
    <row r="32" spans="1:19">
      <c r="A32" s="740" t="s">
        <v>19</v>
      </c>
      <c r="B32" s="741">
        <v>37</v>
      </c>
    </row>
    <row r="33" spans="1:42">
      <c r="A33" s="740" t="s">
        <v>484</v>
      </c>
      <c r="B33" s="741">
        <v>33</v>
      </c>
    </row>
    <row r="34" spans="1:42">
      <c r="A34" s="743"/>
      <c r="B34" s="743"/>
    </row>
    <row r="35" spans="1:42">
      <c r="A35" s="743"/>
      <c r="B35" s="743"/>
    </row>
    <row r="36" spans="1:42">
      <c r="A36" s="734" t="s">
        <v>487</v>
      </c>
      <c r="B36" s="735"/>
    </row>
    <row r="37" spans="1:42">
      <c r="A37" s="736" t="s">
        <v>481</v>
      </c>
      <c r="B37" s="737" t="s">
        <v>488</v>
      </c>
    </row>
    <row r="38" spans="1:42">
      <c r="A38" s="738" t="s">
        <v>20</v>
      </c>
      <c r="B38" s="744">
        <f>(B21*B30)/((B21*B30)+(B22*B31))</f>
        <v>0.9548414346182118</v>
      </c>
    </row>
    <row r="39" spans="1:42">
      <c r="A39" s="740" t="s">
        <v>483</v>
      </c>
      <c r="B39" s="744">
        <f>(B22*B31)/((B21*B30)+(B22*B31))</f>
        <v>4.5158565381788147E-2</v>
      </c>
    </row>
    <row r="40" spans="1:42">
      <c r="A40" s="740" t="s">
        <v>19</v>
      </c>
      <c r="B40" s="744">
        <f>(B23*B32)/((B23*B32)+(B24*B33))</f>
        <v>0.95912212653292017</v>
      </c>
    </row>
    <row r="41" spans="1:42">
      <c r="A41" s="740" t="s">
        <v>484</v>
      </c>
      <c r="B41" s="744">
        <f>(B24*B33)/((B23*B32)+(B24*B33))</f>
        <v>4.087787346707978E-2</v>
      </c>
    </row>
    <row r="45" spans="1:42" ht="15" thickBot="1">
      <c r="A45" s="714" t="s">
        <v>1004</v>
      </c>
    </row>
    <row r="46" spans="1:42">
      <c r="A46" s="750" t="s">
        <v>999</v>
      </c>
      <c r="B46" s="751">
        <v>2010</v>
      </c>
      <c r="C46" s="751">
        <v>2011</v>
      </c>
      <c r="D46" s="751">
        <v>2012</v>
      </c>
      <c r="E46" s="751">
        <v>2013</v>
      </c>
      <c r="F46" s="751">
        <v>2014</v>
      </c>
      <c r="G46" s="751">
        <v>2015</v>
      </c>
      <c r="H46" s="751">
        <v>2016</v>
      </c>
      <c r="I46" s="751">
        <v>2017</v>
      </c>
      <c r="J46" s="751">
        <v>2018</v>
      </c>
      <c r="K46" s="751">
        <v>2019</v>
      </c>
      <c r="L46" s="751">
        <v>2020</v>
      </c>
      <c r="M46" s="751">
        <v>2021</v>
      </c>
      <c r="N46" s="751">
        <v>2022</v>
      </c>
      <c r="O46" s="751">
        <v>2023</v>
      </c>
      <c r="P46" s="751">
        <v>2024</v>
      </c>
      <c r="Q46" s="751">
        <v>2025</v>
      </c>
      <c r="R46" s="751">
        <v>2026</v>
      </c>
      <c r="S46" s="751">
        <v>2027</v>
      </c>
      <c r="T46" s="751">
        <v>2028</v>
      </c>
      <c r="U46" s="751">
        <v>2029</v>
      </c>
      <c r="V46" s="751">
        <v>2030</v>
      </c>
      <c r="W46" s="751">
        <v>2031</v>
      </c>
      <c r="X46" s="751">
        <v>2032</v>
      </c>
      <c r="Y46" s="751">
        <v>2033</v>
      </c>
      <c r="Z46" s="751">
        <v>2034</v>
      </c>
      <c r="AA46" s="751">
        <v>2035</v>
      </c>
      <c r="AB46" s="751">
        <v>2036</v>
      </c>
      <c r="AC46" s="751">
        <v>2037</v>
      </c>
      <c r="AD46" s="751">
        <v>2038</v>
      </c>
      <c r="AE46" s="751">
        <v>2039</v>
      </c>
      <c r="AF46" s="751">
        <v>2040</v>
      </c>
      <c r="AG46" s="751">
        <v>2041</v>
      </c>
      <c r="AH46" s="751">
        <v>2042</v>
      </c>
      <c r="AI46" s="751">
        <v>2043</v>
      </c>
      <c r="AJ46" s="751">
        <v>2044</v>
      </c>
      <c r="AK46" s="751">
        <v>2045</v>
      </c>
      <c r="AL46" s="751">
        <v>2046</v>
      </c>
      <c r="AM46" s="751">
        <v>2047</v>
      </c>
      <c r="AN46" s="751">
        <v>2048</v>
      </c>
      <c r="AO46" s="751">
        <v>2049</v>
      </c>
      <c r="AP46" s="755">
        <v>2050</v>
      </c>
    </row>
    <row r="47" spans="1:42">
      <c r="A47" s="746" t="s">
        <v>18</v>
      </c>
      <c r="B47" s="756">
        <v>1919438353</v>
      </c>
      <c r="C47" s="756">
        <v>1770757195</v>
      </c>
      <c r="D47" s="756">
        <v>1624514247</v>
      </c>
      <c r="E47" s="756">
        <v>1517484617</v>
      </c>
      <c r="F47" s="757">
        <v>1437055035</v>
      </c>
      <c r="G47" s="757">
        <v>1362450472</v>
      </c>
      <c r="H47" s="757">
        <v>1272730975</v>
      </c>
      <c r="I47" s="757">
        <v>1146348261</v>
      </c>
      <c r="J47" s="757">
        <v>1041376950</v>
      </c>
      <c r="K47" s="757">
        <v>989982198</v>
      </c>
      <c r="L47" s="758" t="s">
        <v>17</v>
      </c>
      <c r="M47" s="758" t="s">
        <v>17</v>
      </c>
      <c r="N47" s="758" t="s">
        <v>17</v>
      </c>
      <c r="O47" s="758" t="s">
        <v>17</v>
      </c>
      <c r="P47" s="758" t="s">
        <v>17</v>
      </c>
      <c r="Q47" s="758" t="s">
        <v>17</v>
      </c>
      <c r="R47" s="758" t="s">
        <v>17</v>
      </c>
      <c r="S47" s="758" t="s">
        <v>17</v>
      </c>
      <c r="T47" s="758" t="s">
        <v>17</v>
      </c>
      <c r="U47" s="758" t="s">
        <v>17</v>
      </c>
      <c r="V47" s="758" t="s">
        <v>17</v>
      </c>
      <c r="W47" s="758" t="s">
        <v>17</v>
      </c>
      <c r="X47" s="758" t="s">
        <v>17</v>
      </c>
      <c r="Y47" s="758" t="s">
        <v>17</v>
      </c>
      <c r="Z47" s="758" t="s">
        <v>17</v>
      </c>
      <c r="AA47" s="758" t="s">
        <v>17</v>
      </c>
      <c r="AB47" s="758" t="s">
        <v>17</v>
      </c>
      <c r="AC47" s="758" t="s">
        <v>17</v>
      </c>
      <c r="AD47" s="758" t="s">
        <v>17</v>
      </c>
      <c r="AE47" s="758" t="s">
        <v>17</v>
      </c>
      <c r="AF47" s="758" t="s">
        <v>17</v>
      </c>
      <c r="AG47" s="758" t="s">
        <v>17</v>
      </c>
      <c r="AH47" s="758" t="s">
        <v>17</v>
      </c>
      <c r="AI47" s="758" t="s">
        <v>17</v>
      </c>
      <c r="AJ47" s="758" t="s">
        <v>17</v>
      </c>
      <c r="AK47" s="758" t="s">
        <v>17</v>
      </c>
      <c r="AL47" s="758" t="s">
        <v>17</v>
      </c>
      <c r="AM47" s="758" t="s">
        <v>17</v>
      </c>
      <c r="AN47" s="758" t="s">
        <v>17</v>
      </c>
      <c r="AO47" s="758" t="s">
        <v>17</v>
      </c>
      <c r="AP47" s="747" t="s">
        <v>17</v>
      </c>
    </row>
    <row r="48" spans="1:42">
      <c r="A48" s="746" t="s">
        <v>1000</v>
      </c>
      <c r="B48" s="756">
        <v>32285257</v>
      </c>
      <c r="C48" s="756">
        <v>57428620</v>
      </c>
      <c r="D48" s="756">
        <v>55648948</v>
      </c>
      <c r="E48" s="756">
        <v>56388985</v>
      </c>
      <c r="F48" s="757">
        <v>52569970</v>
      </c>
      <c r="G48" s="757">
        <v>58834520</v>
      </c>
      <c r="H48" s="757">
        <v>63084385</v>
      </c>
      <c r="I48" s="757">
        <v>58476031</v>
      </c>
      <c r="J48" s="757">
        <v>53868503</v>
      </c>
      <c r="K48" s="757">
        <v>51730645</v>
      </c>
      <c r="L48" s="758"/>
      <c r="M48" s="758"/>
      <c r="N48" s="758"/>
      <c r="O48" s="758"/>
      <c r="P48" s="758"/>
      <c r="Q48" s="758"/>
      <c r="R48" s="758"/>
      <c r="S48" s="758"/>
      <c r="T48" s="758"/>
      <c r="U48" s="758"/>
      <c r="V48" s="758"/>
      <c r="W48" s="758"/>
      <c r="X48" s="758"/>
      <c r="Y48" s="758"/>
      <c r="Z48" s="758"/>
      <c r="AA48" s="758"/>
      <c r="AB48" s="758"/>
      <c r="AC48" s="758"/>
      <c r="AD48" s="758"/>
      <c r="AE48" s="758"/>
      <c r="AF48" s="758"/>
      <c r="AG48" s="758"/>
      <c r="AH48" s="758"/>
      <c r="AI48" s="758"/>
      <c r="AJ48" s="758"/>
      <c r="AK48" s="758"/>
      <c r="AL48" s="758"/>
      <c r="AM48" s="758"/>
      <c r="AN48" s="758"/>
      <c r="AO48" s="758"/>
      <c r="AP48" s="747"/>
    </row>
    <row r="49" spans="1:42">
      <c r="A49" s="746" t="s">
        <v>19</v>
      </c>
      <c r="B49" s="756">
        <v>2487370477</v>
      </c>
      <c r="C49" s="756">
        <v>2454495889</v>
      </c>
      <c r="D49" s="756">
        <v>2441127259</v>
      </c>
      <c r="E49" s="756">
        <v>2548493422</v>
      </c>
      <c r="F49" s="757">
        <v>2706015956</v>
      </c>
      <c r="G49" s="757">
        <v>2952899074</v>
      </c>
      <c r="H49" s="757">
        <v>3187676279</v>
      </c>
      <c r="I49" s="757">
        <v>3242587996</v>
      </c>
      <c r="J49" s="757">
        <v>3392228806</v>
      </c>
      <c r="K49" s="757">
        <v>3419565001</v>
      </c>
      <c r="L49" s="758" t="s">
        <v>17</v>
      </c>
      <c r="M49" s="758" t="s">
        <v>17</v>
      </c>
      <c r="N49" s="758" t="s">
        <v>17</v>
      </c>
      <c r="O49" s="758" t="s">
        <v>17</v>
      </c>
      <c r="P49" s="758" t="s">
        <v>17</v>
      </c>
      <c r="Q49" s="758" t="s">
        <v>17</v>
      </c>
      <c r="R49" s="758" t="s">
        <v>17</v>
      </c>
      <c r="S49" s="758" t="s">
        <v>17</v>
      </c>
      <c r="T49" s="758" t="s">
        <v>17</v>
      </c>
      <c r="U49" s="758" t="s">
        <v>17</v>
      </c>
      <c r="V49" s="758" t="s">
        <v>17</v>
      </c>
      <c r="W49" s="758" t="s">
        <v>17</v>
      </c>
      <c r="X49" s="758" t="s">
        <v>17</v>
      </c>
      <c r="Y49" s="758" t="s">
        <v>17</v>
      </c>
      <c r="Z49" s="758" t="s">
        <v>17</v>
      </c>
      <c r="AA49" s="758" t="s">
        <v>17</v>
      </c>
      <c r="AB49" s="758" t="s">
        <v>17</v>
      </c>
      <c r="AC49" s="758" t="s">
        <v>17</v>
      </c>
      <c r="AD49" s="758" t="s">
        <v>17</v>
      </c>
      <c r="AE49" s="758" t="s">
        <v>17</v>
      </c>
      <c r="AF49" s="758" t="s">
        <v>17</v>
      </c>
      <c r="AG49" s="758" t="s">
        <v>17</v>
      </c>
      <c r="AH49" s="758" t="s">
        <v>17</v>
      </c>
      <c r="AI49" s="758" t="s">
        <v>17</v>
      </c>
      <c r="AJ49" s="758" t="s">
        <v>17</v>
      </c>
      <c r="AK49" s="758" t="s">
        <v>17</v>
      </c>
      <c r="AL49" s="758" t="s">
        <v>17</v>
      </c>
      <c r="AM49" s="758" t="s">
        <v>17</v>
      </c>
      <c r="AN49" s="758" t="s">
        <v>17</v>
      </c>
      <c r="AO49" s="758" t="s">
        <v>17</v>
      </c>
      <c r="AP49" s="747" t="s">
        <v>17</v>
      </c>
    </row>
    <row r="50" spans="1:42">
      <c r="A50" s="746" t="s">
        <v>1001</v>
      </c>
      <c r="B50" s="756">
        <v>64523884</v>
      </c>
      <c r="C50" s="756">
        <v>86912448</v>
      </c>
      <c r="D50" s="756">
        <v>70292126</v>
      </c>
      <c r="E50" s="756">
        <v>93969733</v>
      </c>
      <c r="F50" s="757">
        <v>114350795</v>
      </c>
      <c r="G50" s="757">
        <v>124868316</v>
      </c>
      <c r="H50" s="757">
        <v>109734839</v>
      </c>
      <c r="I50" s="757">
        <v>167296383</v>
      </c>
      <c r="J50" s="757">
        <v>162101602</v>
      </c>
      <c r="K50" s="757">
        <v>206694716</v>
      </c>
      <c r="L50" s="758" t="s">
        <v>17</v>
      </c>
      <c r="M50" s="758" t="s">
        <v>17</v>
      </c>
      <c r="N50" s="758" t="s">
        <v>17</v>
      </c>
      <c r="O50" s="758" t="s">
        <v>17</v>
      </c>
      <c r="P50" s="758" t="s">
        <v>17</v>
      </c>
      <c r="Q50" s="758" t="s">
        <v>17</v>
      </c>
      <c r="R50" s="758" t="s">
        <v>17</v>
      </c>
      <c r="S50" s="758" t="s">
        <v>17</v>
      </c>
      <c r="T50" s="758" t="s">
        <v>17</v>
      </c>
      <c r="U50" s="758" t="s">
        <v>17</v>
      </c>
      <c r="V50" s="758" t="s">
        <v>17</v>
      </c>
      <c r="W50" s="758" t="s">
        <v>17</v>
      </c>
      <c r="X50" s="758" t="s">
        <v>17</v>
      </c>
      <c r="Y50" s="758" t="s">
        <v>17</v>
      </c>
      <c r="Z50" s="758" t="s">
        <v>17</v>
      </c>
      <c r="AA50" s="758" t="s">
        <v>17</v>
      </c>
      <c r="AB50" s="758" t="s">
        <v>17</v>
      </c>
      <c r="AC50" s="758" t="s">
        <v>17</v>
      </c>
      <c r="AD50" s="758" t="s">
        <v>17</v>
      </c>
      <c r="AE50" s="758" t="s">
        <v>17</v>
      </c>
      <c r="AF50" s="758" t="s">
        <v>17</v>
      </c>
      <c r="AG50" s="758" t="s">
        <v>17</v>
      </c>
      <c r="AH50" s="758" t="s">
        <v>17</v>
      </c>
      <c r="AI50" s="758" t="s">
        <v>17</v>
      </c>
      <c r="AJ50" s="758" t="s">
        <v>17</v>
      </c>
      <c r="AK50" s="758" t="s">
        <v>17</v>
      </c>
      <c r="AL50" s="758" t="s">
        <v>17</v>
      </c>
      <c r="AM50" s="758" t="s">
        <v>17</v>
      </c>
      <c r="AN50" s="758" t="s">
        <v>17</v>
      </c>
      <c r="AO50" s="758" t="s">
        <v>17</v>
      </c>
      <c r="AP50" s="747" t="s">
        <v>17</v>
      </c>
    </row>
    <row r="51" spans="1:42">
      <c r="A51" s="746" t="s">
        <v>1002</v>
      </c>
      <c r="B51" s="34">
        <f>(B48*$B$31)/((B47*$B$30)+(B48*$B$31))</f>
        <v>1.5145516204215181E-2</v>
      </c>
      <c r="C51" s="34">
        <f>(C48*$B$31)/((C47*$B$30)+(C48*$B$31))</f>
        <v>2.8797905972103247E-2</v>
      </c>
      <c r="D51" s="34">
        <f t="shared" ref="D51:J51" si="13">(D48*$B$31)/((D47*$B$30)+(D48*$B$31))</f>
        <v>3.0368414760730378E-2</v>
      </c>
      <c r="E51" s="34">
        <f t="shared" si="13"/>
        <v>3.2858075556639568E-2</v>
      </c>
      <c r="F51" s="34">
        <f t="shared" si="13"/>
        <v>3.2363717874721816E-2</v>
      </c>
      <c r="G51" s="34">
        <f t="shared" si="13"/>
        <v>3.7981898491944534E-2</v>
      </c>
      <c r="H51" s="34">
        <f t="shared" si="13"/>
        <v>4.3352976300632597E-2</v>
      </c>
      <c r="I51" s="34">
        <f t="shared" si="13"/>
        <v>4.4560145308969144E-2</v>
      </c>
      <c r="J51" s="34">
        <f t="shared" si="13"/>
        <v>4.5158565381788147E-2</v>
      </c>
      <c r="K51" s="34">
        <f>(K48*$B$31)/((K47*$B$30)+(K48*$B$31))</f>
        <v>4.5596796420089687E-2</v>
      </c>
      <c r="L51" s="752">
        <v>0.05</v>
      </c>
      <c r="M51" s="34">
        <f>L51+(($V$51-$L$51)/10)</f>
        <v>5.5E-2</v>
      </c>
      <c r="N51" s="34">
        <f t="shared" ref="N51:U51" si="14">M51+(($V$51-$L$51)/10)</f>
        <v>0.06</v>
      </c>
      <c r="O51" s="34">
        <f t="shared" si="14"/>
        <v>6.5000000000000002E-2</v>
      </c>
      <c r="P51" s="34">
        <f t="shared" si="14"/>
        <v>7.0000000000000007E-2</v>
      </c>
      <c r="Q51" s="34">
        <f t="shared" si="14"/>
        <v>7.5000000000000011E-2</v>
      </c>
      <c r="R51" s="34">
        <f t="shared" si="14"/>
        <v>8.0000000000000016E-2</v>
      </c>
      <c r="S51" s="34">
        <f t="shared" si="14"/>
        <v>8.500000000000002E-2</v>
      </c>
      <c r="T51" s="34">
        <f t="shared" si="14"/>
        <v>9.0000000000000024E-2</v>
      </c>
      <c r="U51" s="34">
        <f t="shared" si="14"/>
        <v>9.5000000000000029E-2</v>
      </c>
      <c r="V51" s="404">
        <v>0.1</v>
      </c>
      <c r="W51" s="34">
        <f>V51</f>
        <v>0.1</v>
      </c>
      <c r="X51" s="34">
        <f t="shared" ref="X51:AI51" si="15">W51</f>
        <v>0.1</v>
      </c>
      <c r="Y51" s="34">
        <f t="shared" si="15"/>
        <v>0.1</v>
      </c>
      <c r="Z51" s="34">
        <f t="shared" si="15"/>
        <v>0.1</v>
      </c>
      <c r="AA51" s="34">
        <f t="shared" si="15"/>
        <v>0.1</v>
      </c>
      <c r="AB51" s="34">
        <f t="shared" si="15"/>
        <v>0.1</v>
      </c>
      <c r="AC51" s="34">
        <f t="shared" si="15"/>
        <v>0.1</v>
      </c>
      <c r="AD51" s="34">
        <f t="shared" si="15"/>
        <v>0.1</v>
      </c>
      <c r="AE51" s="34">
        <f t="shared" si="15"/>
        <v>0.1</v>
      </c>
      <c r="AF51" s="34">
        <f t="shared" si="15"/>
        <v>0.1</v>
      </c>
      <c r="AG51" s="34">
        <f t="shared" si="15"/>
        <v>0.1</v>
      </c>
      <c r="AH51" s="34">
        <f t="shared" si="15"/>
        <v>0.1</v>
      </c>
      <c r="AI51" s="34">
        <f t="shared" si="15"/>
        <v>0.1</v>
      </c>
      <c r="AJ51" s="34">
        <f>AI51</f>
        <v>0.1</v>
      </c>
      <c r="AK51" s="34">
        <f t="shared" ref="AK51:AO51" si="16">AJ51</f>
        <v>0.1</v>
      </c>
      <c r="AL51" s="34">
        <f t="shared" si="16"/>
        <v>0.1</v>
      </c>
      <c r="AM51" s="34">
        <f t="shared" si="16"/>
        <v>0.1</v>
      </c>
      <c r="AN51" s="34">
        <f t="shared" si="16"/>
        <v>0.1</v>
      </c>
      <c r="AO51" s="34">
        <f t="shared" si="16"/>
        <v>0.1</v>
      </c>
      <c r="AP51" s="753">
        <f>AO51</f>
        <v>0.1</v>
      </c>
    </row>
    <row r="52" spans="1:42" ht="15" thickBot="1">
      <c r="A52" s="748" t="s">
        <v>1003</v>
      </c>
      <c r="B52" s="749">
        <f>(B50*$B$33)/((B49*$B$32)+(B50*$B$33))</f>
        <v>2.2613031440494664E-2</v>
      </c>
      <c r="C52" s="749">
        <f>(C50*$B$33)/((C49*$B$32)+(C50*$B$33))</f>
        <v>3.0614584580015675E-2</v>
      </c>
      <c r="D52" s="749">
        <f t="shared" ref="D52:K52" si="17">(D50*$B$33)/((D49*$B$32)+(D50*$B$33))</f>
        <v>2.5038929047601442E-2</v>
      </c>
      <c r="E52" s="749">
        <f t="shared" si="17"/>
        <v>3.1839344737629331E-2</v>
      </c>
      <c r="F52" s="749">
        <f t="shared" si="17"/>
        <v>3.6320649339008006E-2</v>
      </c>
      <c r="G52" s="749">
        <f t="shared" si="17"/>
        <v>3.6344417166647852E-2</v>
      </c>
      <c r="H52" s="749">
        <f t="shared" si="17"/>
        <v>2.9788521237398415E-2</v>
      </c>
      <c r="I52" s="749">
        <f t="shared" si="17"/>
        <v>4.3991498039437318E-2</v>
      </c>
      <c r="J52" s="749">
        <f t="shared" si="17"/>
        <v>4.087787346707978E-2</v>
      </c>
      <c r="K52" s="749">
        <f t="shared" si="17"/>
        <v>5.1152531327863002E-2</v>
      </c>
      <c r="L52" s="749">
        <f>K52</f>
        <v>5.1152531327863002E-2</v>
      </c>
      <c r="M52" s="749">
        <f>L52+(($V$52-$L$52)/10)</f>
        <v>5.6037278195076701E-2</v>
      </c>
      <c r="N52" s="749">
        <f t="shared" ref="N52:U52" si="18">M52+(($V$52-$L$52)/10)</f>
        <v>6.09220250622904E-2</v>
      </c>
      <c r="O52" s="749">
        <f t="shared" si="18"/>
        <v>6.5806771929504099E-2</v>
      </c>
      <c r="P52" s="749">
        <f t="shared" si="18"/>
        <v>7.0691518796717798E-2</v>
      </c>
      <c r="Q52" s="749">
        <f t="shared" si="18"/>
        <v>7.5576265663931497E-2</v>
      </c>
      <c r="R52" s="749">
        <f t="shared" si="18"/>
        <v>8.0461012531145196E-2</v>
      </c>
      <c r="S52" s="749">
        <f t="shared" si="18"/>
        <v>8.5345759398358895E-2</v>
      </c>
      <c r="T52" s="749">
        <f t="shared" si="18"/>
        <v>9.0230506265572594E-2</v>
      </c>
      <c r="U52" s="749">
        <f t="shared" si="18"/>
        <v>9.5115253132786293E-2</v>
      </c>
      <c r="V52" s="759">
        <v>0.1</v>
      </c>
      <c r="W52" s="749">
        <f t="shared" ref="W52:AP52" si="19">V52</f>
        <v>0.1</v>
      </c>
      <c r="X52" s="749">
        <f t="shared" si="19"/>
        <v>0.1</v>
      </c>
      <c r="Y52" s="749">
        <f t="shared" si="19"/>
        <v>0.1</v>
      </c>
      <c r="Z52" s="749">
        <f t="shared" si="19"/>
        <v>0.1</v>
      </c>
      <c r="AA52" s="749">
        <f t="shared" si="19"/>
        <v>0.1</v>
      </c>
      <c r="AB52" s="749">
        <f t="shared" si="19"/>
        <v>0.1</v>
      </c>
      <c r="AC52" s="749">
        <f t="shared" si="19"/>
        <v>0.1</v>
      </c>
      <c r="AD52" s="749">
        <f t="shared" si="19"/>
        <v>0.1</v>
      </c>
      <c r="AE52" s="749">
        <f t="shared" si="19"/>
        <v>0.1</v>
      </c>
      <c r="AF52" s="749">
        <f t="shared" si="19"/>
        <v>0.1</v>
      </c>
      <c r="AG52" s="749">
        <f t="shared" si="19"/>
        <v>0.1</v>
      </c>
      <c r="AH52" s="749">
        <f t="shared" si="19"/>
        <v>0.1</v>
      </c>
      <c r="AI52" s="749">
        <f t="shared" si="19"/>
        <v>0.1</v>
      </c>
      <c r="AJ52" s="749">
        <f t="shared" si="19"/>
        <v>0.1</v>
      </c>
      <c r="AK52" s="749">
        <f t="shared" si="19"/>
        <v>0.1</v>
      </c>
      <c r="AL52" s="749">
        <f t="shared" si="19"/>
        <v>0.1</v>
      </c>
      <c r="AM52" s="749">
        <f t="shared" si="19"/>
        <v>0.1</v>
      </c>
      <c r="AN52" s="749">
        <f t="shared" si="19"/>
        <v>0.1</v>
      </c>
      <c r="AO52" s="749">
        <f t="shared" si="19"/>
        <v>0.1</v>
      </c>
      <c r="AP52" s="754">
        <f t="shared" si="19"/>
        <v>0.1</v>
      </c>
    </row>
    <row r="53" spans="1:42">
      <c r="A53" s="742" t="s">
        <v>485</v>
      </c>
    </row>
    <row r="54" spans="1:42">
      <c r="K54"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opLeftCell="A40" zoomScale="55" zoomScaleNormal="55" workbookViewId="0">
      <selection activeCell="F47" sqref="F47"/>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8"/>
      <c r="C2" s="628"/>
      <c r="D2" s="628"/>
      <c r="E2" s="628"/>
      <c r="F2" s="628"/>
      <c r="G2" s="628"/>
      <c r="H2" s="628"/>
      <c r="I2" s="37"/>
      <c r="J2" s="37"/>
      <c r="K2" s="37"/>
      <c r="L2" s="37"/>
      <c r="M2" s="37"/>
      <c r="N2" s="37"/>
      <c r="O2" s="37"/>
      <c r="P2" s="37"/>
      <c r="Q2" s="37"/>
      <c r="R2" s="37"/>
      <c r="S2" s="37"/>
      <c r="T2" s="37"/>
      <c r="U2" s="37"/>
      <c r="V2" s="37"/>
      <c r="W2" s="37"/>
      <c r="X2" s="37"/>
      <c r="Y2" s="37"/>
      <c r="Z2" s="37"/>
      <c r="AA2" s="37"/>
      <c r="AB2" s="37"/>
      <c r="AC2" s="37"/>
      <c r="AD2" s="448"/>
      <c r="AE2" s="448"/>
    </row>
    <row r="3" spans="1:31">
      <c r="A3" s="629" t="s">
        <v>69</v>
      </c>
      <c r="B3" s="630" t="s">
        <v>70</v>
      </c>
      <c r="C3" s="630" t="s">
        <v>71</v>
      </c>
      <c r="D3" s="630" t="s">
        <v>72</v>
      </c>
      <c r="E3" s="630" t="s">
        <v>73</v>
      </c>
      <c r="F3" s="630" t="s">
        <v>74</v>
      </c>
      <c r="G3" s="630" t="s">
        <v>75</v>
      </c>
      <c r="H3" s="630"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1" t="s">
        <v>667</v>
      </c>
      <c r="B4" s="632"/>
      <c r="C4" s="632"/>
      <c r="D4" s="632"/>
      <c r="E4" s="632"/>
      <c r="F4" s="632"/>
      <c r="G4" s="632"/>
      <c r="H4" s="632"/>
      <c r="I4" s="37"/>
      <c r="J4" s="37"/>
      <c r="K4" s="37"/>
      <c r="L4" s="37"/>
      <c r="M4" s="37"/>
      <c r="N4" s="37"/>
      <c r="O4" s="37"/>
      <c r="P4" s="37"/>
      <c r="Q4" s="37"/>
      <c r="R4" s="37"/>
      <c r="S4" s="37"/>
      <c r="T4" s="37"/>
      <c r="U4" s="37"/>
      <c r="V4" s="37"/>
      <c r="W4" s="37"/>
      <c r="X4" s="37"/>
      <c r="Y4" s="37"/>
      <c r="Z4" s="37"/>
      <c r="AA4" s="37"/>
      <c r="AB4" s="37"/>
      <c r="AC4" s="37"/>
    </row>
    <row r="5" spans="1:31" s="459" customFormat="1">
      <c r="A5" s="633" t="s">
        <v>666</v>
      </c>
      <c r="B5" s="633"/>
      <c r="C5" s="633"/>
      <c r="D5" s="633"/>
      <c r="E5" s="633"/>
      <c r="F5" s="633"/>
      <c r="G5" s="633"/>
      <c r="H5" s="633"/>
      <c r="I5" s="37"/>
      <c r="J5" s="37"/>
      <c r="K5" s="37"/>
      <c r="L5" s="37"/>
      <c r="M5" s="37"/>
      <c r="N5" s="37"/>
      <c r="O5" s="37"/>
      <c r="P5" s="37"/>
      <c r="Q5" s="37"/>
      <c r="R5" s="37"/>
      <c r="S5" s="37"/>
      <c r="T5" s="37"/>
      <c r="U5" s="37"/>
      <c r="V5" s="37"/>
      <c r="W5" s="37"/>
      <c r="X5" s="37"/>
      <c r="Y5" s="37"/>
      <c r="Z5" s="37"/>
      <c r="AA5" s="37"/>
      <c r="AB5" s="37"/>
      <c r="AC5" s="37"/>
    </row>
    <row r="6" spans="1:31" s="459" customFormat="1">
      <c r="A6" s="634" t="s">
        <v>849</v>
      </c>
      <c r="B6" s="628" t="str">
        <f>Commodities!K8</f>
        <v>T-WLK_WLK</v>
      </c>
      <c r="C6" s="628" t="str">
        <f>Commodities!L8</f>
        <v>TRA Walking</v>
      </c>
      <c r="D6" s="634" t="s">
        <v>868</v>
      </c>
      <c r="E6" s="634" t="s">
        <v>869</v>
      </c>
      <c r="F6" s="628"/>
      <c r="G6" s="634"/>
      <c r="H6" s="628"/>
      <c r="I6" s="37"/>
      <c r="J6" s="37"/>
      <c r="K6" s="37"/>
      <c r="L6" s="37"/>
      <c r="M6" s="37"/>
      <c r="N6" s="37"/>
      <c r="O6" s="37"/>
      <c r="P6" s="37"/>
      <c r="Q6" s="37"/>
      <c r="R6" s="37"/>
      <c r="S6" s="37"/>
      <c r="T6" s="37"/>
      <c r="U6" s="37"/>
      <c r="V6" s="37"/>
      <c r="W6" s="37"/>
      <c r="X6" s="37"/>
      <c r="Y6" s="37"/>
      <c r="Z6" s="37"/>
      <c r="AA6" s="37"/>
      <c r="AB6" s="37"/>
      <c r="AC6" s="37"/>
    </row>
    <row r="7" spans="1:31" s="459" customFormat="1">
      <c r="A7" s="628"/>
      <c r="B7" s="628" t="str">
        <f>Commodities!K9</f>
        <v>T-CYC_CYC</v>
      </c>
      <c r="C7" s="628" t="str">
        <f>Commodities!L9</f>
        <v>TRA Cycling</v>
      </c>
      <c r="D7" s="634" t="s">
        <v>868</v>
      </c>
      <c r="E7" s="634" t="s">
        <v>869</v>
      </c>
      <c r="F7" s="628"/>
      <c r="G7" s="634"/>
      <c r="H7" s="628"/>
      <c r="I7" s="127"/>
      <c r="J7" s="37"/>
      <c r="K7" s="37"/>
      <c r="L7" s="37"/>
      <c r="M7" s="37"/>
      <c r="N7" s="37"/>
      <c r="O7" s="37"/>
      <c r="P7" s="37"/>
      <c r="Q7" s="37"/>
      <c r="R7" s="37"/>
      <c r="S7" s="37"/>
      <c r="T7" s="37"/>
      <c r="U7" s="37"/>
      <c r="V7" s="37"/>
      <c r="W7" s="37"/>
      <c r="X7" s="37"/>
      <c r="Y7" s="37"/>
      <c r="Z7" s="37"/>
      <c r="AA7" s="37"/>
      <c r="AB7" s="37"/>
      <c r="AC7" s="37"/>
    </row>
    <row r="8" spans="1:31">
      <c r="A8" s="633" t="s">
        <v>538</v>
      </c>
      <c r="B8" s="633"/>
      <c r="C8" s="633"/>
      <c r="D8" s="633"/>
      <c r="E8" s="633"/>
      <c r="F8" s="633"/>
      <c r="G8" s="633"/>
      <c r="H8" s="633"/>
      <c r="I8" s="127"/>
      <c r="J8" s="37"/>
      <c r="K8" s="37"/>
      <c r="L8" s="37"/>
      <c r="M8" s="37"/>
      <c r="N8" s="37"/>
      <c r="O8" s="37"/>
      <c r="P8" s="37"/>
      <c r="Q8" s="37"/>
      <c r="R8" s="37"/>
      <c r="S8" s="37"/>
      <c r="T8" s="37"/>
      <c r="U8" s="37"/>
      <c r="V8" s="37"/>
      <c r="W8" s="37"/>
      <c r="X8" s="37"/>
      <c r="Y8" s="37"/>
      <c r="Z8" s="37"/>
      <c r="AA8" s="37"/>
      <c r="AB8" s="37"/>
      <c r="AC8" s="37"/>
      <c r="AD8" s="448"/>
      <c r="AE8" s="448"/>
    </row>
    <row r="9" spans="1:31">
      <c r="A9" s="26"/>
      <c r="B9" s="628" t="str">
        <f>Commodities!K11</f>
        <v>T-MOT-ICE_GSL00</v>
      </c>
      <c r="C9" s="628" t="str">
        <f>Commodities!L11</f>
        <v>TRA Motorcycles: Gasoline ICEs - Existing</v>
      </c>
      <c r="D9" s="634" t="s">
        <v>868</v>
      </c>
      <c r="E9" s="634" t="s">
        <v>869</v>
      </c>
      <c r="F9" s="628"/>
      <c r="G9" s="634"/>
      <c r="H9" s="628"/>
      <c r="I9" s="37"/>
      <c r="J9" s="37"/>
      <c r="K9" s="37"/>
      <c r="L9" s="37"/>
      <c r="M9" s="37"/>
      <c r="N9" s="37"/>
      <c r="O9" s="37"/>
      <c r="P9" s="37"/>
      <c r="Q9" s="37"/>
      <c r="R9" s="37"/>
      <c r="S9" s="37"/>
      <c r="T9" s="37"/>
      <c r="U9" s="37"/>
      <c r="V9" s="37"/>
      <c r="W9" s="37"/>
      <c r="X9" s="37"/>
      <c r="Y9" s="37"/>
      <c r="Z9" s="37"/>
      <c r="AA9" s="37"/>
      <c r="AB9" s="37"/>
      <c r="AC9" s="37"/>
      <c r="AD9" s="448"/>
      <c r="AE9" s="448"/>
    </row>
    <row r="10" spans="1:31">
      <c r="A10" s="633" t="s">
        <v>539</v>
      </c>
      <c r="B10" s="633"/>
      <c r="C10" s="633"/>
      <c r="D10" s="635"/>
      <c r="E10" s="633"/>
      <c r="F10" s="633"/>
      <c r="G10" s="633"/>
      <c r="H10" s="633"/>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8"/>
      <c r="B11" s="628" t="str">
        <f>Commodities!K13</f>
        <v>T-CAR-ICE_GSL00</v>
      </c>
      <c r="C11" s="628" t="str">
        <f>Commodities!L13</f>
        <v>TRA Cars: Gasoline ICEs - Existing</v>
      </c>
      <c r="D11" s="634" t="s">
        <v>868</v>
      </c>
      <c r="E11" s="634" t="s">
        <v>869</v>
      </c>
      <c r="F11" s="628"/>
      <c r="G11" s="634"/>
      <c r="H11" s="628"/>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8"/>
      <c r="B12" s="628" t="str">
        <f>Commodities!K14</f>
        <v>T-CAR-ICE_DST00</v>
      </c>
      <c r="C12" s="628" t="str">
        <f>Commodities!L14</f>
        <v>TRA Cars: Diesel ICEs - Existing</v>
      </c>
      <c r="D12" s="634" t="s">
        <v>868</v>
      </c>
      <c r="E12" s="634" t="s">
        <v>869</v>
      </c>
      <c r="F12" s="628"/>
      <c r="G12" s="634"/>
      <c r="H12" s="628"/>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8"/>
      <c r="B13" s="628" t="str">
        <f>Commodities!K15</f>
        <v>T-CAR-ICE_DF00</v>
      </c>
      <c r="C13" s="628" t="str">
        <f>Commodities!L15</f>
        <v>TRA Cars: Dual fuel ICEs - Existing</v>
      </c>
      <c r="D13" s="634" t="s">
        <v>868</v>
      </c>
      <c r="E13" s="634" t="s">
        <v>869</v>
      </c>
      <c r="F13" s="628"/>
      <c r="G13" s="634"/>
      <c r="H13" s="628"/>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8"/>
      <c r="B14" s="628" t="str">
        <f>Commodities!K16</f>
        <v>T-CAR-ICE_E8500</v>
      </c>
      <c r="C14" s="628" t="str">
        <f>Commodities!L16</f>
        <v>TRA Cars: Flex fuel ICEs - Existing</v>
      </c>
      <c r="D14" s="634" t="s">
        <v>868</v>
      </c>
      <c r="E14" s="634" t="s">
        <v>869</v>
      </c>
      <c r="F14" s="628"/>
      <c r="G14" s="634"/>
      <c r="H14" s="628"/>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8"/>
      <c r="B15" s="628" t="str">
        <f>Commodities!K17</f>
        <v>T-CAR-HEV_GSL00</v>
      </c>
      <c r="C15" s="628" t="str">
        <f>Commodities!L17</f>
        <v>TRA Cars: Gasoline HEV - Existing</v>
      </c>
      <c r="D15" s="634" t="s">
        <v>868</v>
      </c>
      <c r="E15" s="634" t="s">
        <v>869</v>
      </c>
      <c r="F15" s="628"/>
      <c r="G15" s="634"/>
      <c r="H15" s="628"/>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8"/>
      <c r="B16" s="628" t="str">
        <f>Commodities!K18</f>
        <v>T-CAR-HEV_DST00</v>
      </c>
      <c r="C16" s="628" t="str">
        <f>Commodities!L18</f>
        <v>TRA Cars: Diesel HEV - Existing</v>
      </c>
      <c r="D16" s="634" t="s">
        <v>868</v>
      </c>
      <c r="E16" s="634" t="s">
        <v>869</v>
      </c>
      <c r="F16" s="628"/>
      <c r="G16" s="634"/>
      <c r="H16" s="628"/>
      <c r="I16" s="37"/>
      <c r="J16" s="37"/>
      <c r="K16" s="37"/>
      <c r="L16" s="37"/>
      <c r="M16" s="37"/>
      <c r="N16" s="37"/>
      <c r="O16" s="37"/>
      <c r="P16" s="37"/>
      <c r="Q16" s="37"/>
      <c r="R16" s="37"/>
      <c r="S16" s="37"/>
      <c r="T16" s="37"/>
      <c r="U16" s="37"/>
      <c r="V16" s="37"/>
      <c r="W16" s="37"/>
      <c r="X16" s="37"/>
      <c r="Y16" s="37"/>
      <c r="Z16" s="37"/>
      <c r="AA16" s="37"/>
      <c r="AB16" s="37"/>
      <c r="AC16" s="37"/>
    </row>
    <row r="17" spans="1:31">
      <c r="A17" s="628"/>
      <c r="B17" s="628" t="str">
        <f>Commodities!K19</f>
        <v>T-CAR-PHEV_GSL00</v>
      </c>
      <c r="C17" s="628" t="str">
        <f>Commodities!L19</f>
        <v>TRA Cars: Gasoline PHEV - Existing</v>
      </c>
      <c r="D17" s="634" t="s">
        <v>868</v>
      </c>
      <c r="E17" s="634" t="s">
        <v>869</v>
      </c>
      <c r="F17" s="628"/>
      <c r="G17" s="634"/>
      <c r="H17" s="628"/>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8"/>
      <c r="B18" s="628" t="str">
        <f>Commodities!K20</f>
        <v>T-CAR-PHEV_DST00</v>
      </c>
      <c r="C18" s="628" t="str">
        <f>Commodities!L20</f>
        <v>TRA Cars: Diesel PHEV - Existing</v>
      </c>
      <c r="D18" s="634" t="s">
        <v>868</v>
      </c>
      <c r="E18" s="634" t="s">
        <v>869</v>
      </c>
      <c r="F18" s="628"/>
      <c r="G18" s="634"/>
      <c r="H18" s="628"/>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8"/>
      <c r="B19" s="628" t="str">
        <f>Commodities!K21</f>
        <v>T-CAR-BEV_ELC00</v>
      </c>
      <c r="C19" s="628" t="str">
        <f>Commodities!L21</f>
        <v>TRA Cars: Battery Electric Vehicle - Existing</v>
      </c>
      <c r="D19" s="634" t="s">
        <v>868</v>
      </c>
      <c r="E19" s="634" t="s">
        <v>869</v>
      </c>
      <c r="F19" s="628"/>
      <c r="G19" s="634"/>
      <c r="H19" s="628"/>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3" t="s">
        <v>554</v>
      </c>
      <c r="B20" s="633"/>
      <c r="C20" s="633"/>
      <c r="D20" s="635"/>
      <c r="E20" s="633"/>
      <c r="F20" s="633"/>
      <c r="G20" s="633"/>
      <c r="H20" s="633"/>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8"/>
      <c r="B21" s="628" t="str">
        <f>Commodities!K23</f>
        <v>T-TAX-ICE_GSL00</v>
      </c>
      <c r="C21" s="628" t="str">
        <f>Commodities!L23</f>
        <v>TRA Taxis: Gasoline ICEs - Existing</v>
      </c>
      <c r="D21" s="634" t="s">
        <v>868</v>
      </c>
      <c r="E21" s="634" t="s">
        <v>869</v>
      </c>
      <c r="F21" s="628"/>
      <c r="G21" s="634"/>
      <c r="H21" s="628"/>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8"/>
      <c r="B22" s="628" t="str">
        <f>Commodities!K24</f>
        <v>T-TAX-ICE_DST00</v>
      </c>
      <c r="C22" s="628" t="str">
        <f>Commodities!L24</f>
        <v>TRA Taxis: Diesel ICEs - Existing</v>
      </c>
      <c r="D22" s="634" t="s">
        <v>868</v>
      </c>
      <c r="E22" s="634" t="s">
        <v>869</v>
      </c>
      <c r="F22" s="628"/>
      <c r="G22" s="634"/>
      <c r="H22" s="628"/>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8"/>
      <c r="B23" s="628" t="str">
        <f>Commodities!K25</f>
        <v>T-TAX-HEV_GSL00</v>
      </c>
      <c r="C23" s="628" t="str">
        <f>Commodities!L25</f>
        <v>TRA Taxis: Gasoline HEVs - Existing</v>
      </c>
      <c r="D23" s="634" t="s">
        <v>868</v>
      </c>
      <c r="E23" s="634" t="s">
        <v>869</v>
      </c>
      <c r="F23" s="628"/>
      <c r="G23" s="634"/>
      <c r="H23" s="628"/>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3" t="s">
        <v>593</v>
      </c>
      <c r="B24" s="633"/>
      <c r="C24" s="633"/>
      <c r="D24" s="635"/>
      <c r="E24" s="633"/>
      <c r="F24" s="633"/>
      <c r="G24" s="633"/>
      <c r="H24" s="633"/>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8"/>
      <c r="B25" s="628" t="str">
        <f>Commodities!K27</f>
        <v>T-BUS-ICE_DST00</v>
      </c>
      <c r="C25" s="628" t="str">
        <f>Commodities!L27</f>
        <v>TRA BUS: Diesel ICEs - Existing</v>
      </c>
      <c r="D25" s="634" t="s">
        <v>868</v>
      </c>
      <c r="E25" s="634" t="s">
        <v>869</v>
      </c>
      <c r="F25" s="628"/>
      <c r="G25" s="634"/>
      <c r="H25" s="628"/>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3" t="s">
        <v>115</v>
      </c>
      <c r="B26" s="633"/>
      <c r="C26" s="633"/>
      <c r="D26" s="635"/>
      <c r="E26" s="633"/>
      <c r="F26" s="633"/>
      <c r="G26" s="633"/>
      <c r="H26" s="633"/>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8"/>
      <c r="B27" s="628" t="str">
        <f>Commodities!K29</f>
        <v>T-LPT-EV_ELC00</v>
      </c>
      <c r="C27" s="628" t="str">
        <f>Commodities!L29</f>
        <v>TRA Light Passenger Train: Electric - Existing</v>
      </c>
      <c r="D27" s="634" t="s">
        <v>868</v>
      </c>
      <c r="E27" s="634" t="s">
        <v>869</v>
      </c>
      <c r="F27" s="628"/>
      <c r="G27" s="634"/>
      <c r="H27" s="628"/>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8"/>
      <c r="B28" s="628" t="str">
        <f>Commodities!K30</f>
        <v>T-HPT-EV_ELC00</v>
      </c>
      <c r="C28" s="628" t="str">
        <f>Commodities!L30</f>
        <v>TRA Heavy Passenger Train: Electric - Existing</v>
      </c>
      <c r="D28" s="634" t="s">
        <v>868</v>
      </c>
      <c r="E28" s="634" t="s">
        <v>869</v>
      </c>
      <c r="F28" s="628"/>
      <c r="G28" s="634"/>
      <c r="H28" s="628"/>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8"/>
      <c r="B29" s="628" t="str">
        <f>Commodities!K31</f>
        <v>T-HPT-ICE_DST00</v>
      </c>
      <c r="C29" s="628" t="str">
        <f>Commodities!L31</f>
        <v>TRA Heavy Passenger Train: Diesel - Existing</v>
      </c>
      <c r="D29" s="634" t="s">
        <v>868</v>
      </c>
      <c r="E29" s="634" t="s">
        <v>869</v>
      </c>
      <c r="F29" s="628"/>
      <c r="G29" s="634"/>
      <c r="H29" s="628"/>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1" t="s">
        <v>668</v>
      </c>
      <c r="B30" s="632"/>
      <c r="C30" s="632"/>
      <c r="D30" s="632"/>
      <c r="E30" s="632"/>
      <c r="F30" s="632"/>
      <c r="G30" s="632"/>
      <c r="H30" s="632"/>
      <c r="I30" s="127"/>
      <c r="J30" s="127"/>
    </row>
    <row r="31" spans="1:31" s="459" customFormat="1">
      <c r="A31" s="633" t="s">
        <v>855</v>
      </c>
      <c r="B31" s="633"/>
      <c r="C31" s="633"/>
      <c r="D31" s="635"/>
      <c r="E31" s="633"/>
      <c r="F31" s="633"/>
      <c r="G31" s="633"/>
      <c r="H31" s="633"/>
      <c r="I31" s="127"/>
      <c r="J31" s="127"/>
      <c r="K31" s="127"/>
    </row>
    <row r="32" spans="1:31" s="459" customFormat="1">
      <c r="A32" s="628"/>
      <c r="B32" s="628" t="str">
        <f>Commodities!K34</f>
        <v>T-LGT-ICE_GSL00</v>
      </c>
      <c r="C32" s="628" t="str">
        <f>Commodities!L34</f>
        <v>TRA Light Goods Truck: Gasoline ICEs - Existing</v>
      </c>
      <c r="D32" s="634" t="s">
        <v>981</v>
      </c>
      <c r="E32" s="634" t="s">
        <v>869</v>
      </c>
      <c r="F32" s="628"/>
      <c r="G32" s="634"/>
      <c r="H32" s="628"/>
      <c r="I32" s="127"/>
      <c r="J32" s="127"/>
      <c r="K32" s="127"/>
    </row>
    <row r="33" spans="1:91" s="714" customFormat="1">
      <c r="A33" s="628"/>
      <c r="B33" s="628" t="str">
        <f>Commodities!K35</f>
        <v>T-LGT-ICE_DST00</v>
      </c>
      <c r="C33" s="628" t="str">
        <f>Commodities!L35</f>
        <v>TRA Light Goods Truck: Diesel ICEs - Existing</v>
      </c>
      <c r="D33" s="634" t="s">
        <v>981</v>
      </c>
      <c r="E33" s="634" t="s">
        <v>869</v>
      </c>
      <c r="F33" s="628"/>
      <c r="G33" s="634"/>
      <c r="H33" s="628"/>
      <c r="I33" s="127"/>
      <c r="J33" s="127"/>
      <c r="K33" s="127"/>
    </row>
    <row r="34" spans="1:91" s="714" customFormat="1">
      <c r="A34" s="628"/>
      <c r="B34" s="628" t="str">
        <f>Commodities!K36</f>
        <v>T-MGT-ICE_DST00</v>
      </c>
      <c r="C34" s="628" t="str">
        <f>Commodities!L36</f>
        <v>TRA Medium Goods Truck: Diesel ICEs - Existing</v>
      </c>
      <c r="D34" s="634" t="s">
        <v>981</v>
      </c>
      <c r="E34" s="634" t="s">
        <v>869</v>
      </c>
      <c r="F34" s="628"/>
      <c r="G34" s="634"/>
      <c r="H34" s="628"/>
      <c r="I34" s="127"/>
      <c r="J34" s="127"/>
      <c r="K34" s="127"/>
    </row>
    <row r="35" spans="1:91" s="459" customFormat="1">
      <c r="A35" s="628"/>
      <c r="B35" s="628" t="str">
        <f>Commodities!K37</f>
        <v>T-HGT-ICE_DST00</v>
      </c>
      <c r="C35" s="628" t="str">
        <f>Commodities!L37</f>
        <v>TRA Heavy Goods Truck: Diesel ICEs - Existing</v>
      </c>
      <c r="D35" s="634" t="s">
        <v>981</v>
      </c>
      <c r="E35" s="634" t="s">
        <v>869</v>
      </c>
      <c r="F35" s="628"/>
      <c r="G35" s="634"/>
      <c r="H35" s="628"/>
      <c r="I35" s="127"/>
      <c r="J35" s="127"/>
      <c r="K35" s="127"/>
    </row>
    <row r="36" spans="1:91" s="459" customFormat="1">
      <c r="A36" s="628"/>
      <c r="B36" s="628" t="str">
        <f>Commodities!K38</f>
        <v>T-GTR-ICE_DST00</v>
      </c>
      <c r="C36" s="628" t="str">
        <f>Commodities!L38</f>
        <v>TRA Goods Train: ICE Diesel Train - Existing</v>
      </c>
      <c r="D36" s="634" t="s">
        <v>981</v>
      </c>
      <c r="E36" s="634" t="s">
        <v>869</v>
      </c>
      <c r="F36" s="628"/>
      <c r="G36" s="634"/>
      <c r="H36" s="628"/>
      <c r="I36" s="127"/>
      <c r="J36" s="127"/>
      <c r="K36" s="127"/>
    </row>
    <row r="37" spans="1:91" s="459" customFormat="1">
      <c r="A37" s="631" t="s">
        <v>749</v>
      </c>
      <c r="B37" s="632"/>
      <c r="C37" s="632"/>
      <c r="D37" s="668"/>
      <c r="E37" s="632"/>
      <c r="F37" s="632"/>
      <c r="G37" s="632"/>
      <c r="H37" s="632"/>
      <c r="I37" s="127"/>
      <c r="J37" s="127"/>
      <c r="K37" s="127"/>
    </row>
    <row r="38" spans="1:91" s="459" customFormat="1">
      <c r="A38" s="628"/>
      <c r="B38" s="628" t="str">
        <f>Commodities!K40</f>
        <v>T-TUR_CON00</v>
      </c>
      <c r="C38" s="628" t="str">
        <f>Commodities!L40</f>
        <v>TRA Tourism: Conventional Tourism Vehicles - Existing</v>
      </c>
      <c r="D38" s="634" t="s">
        <v>88</v>
      </c>
      <c r="E38" s="28" t="s">
        <v>871</v>
      </c>
      <c r="F38" s="628"/>
      <c r="G38" s="634"/>
      <c r="H38" s="628"/>
      <c r="I38" s="127"/>
      <c r="J38" s="127"/>
      <c r="K38" s="127"/>
    </row>
    <row r="39" spans="1:91" s="459" customFormat="1">
      <c r="A39" s="628"/>
      <c r="B39" s="628" t="str">
        <f>Commodities!K41</f>
        <v>T-NAV_CON00</v>
      </c>
      <c r="C39" s="628" t="str">
        <f>Commodities!L41</f>
        <v>TRA Navigation: Conventional Navigation Vehicles - Existing</v>
      </c>
      <c r="D39" s="634" t="s">
        <v>88</v>
      </c>
      <c r="E39" s="28" t="s">
        <v>871</v>
      </c>
      <c r="F39" s="628"/>
      <c r="G39" s="634"/>
      <c r="H39" s="628"/>
      <c r="I39" s="127"/>
      <c r="J39" s="127"/>
      <c r="K39" s="127"/>
    </row>
    <row r="40" spans="1:91" s="459" customFormat="1">
      <c r="A40" s="628"/>
      <c r="B40" s="628" t="str">
        <f>Commodities!K42</f>
        <v>T-OTH_CON00</v>
      </c>
      <c r="C40" s="628" t="str">
        <f>Commodities!L42</f>
        <v xml:space="preserve">TRA Unspecified: Conventional Unspecified Vehicles - Existing </v>
      </c>
      <c r="D40" s="634" t="s">
        <v>88</v>
      </c>
      <c r="E40" s="28" t="s">
        <v>871</v>
      </c>
      <c r="F40" s="628"/>
      <c r="G40" s="634"/>
      <c r="H40" s="628"/>
      <c r="I40" s="127"/>
      <c r="J40" s="127"/>
      <c r="K40" s="127"/>
    </row>
    <row r="41" spans="1:91" s="459" customFormat="1">
      <c r="A41" s="631" t="s">
        <v>751</v>
      </c>
      <c r="B41" s="632"/>
      <c r="C41" s="632"/>
      <c r="D41" s="632"/>
      <c r="E41" s="632"/>
      <c r="F41" s="632"/>
      <c r="G41" s="632"/>
      <c r="H41" s="632"/>
      <c r="I41" s="127"/>
      <c r="J41" s="127"/>
      <c r="K41" s="645"/>
    </row>
    <row r="42" spans="1:91" s="459" customFormat="1">
      <c r="A42" s="26"/>
      <c r="B42" s="26" t="str">
        <f>Commodities!K44</f>
        <v>T-AVI_DOM00</v>
      </c>
      <c r="C42" s="26" t="str">
        <f>Commodities!L44</f>
        <v>TRA Domestic Aviation: Aviation for Domestic Flights</v>
      </c>
      <c r="D42" s="634" t="s">
        <v>88</v>
      </c>
      <c r="E42" s="28" t="s">
        <v>871</v>
      </c>
      <c r="F42" s="26"/>
      <c r="G42" s="634"/>
      <c r="H42" s="26"/>
      <c r="I42" s="127"/>
      <c r="J42" s="127"/>
      <c r="K42" s="127"/>
    </row>
    <row r="43" spans="1:91" s="459" customFormat="1">
      <c r="A43" s="637"/>
      <c r="B43" s="637" t="str">
        <f>Commodities!K45</f>
        <v>T-AVI_INT00</v>
      </c>
      <c r="C43" s="637" t="str">
        <f>Commodities!L45</f>
        <v>TRA International Aviation: Aviation for International Flights</v>
      </c>
      <c r="D43" s="639" t="s">
        <v>88</v>
      </c>
      <c r="E43" s="129" t="s">
        <v>871</v>
      </c>
      <c r="F43" s="637"/>
      <c r="G43" s="639"/>
      <c r="H43" s="637"/>
      <c r="I43" s="127"/>
      <c r="J43" s="127"/>
      <c r="K43" s="127"/>
      <c r="BK43" s="714"/>
      <c r="BL43" s="714"/>
      <c r="BM43" s="714"/>
      <c r="BN43" s="714"/>
      <c r="BO43" s="714"/>
      <c r="BP43" s="714"/>
      <c r="BQ43" s="714"/>
      <c r="BR43" s="714"/>
      <c r="BS43" s="714"/>
      <c r="BT43" s="714"/>
      <c r="BU43" s="714"/>
      <c r="BV43" s="714"/>
      <c r="BW43" s="714"/>
      <c r="BX43" s="714"/>
      <c r="BY43" s="714"/>
      <c r="BZ43" s="714"/>
      <c r="CA43" s="714"/>
      <c r="CB43" s="714"/>
      <c r="CC43" s="714"/>
      <c r="CD43" s="714"/>
      <c r="CE43" s="714"/>
      <c r="CF43" s="714"/>
      <c r="CG43" s="714"/>
      <c r="CH43" s="714"/>
      <c r="CI43" s="714"/>
      <c r="CJ43" s="714"/>
      <c r="CK43" s="714"/>
      <c r="CL43" s="714"/>
      <c r="CM43" s="714"/>
    </row>
    <row r="44" spans="1:91" s="459" customFormat="1">
      <c r="I44" s="127"/>
      <c r="J44" s="127"/>
      <c r="K44" s="127"/>
      <c r="AK44" s="714"/>
      <c r="BK44" s="714"/>
      <c r="BL44" s="714"/>
      <c r="BM44" s="714"/>
      <c r="BN44" s="714"/>
      <c r="BO44" s="714"/>
      <c r="BP44" s="714"/>
      <c r="BQ44" s="714"/>
      <c r="BR44" s="714"/>
      <c r="BS44" s="714"/>
      <c r="BT44" s="714"/>
      <c r="BU44" s="714"/>
      <c r="BV44" s="714"/>
      <c r="BW44" s="714"/>
      <c r="BX44" s="714"/>
      <c r="BY44" s="714"/>
      <c r="BZ44" s="714"/>
      <c r="CA44" s="714"/>
      <c r="CB44" s="714"/>
      <c r="CC44" s="714"/>
      <c r="CD44" s="714"/>
      <c r="CE44" s="714"/>
      <c r="CF44" s="714"/>
      <c r="CG44" s="714"/>
      <c r="CH44" s="714"/>
      <c r="CI44" s="714"/>
      <c r="CJ44" s="714"/>
      <c r="CK44" s="714"/>
      <c r="CL44" s="714"/>
      <c r="CM44" s="714"/>
    </row>
    <row r="45" spans="1:91" s="459" customFormat="1">
      <c r="A45" s="127"/>
      <c r="B45" s="127"/>
      <c r="C45" s="127"/>
      <c r="D45" s="28"/>
      <c r="E45" s="28"/>
      <c r="F45" s="127"/>
      <c r="G45" s="127"/>
      <c r="H45" s="585"/>
      <c r="I45" s="127"/>
      <c r="J45" s="127"/>
      <c r="BK45" s="714"/>
      <c r="BL45" s="714"/>
      <c r="BM45" s="714"/>
      <c r="BN45" s="714"/>
      <c r="BO45" s="714"/>
      <c r="BP45" s="714"/>
      <c r="BQ45" s="714"/>
      <c r="BR45" s="714"/>
      <c r="BS45" s="714"/>
      <c r="BT45" s="714"/>
      <c r="BU45" s="714"/>
      <c r="BV45" s="714"/>
      <c r="BW45" s="714"/>
      <c r="BX45" s="714"/>
      <c r="BY45" s="714"/>
      <c r="BZ45" s="714"/>
      <c r="CA45" s="714"/>
      <c r="CB45" s="714"/>
      <c r="CC45" s="714"/>
      <c r="CD45" s="714"/>
      <c r="CE45" s="714"/>
      <c r="CF45" s="714"/>
      <c r="CG45" s="714"/>
      <c r="CH45" s="714"/>
      <c r="CI45" s="714"/>
      <c r="CJ45" s="714"/>
      <c r="CK45" s="714"/>
      <c r="CL45" s="714"/>
      <c r="CM45" s="714"/>
    </row>
    <row r="46" spans="1:91">
      <c r="A46" s="127"/>
      <c r="B46" s="127"/>
      <c r="C46" s="127"/>
      <c r="D46" s="127"/>
      <c r="E46" s="127"/>
      <c r="F46" s="127"/>
      <c r="G46" s="127"/>
      <c r="H46" s="127"/>
      <c r="I46" s="127"/>
      <c r="J46" s="127"/>
      <c r="K46" s="448"/>
      <c r="L46" s="448"/>
      <c r="M46" s="448"/>
      <c r="N46" s="448"/>
      <c r="O46" s="448"/>
      <c r="P46" s="448"/>
      <c r="Q46" s="448"/>
      <c r="R46" s="448"/>
      <c r="S46" s="448"/>
      <c r="T46" s="448"/>
      <c r="U46" s="448"/>
      <c r="V46" s="448"/>
      <c r="W46" s="448"/>
      <c r="X46" s="448"/>
      <c r="Y46" s="448"/>
      <c r="Z46" s="448"/>
      <c r="AA46" s="448"/>
      <c r="AB46" s="448"/>
      <c r="AC46" s="448"/>
      <c r="AD46" s="448"/>
      <c r="AE46" s="448"/>
      <c r="BK46" s="714"/>
      <c r="BL46" s="714"/>
      <c r="BM46" s="714"/>
      <c r="BN46" s="714"/>
      <c r="BO46" s="714"/>
      <c r="BP46" s="714"/>
      <c r="BQ46" s="714"/>
      <c r="BR46" s="714"/>
      <c r="BS46" s="714"/>
      <c r="BT46" s="714"/>
      <c r="BU46" s="714"/>
      <c r="BV46" s="714"/>
      <c r="BW46" s="714"/>
      <c r="BX46" s="714"/>
      <c r="BY46" s="714"/>
      <c r="BZ46" s="714"/>
      <c r="CA46" s="714"/>
      <c r="CB46" s="714"/>
      <c r="CC46" s="714"/>
      <c r="CD46" s="714"/>
      <c r="CE46" s="714"/>
      <c r="CF46" s="714"/>
      <c r="CG46" s="714"/>
      <c r="CH46" s="714"/>
      <c r="CI46" s="714"/>
      <c r="CJ46" s="714"/>
      <c r="CK46" s="714"/>
      <c r="CL46" s="714"/>
      <c r="CM46" s="714"/>
    </row>
    <row r="47" spans="1:91">
      <c r="A47" s="39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BK47" s="714"/>
      <c r="BL47" s="714"/>
      <c r="BM47" s="714"/>
      <c r="BN47" s="714"/>
      <c r="BO47" s="714"/>
      <c r="BP47" s="714"/>
      <c r="BQ47" s="714"/>
      <c r="BR47" s="714"/>
      <c r="BS47" s="714"/>
      <c r="BT47" s="714"/>
      <c r="BU47" s="714"/>
      <c r="BV47" s="714"/>
      <c r="BW47" s="714"/>
      <c r="BX47" s="714"/>
      <c r="BY47" s="714"/>
      <c r="BZ47" s="714"/>
      <c r="CA47" s="714"/>
      <c r="CB47" s="714"/>
      <c r="CC47" s="714"/>
      <c r="CD47" s="714"/>
      <c r="CE47" s="714"/>
      <c r="CF47" s="714"/>
      <c r="CG47" s="714"/>
      <c r="CH47" s="714"/>
      <c r="CI47" s="714"/>
      <c r="CJ47" s="714"/>
      <c r="CK47" s="714"/>
      <c r="CL47" s="714"/>
      <c r="CM47" s="714"/>
    </row>
    <row r="48" spans="1:91">
      <c r="A48" s="39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G48" t="s">
        <v>1104</v>
      </c>
      <c r="BK48" s="714" t="s">
        <v>324</v>
      </c>
      <c r="BL48" s="714"/>
      <c r="BM48" s="714"/>
      <c r="BN48" s="714"/>
      <c r="BO48" s="714"/>
      <c r="BP48" s="714"/>
      <c r="BQ48" s="714"/>
      <c r="BR48" s="714"/>
      <c r="BS48" s="714"/>
      <c r="BT48" s="714"/>
      <c r="BU48" s="714"/>
      <c r="BV48" s="714"/>
      <c r="BW48" s="714"/>
      <c r="BX48" s="714"/>
      <c r="BY48" s="714"/>
      <c r="BZ48" s="714"/>
      <c r="CA48" s="714"/>
      <c r="CB48" s="714"/>
      <c r="CC48" s="714"/>
      <c r="CD48" s="714"/>
      <c r="CE48" s="714"/>
      <c r="CF48" s="714"/>
      <c r="CG48" s="714"/>
      <c r="CH48" s="714"/>
      <c r="CI48" s="714"/>
      <c r="CJ48" s="714"/>
      <c r="CK48" s="714"/>
      <c r="CL48" s="714"/>
      <c r="CM48" s="714"/>
    </row>
    <row r="49" spans="1:91">
      <c r="A49" s="448"/>
      <c r="C49" s="448"/>
      <c r="D49" s="453" t="s">
        <v>983</v>
      </c>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G49" t="s">
        <v>1092</v>
      </c>
      <c r="BK49" s="714" t="s">
        <v>1101</v>
      </c>
      <c r="BL49" s="714"/>
      <c r="BM49" s="714"/>
      <c r="BN49" s="714"/>
      <c r="BO49" s="714"/>
      <c r="BP49" s="714"/>
      <c r="BQ49" s="714"/>
      <c r="BR49" s="714"/>
      <c r="BS49" s="714"/>
      <c r="BT49" s="714"/>
      <c r="BU49" s="714"/>
      <c r="BV49" s="714"/>
      <c r="BW49" s="714"/>
      <c r="BX49" s="714"/>
      <c r="BY49" s="714"/>
      <c r="BZ49" s="714"/>
      <c r="CA49" s="714"/>
      <c r="CB49" s="714"/>
      <c r="CC49" s="714"/>
      <c r="CD49" s="714"/>
      <c r="CE49" s="714"/>
      <c r="CF49" s="714"/>
      <c r="CG49" s="714"/>
      <c r="CH49" s="714"/>
      <c r="CI49" s="714"/>
      <c r="CJ49" s="714"/>
      <c r="CK49" s="714"/>
      <c r="CL49" s="714"/>
      <c r="CM49" s="714"/>
    </row>
    <row r="50" spans="1:91" ht="1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1103</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714"/>
    </row>
    <row r="51" spans="1:91" s="459" customFormat="1" ht="15.6">
      <c r="A51" s="455" t="s">
        <v>538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G51" s="455" t="str">
        <f>A51</f>
        <v>*Two-wheelers</v>
      </c>
      <c r="AH51" s="774"/>
      <c r="AI51" s="774"/>
      <c r="AJ51" s="774"/>
      <c r="AK51" s="774"/>
      <c r="AL51" s="774"/>
      <c r="AM51" s="774"/>
      <c r="AN51" s="774"/>
      <c r="AO51" s="774"/>
      <c r="AP51" s="774"/>
      <c r="AQ51" s="774"/>
      <c r="AR51" s="774"/>
      <c r="AS51" s="774"/>
      <c r="AT51" s="774"/>
      <c r="AU51" s="774"/>
      <c r="AV51" s="774"/>
      <c r="AW51" s="774"/>
      <c r="AX51" s="774"/>
      <c r="AY51" s="774"/>
      <c r="AZ51" s="774"/>
      <c r="BA51" s="774"/>
      <c r="BB51" s="774"/>
      <c r="BC51" s="774"/>
      <c r="BD51" s="774"/>
      <c r="BE51" s="774"/>
      <c r="BF51" s="774"/>
      <c r="BG51" s="774"/>
      <c r="BH51" s="774"/>
      <c r="BK51" s="455" t="s">
        <v>1102</v>
      </c>
      <c r="BL51" s="774"/>
      <c r="BM51" s="774"/>
      <c r="BN51" s="774"/>
      <c r="BO51" s="774"/>
      <c r="BP51" s="774"/>
      <c r="BQ51" s="774"/>
      <c r="BR51" s="774"/>
      <c r="BS51" s="774"/>
      <c r="BT51" s="774"/>
      <c r="BU51" s="774"/>
      <c r="BV51" s="774"/>
      <c r="BW51" s="774"/>
      <c r="BX51" s="774"/>
      <c r="BY51" s="774"/>
      <c r="BZ51" s="774"/>
      <c r="CA51" s="774"/>
      <c r="CB51" s="774"/>
      <c r="CC51" s="774"/>
      <c r="CD51" s="774"/>
      <c r="CE51" s="774"/>
      <c r="CF51" s="774"/>
      <c r="CG51" s="774"/>
      <c r="CH51" s="774"/>
      <c r="CI51" s="774"/>
      <c r="CJ51" s="774"/>
      <c r="CK51" s="774"/>
      <c r="CL51" s="774"/>
      <c r="CM51" s="714"/>
    </row>
    <row r="52" spans="1:91" s="459" customFormat="1">
      <c r="A52" s="448" t="str">
        <f>Commodities!K11</f>
        <v>T-MOT-ICE_GSL00</v>
      </c>
      <c r="B52" s="28" t="s">
        <v>869</v>
      </c>
      <c r="C52" s="459" t="str">
        <f>Commodities!B18</f>
        <v>TRAGSE</v>
      </c>
      <c r="D52" s="448" t="str">
        <f>Commodities!B22&amp;","&amp;Commodities!B23</f>
        <v>TRAPS,TRAPM</v>
      </c>
      <c r="E52" s="398">
        <f>SUM(F52:AE52)</f>
        <v>39.851999999999997</v>
      </c>
      <c r="F52" s="398">
        <f t="shared" ref="F52:AE52" si="2">D172/1000</f>
        <v>0.56299999999999994</v>
      </c>
      <c r="G52" s="398">
        <f t="shared" si="2"/>
        <v>12.616</v>
      </c>
      <c r="H52" s="398">
        <f t="shared" si="2"/>
        <v>2.1680000000000001</v>
      </c>
      <c r="I52" s="398">
        <f t="shared" si="2"/>
        <v>0.872</v>
      </c>
      <c r="J52" s="398">
        <f t="shared" si="2"/>
        <v>0.51300000000000001</v>
      </c>
      <c r="K52" s="398">
        <f t="shared" si="2"/>
        <v>0.21299999999999999</v>
      </c>
      <c r="L52" s="398">
        <f t="shared" si="2"/>
        <v>0.85499999999999998</v>
      </c>
      <c r="M52" s="398">
        <f t="shared" si="2"/>
        <v>1.6839999999999999</v>
      </c>
      <c r="N52" s="398">
        <f t="shared" si="2"/>
        <v>0.66900000000000004</v>
      </c>
      <c r="O52" s="398">
        <f t="shared" si="2"/>
        <v>0.60399999999999998</v>
      </c>
      <c r="P52" s="398">
        <f t="shared" si="2"/>
        <v>1.506</v>
      </c>
      <c r="Q52" s="398">
        <f t="shared" si="2"/>
        <v>1.554</v>
      </c>
      <c r="R52" s="398">
        <f t="shared" si="2"/>
        <v>0.92400000000000004</v>
      </c>
      <c r="S52" s="398">
        <f t="shared" si="2"/>
        <v>5.452</v>
      </c>
      <c r="T52" s="398">
        <f t="shared" si="2"/>
        <v>1.0620000000000001</v>
      </c>
      <c r="U52" s="398">
        <f t="shared" si="2"/>
        <v>1.4890000000000001</v>
      </c>
      <c r="V52" s="398">
        <f t="shared" si="2"/>
        <v>1.4119999999999999</v>
      </c>
      <c r="W52" s="398">
        <f t="shared" si="2"/>
        <v>1.2929999999999999</v>
      </c>
      <c r="X52" s="398">
        <f t="shared" si="2"/>
        <v>1.458</v>
      </c>
      <c r="Y52" s="398">
        <f t="shared" si="2"/>
        <v>0.16</v>
      </c>
      <c r="Z52" s="398">
        <f t="shared" si="2"/>
        <v>0.60499999999999998</v>
      </c>
      <c r="AA52" s="398">
        <f t="shared" si="2"/>
        <v>0.29499999999999998</v>
      </c>
      <c r="AB52" s="398">
        <f t="shared" si="2"/>
        <v>0.4</v>
      </c>
      <c r="AC52" s="398">
        <f t="shared" si="2"/>
        <v>0.44800000000000001</v>
      </c>
      <c r="AD52" s="398">
        <f t="shared" si="2"/>
        <v>0.73599999999999999</v>
      </c>
      <c r="AE52" s="398">
        <f t="shared" si="2"/>
        <v>0.30099999999999999</v>
      </c>
      <c r="AG52" s="101" t="str">
        <f t="shared" ref="AG52:AG72" si="3">A52</f>
        <v>T-MOT-ICE_GSL00</v>
      </c>
      <c r="AH52" s="656">
        <f>E52*AF!D6*ACT2FLO!D52/1000</f>
        <v>0.1197193932</v>
      </c>
      <c r="AI52" s="656">
        <f>F52*AF!E6*ACT2FLO!E52/1000</f>
        <v>1.6330940999999999E-3</v>
      </c>
      <c r="AJ52" s="656">
        <f>G52*AF!F6*ACT2FLO!F52/1000</f>
        <v>3.8829524800000001E-2</v>
      </c>
      <c r="AK52" s="656">
        <f>H52*AF!G6*ACT2FLO!G52/1000</f>
        <v>6.505734400000001E-3</v>
      </c>
      <c r="AL52" s="656">
        <f>I52*AF!H6*ACT2FLO!H52/1000</f>
        <v>2.5437984E-3</v>
      </c>
      <c r="AM52" s="656">
        <f>J52*AF!I6*ACT2FLO!I52/1000</f>
        <v>1.5292530000000002E-3</v>
      </c>
      <c r="AN52" s="656">
        <f>K52*AF!J6*ACT2FLO!J52/1000</f>
        <v>6.2534670000000006E-4</v>
      </c>
      <c r="AO52" s="656">
        <f>L52*AF!K6*ACT2FLO!K52/1000</f>
        <v>2.5938989999999998E-3</v>
      </c>
      <c r="AP52" s="656">
        <f>M52*AF!L6*ACT2FLO!L52/1000</f>
        <v>5.0422328000000001E-3</v>
      </c>
      <c r="AQ52" s="656">
        <f>N52*AF!M6*ACT2FLO!M52/1000</f>
        <v>1.9545504000000003E-3</v>
      </c>
      <c r="AR52" s="656">
        <f>O52*AF!N6*ACT2FLO!N52/1000</f>
        <v>1.7978663999999999E-3</v>
      </c>
      <c r="AS52" s="656">
        <f>P52*AF!O6*ACT2FLO!O52/1000</f>
        <v>4.4015862000000008E-3</v>
      </c>
      <c r="AT52" s="656">
        <f>Q52*AF!P6*ACT2FLO!P52/1000</f>
        <v>4.6495680000000015E-3</v>
      </c>
      <c r="AU52" s="656">
        <f>R52*AF!Q6*ACT2FLO!Q52/1000</f>
        <v>2.7707064000000005E-3</v>
      </c>
      <c r="AV52" s="656">
        <f>S52*AF!R6*ACT2FLO!R52/1000</f>
        <v>1.6120473600000004E-2</v>
      </c>
      <c r="AW52" s="656">
        <f>T52*AF!S6*ACT2FLO!S52/1000</f>
        <v>3.1307760000000005E-3</v>
      </c>
      <c r="AX52" s="656">
        <f>U52*AF!T6*ACT2FLO!T52/1000</f>
        <v>4.4223300000000012E-3</v>
      </c>
      <c r="AY52" s="656">
        <f>V52*AF!U6*ACT2FLO!U52/1000</f>
        <v>4.1843208000000003E-3</v>
      </c>
      <c r="AZ52" s="656">
        <f>W52*AF!V6*ACT2FLO!V52/1000</f>
        <v>3.7662504000000002E-3</v>
      </c>
      <c r="BA52" s="656">
        <f>X52*AF!W6*ACT2FLO!W52/1000</f>
        <v>4.3318637999999994E-3</v>
      </c>
      <c r="BB52" s="656">
        <f>Y52*AF!X6*ACT2FLO!X52/1000</f>
        <v>4.796E-4</v>
      </c>
      <c r="BC52" s="656">
        <f>Z52*AF!Y6*ACT2FLO!Y52/1000</f>
        <v>1.8088290000000003E-3</v>
      </c>
      <c r="BD52" s="656">
        <f>AA52*AF!Z6*ACT2FLO!Z52/1000</f>
        <v>8.8556050000000003E-4</v>
      </c>
      <c r="BE52" s="656">
        <f>AB52*AF!AA6*ACT2FLO!AA52/1000</f>
        <v>1.1651200000000002E-3</v>
      </c>
      <c r="BF52" s="656">
        <f>AC52*AF!AB6*ACT2FLO!AB52/1000</f>
        <v>1.3359808000000001E-3</v>
      </c>
      <c r="BG52" s="656">
        <f>AD52*AF!AC6*ACT2FLO!AC52/1000</f>
        <v>2.2612128000000006E-3</v>
      </c>
      <c r="BH52" s="656">
        <f>AE52*AF!AD6*ACT2FLO!AD52/1000</f>
        <v>9.2045800000000008E-4</v>
      </c>
      <c r="BK52" s="714" t="str">
        <f>A74</f>
        <v>T-LGT-ICE_GSL00</v>
      </c>
      <c r="BL52" s="656">
        <f>E74*AF!D23*ACT2FLO!D70/1000</f>
        <v>8.4201848862574039E-4</v>
      </c>
      <c r="BM52" s="656">
        <f>F74*AF!E23*ACT2FLO!E70/1000</f>
        <v>8.9421546583187683E-6</v>
      </c>
      <c r="BN52" s="656">
        <f>G74*AF!F23*ACT2FLO!F70/1000</f>
        <v>2.8139305205821604E-4</v>
      </c>
      <c r="BO52" s="656">
        <f>H74*AF!G23*ACT2FLO!G70/1000</f>
        <v>4.263150962868593E-5</v>
      </c>
      <c r="BP52" s="656">
        <f>I74*AF!H23*ACT2FLO!H70/1000</f>
        <v>1.694296635629948E-5</v>
      </c>
      <c r="BQ52" s="656">
        <f>J74*AF!I23*ACT2FLO!I70/1000</f>
        <v>2.2234579815439145E-5</v>
      </c>
      <c r="BR52" s="656">
        <f>K74*AF!J23*ACT2FLO!J70/1000</f>
        <v>6.367594023693619E-6</v>
      </c>
      <c r="BS52" s="656">
        <f>L74*AF!K23*ACT2FLO!K70/1000</f>
        <v>1.5340441122553245E-5</v>
      </c>
      <c r="BT52" s="656">
        <f>M74*AF!L23*ACT2FLO!L70/1000</f>
        <v>1.8138489837455382E-5</v>
      </c>
      <c r="BU52" s="656">
        <f>N74*AF!M23*ACT2FLO!M70/1000</f>
        <v>8.7831310228157324E-6</v>
      </c>
      <c r="BV52" s="656">
        <f>O74*AF!N23*ACT2FLO!N70/1000</f>
        <v>1.1151116251730151E-5</v>
      </c>
      <c r="BW52" s="656">
        <f>P74*AF!O23*ACT2FLO!O70/1000</f>
        <v>2.8100484346162368E-5</v>
      </c>
      <c r="BX52" s="656">
        <f>Q74*AF!P23*ACT2FLO!P70/1000</f>
        <v>4.110784776081316E-5</v>
      </c>
      <c r="BY52" s="656">
        <f>R74*AF!Q23*ACT2FLO!Q70/1000</f>
        <v>1.4531864162155561E-5</v>
      </c>
      <c r="BZ52" s="656">
        <f>S74*AF!R23*ACT2FLO!R70/1000</f>
        <v>1.499286792273567E-4</v>
      </c>
      <c r="CA52" s="656">
        <f>T74*AF!S23*ACT2FLO!S70/1000</f>
        <v>2.2413229805244411E-5</v>
      </c>
      <c r="CB52" s="656">
        <f>U74*AF!T23*ACT2FLO!T70/1000</f>
        <v>1.5247779076915033E-5</v>
      </c>
      <c r="CC52" s="656">
        <f>V74*AF!U23*ACT2FLO!U70/1000</f>
        <v>2.3264659905429681E-5</v>
      </c>
      <c r="CD52" s="656">
        <f>W74*AF!V23*ACT2FLO!V70/1000</f>
        <v>3.7304693801047606E-5</v>
      </c>
      <c r="CE52" s="656">
        <f>X74*AF!W23*ACT2FLO!W70/1000</f>
        <v>3.7373876925599331E-5</v>
      </c>
      <c r="CF52" s="656">
        <f>Y74*AF!X23*ACT2FLO!X70/1000</f>
        <v>1.372085162546971E-6</v>
      </c>
      <c r="CG52" s="656">
        <f>Z74*AF!Y23*ACT2FLO!Y70/1000</f>
        <v>1.2413384111880433E-5</v>
      </c>
      <c r="CH52" s="656">
        <f>AA74*AF!Z23*ACT2FLO!Z70/1000</f>
        <v>9.5761979031033097E-6</v>
      </c>
      <c r="CI52" s="656">
        <f>AB74*AF!AA23*ACT2FLO!AA70/1000</f>
        <v>7.0852297354632537E-6</v>
      </c>
      <c r="CJ52" s="656">
        <f>AC74*AF!AB23*ACT2FLO!AB70/1000</f>
        <v>4.981419004269161E-6</v>
      </c>
      <c r="CK52" s="656">
        <f>AD74*AF!AC23*ACT2FLO!AC70/1000</f>
        <v>2.3061461759664663E-5</v>
      </c>
      <c r="CL52" s="656">
        <f>AE74*AF!AD23*ACT2FLO!AD70/1000</f>
        <v>7.4789691493898373E-6</v>
      </c>
      <c r="CM52" s="714"/>
    </row>
    <row r="53" spans="1:91" s="459" customFormat="1" ht="15.6">
      <c r="A53" s="455" t="s">
        <v>539</v>
      </c>
      <c r="B53" s="455"/>
      <c r="C53" s="454"/>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1"/>
      <c r="AG53" s="455" t="str">
        <f t="shared" si="3"/>
        <v>*Private cars</v>
      </c>
      <c r="AH53" s="775"/>
      <c r="AI53" s="774"/>
      <c r="AJ53" s="774"/>
      <c r="AK53" s="774"/>
      <c r="AL53" s="774"/>
      <c r="AM53" s="774"/>
      <c r="AN53" s="774"/>
      <c r="AO53" s="774"/>
      <c r="AP53" s="774"/>
      <c r="AQ53" s="774"/>
      <c r="AR53" s="774"/>
      <c r="AS53" s="774"/>
      <c r="AT53" s="774"/>
      <c r="AU53" s="774"/>
      <c r="AV53" s="774"/>
      <c r="AW53" s="774"/>
      <c r="AX53" s="774"/>
      <c r="AY53" s="774"/>
      <c r="AZ53" s="774"/>
      <c r="BA53" s="774"/>
      <c r="BB53" s="774"/>
      <c r="BC53" s="774"/>
      <c r="BD53" s="774"/>
      <c r="BE53" s="774"/>
      <c r="BF53" s="774"/>
      <c r="BG53" s="774"/>
      <c r="BH53" s="774"/>
      <c r="BK53" s="714" t="str">
        <f>A77</f>
        <v>T-HGT-ICE_DST00</v>
      </c>
      <c r="BL53" s="656">
        <f>E77*AF!D26*ACT2FLO!D73/1000</f>
        <v>9.7711684335157898</v>
      </c>
      <c r="BM53" s="656">
        <f>F77*AF!E26*ACT2FLO!E73/1000</f>
        <v>0.14150153126841422</v>
      </c>
      <c r="BN53" s="656">
        <f>G77*AF!F26*ACT2FLO!F73/1000</f>
        <v>2.2519955497906801</v>
      </c>
      <c r="BO53" s="656">
        <f>H77*AF!G26*ACT2FLO!G73/1000</f>
        <v>0.41459558145850212</v>
      </c>
      <c r="BP53" s="656">
        <f>I77*AF!H26*ACT2FLO!H73/1000</f>
        <v>0.26847459460605017</v>
      </c>
      <c r="BQ53" s="656">
        <f>J77*AF!I26*ACT2FLO!I73/1000</f>
        <v>0.17770447582133139</v>
      </c>
      <c r="BR53" s="656">
        <f>K77*AF!J26*ACT2FLO!J73/1000</f>
        <v>8.8141018003144431E-2</v>
      </c>
      <c r="BS53" s="656">
        <f>L77*AF!K26*ACT2FLO!K73/1000</f>
        <v>0.24419332022567697</v>
      </c>
      <c r="BT53" s="656">
        <f>M77*AF!L26*ACT2FLO!L73/1000</f>
        <v>0.36877828997611134</v>
      </c>
      <c r="BU53" s="656">
        <f>N77*AF!M26*ACT2FLO!M73/1000</f>
        <v>0.16652059039973316</v>
      </c>
      <c r="BV53" s="656">
        <f>O77*AF!N26*ACT2FLO!N73/1000</f>
        <v>0.19357374253988496</v>
      </c>
      <c r="BW53" s="656">
        <f>P77*AF!O26*ACT2FLO!O73/1000</f>
        <v>0.41471506708691475</v>
      </c>
      <c r="BX53" s="656">
        <f>Q77*AF!P26*ACT2FLO!P73/1000</f>
        <v>0.24809797215820159</v>
      </c>
      <c r="BY53" s="656">
        <f>R77*AF!Q26*ACT2FLO!Q73/1000</f>
        <v>0.24485353155559458</v>
      </c>
      <c r="BZ53" s="656">
        <f>S77*AF!R26*ACT2FLO!R73/1000</f>
        <v>1.3729464407027969</v>
      </c>
      <c r="CA53" s="656">
        <f>T77*AF!S26*ACT2FLO!S73/1000</f>
        <v>0.36893664804774351</v>
      </c>
      <c r="CB53" s="656">
        <f>U77*AF!T26*ACT2FLO!T73/1000</f>
        <v>0.41359772002302531</v>
      </c>
      <c r="CC53" s="656">
        <f>V77*AF!U26*ACT2FLO!U73/1000</f>
        <v>0.32823812668312785</v>
      </c>
      <c r="CD53" s="656">
        <f>W77*AF!V26*ACT2FLO!V73/1000</f>
        <v>0.30018559566274472</v>
      </c>
      <c r="CE53" s="656">
        <f>X77*AF!W26*ACT2FLO!W73/1000</f>
        <v>0.50276535715318882</v>
      </c>
      <c r="CF53" s="656">
        <f>Y77*AF!X26*ACT2FLO!X73/1000</f>
        <v>7.1595419763476498E-2</v>
      </c>
      <c r="CG53" s="656">
        <f>Z77*AF!Y26*ACT2FLO!Y73/1000</f>
        <v>0.25806894255329127</v>
      </c>
      <c r="CH53" s="656">
        <f>AA77*AF!Z26*ACT2FLO!Z73/1000</f>
        <v>0.13137306834671686</v>
      </c>
      <c r="CI53" s="656">
        <f>AB77*AF!AA26*ACT2FLO!AA73/1000</f>
        <v>0.14262868945399812</v>
      </c>
      <c r="CJ53" s="656">
        <f>AC77*AF!AB26*ACT2FLO!AB73/1000</f>
        <v>0.16855868893625911</v>
      </c>
      <c r="CK53" s="656">
        <f>AD77*AF!AC26*ACT2FLO!AC73/1000</f>
        <v>0.34186479870381081</v>
      </c>
      <c r="CL53" s="656">
        <f>AE77*AF!AD26*ACT2FLO!AD73/1000</f>
        <v>0.13125033427866109</v>
      </c>
      <c r="CM53" s="714"/>
    </row>
    <row r="54" spans="1:91">
      <c r="A54" s="448" t="str">
        <f>Commodities!K13</f>
        <v>T-CAR-ICE_GSL00</v>
      </c>
      <c r="B54" s="28" t="s">
        <v>869</v>
      </c>
      <c r="C54" s="714" t="str">
        <f>Commodities!B18</f>
        <v>TRAGSE</v>
      </c>
      <c r="D54" s="448" t="str">
        <f>Commodities!B22&amp;","&amp;Commodities!B23&amp;","&amp;Commodities!B24</f>
        <v>TRAPS,TRAPM,TRAPL</v>
      </c>
      <c r="E54" s="9">
        <f>SUM(F54:AE54)</f>
        <v>946.86</v>
      </c>
      <c r="F54" s="656">
        <f t="shared" ref="F54:F62" si="4">D173/1000</f>
        <v>10.795999999999999</v>
      </c>
      <c r="G54" s="656">
        <f t="shared" ref="G54:G62" si="5">E173/1000</f>
        <v>299.40800000000002</v>
      </c>
      <c r="H54" s="656">
        <f t="shared" ref="H54:H62" si="6">F173/1000</f>
        <v>44.521000000000001</v>
      </c>
      <c r="I54" s="656">
        <f t="shared" ref="I54:I62" si="7">G173/1000</f>
        <v>17.346</v>
      </c>
      <c r="J54" s="656">
        <f t="shared" ref="J54:J62" si="8">H173/1000</f>
        <v>12.391</v>
      </c>
      <c r="K54" s="656">
        <f t="shared" ref="K54:K62" si="9">I173/1000</f>
        <v>5.8040000000000003</v>
      </c>
      <c r="L54" s="656">
        <f t="shared" ref="L54:L62" si="10">J173/1000</f>
        <v>20.722000000000001</v>
      </c>
      <c r="M54" s="656">
        <f t="shared" ref="M54:M62" si="11">K173/1000</f>
        <v>34.216000000000001</v>
      </c>
      <c r="N54" s="656">
        <f t="shared" ref="N54:N62" si="12">L173/1000</f>
        <v>12.252000000000001</v>
      </c>
      <c r="O54" s="656">
        <f t="shared" ref="O54:O62" si="13">M173/1000</f>
        <v>14.417</v>
      </c>
      <c r="P54" s="656">
        <f t="shared" ref="P54:P62" si="14">N173/1000</f>
        <v>29.236000000000001</v>
      </c>
      <c r="Q54" s="656">
        <f t="shared" ref="Q54:Q62" si="15">O173/1000</f>
        <v>32.847000000000001</v>
      </c>
      <c r="R54" s="656">
        <f t="shared" ref="R54:R62" si="16">P173/1000</f>
        <v>24.056999999999999</v>
      </c>
      <c r="S54" s="656">
        <f t="shared" ref="S54:S62" si="17">Q173/1000</f>
        <v>121.22799999999999</v>
      </c>
      <c r="T54" s="656">
        <f t="shared" ref="T54:T62" si="18">R173/1000</f>
        <v>31.727</v>
      </c>
      <c r="U54" s="656">
        <f t="shared" ref="U54:U62" si="19">S173/1000</f>
        <v>40.146000000000001</v>
      </c>
      <c r="V54" s="656">
        <f t="shared" ref="V54:V62" si="20">T173/1000</f>
        <v>30.853999999999999</v>
      </c>
      <c r="W54" s="656">
        <f t="shared" ref="W54:W62" si="21">U173/1000</f>
        <v>27.158999999999999</v>
      </c>
      <c r="X54" s="656">
        <f t="shared" ref="X54:X62" si="22">V173/1000</f>
        <v>45.82</v>
      </c>
      <c r="Y54" s="656">
        <f t="shared" ref="Y54:Y62" si="23">W173/1000</f>
        <v>4.9610000000000003</v>
      </c>
      <c r="Z54" s="656">
        <f t="shared" ref="Z54:Z62" si="24">X173/1000</f>
        <v>22.404</v>
      </c>
      <c r="AA54" s="656">
        <f t="shared" ref="AA54:AA62" si="25">Y173/1000</f>
        <v>11.971</v>
      </c>
      <c r="AB54" s="656">
        <f t="shared" ref="AB54:AB62" si="26">Z173/1000</f>
        <v>11.760999999999999</v>
      </c>
      <c r="AC54" s="656">
        <f t="shared" ref="AC54:AC62" si="27">AA173/1000</f>
        <v>10.568</v>
      </c>
      <c r="AD54" s="656">
        <f t="shared" ref="AD54:AD62" si="28">AB173/1000</f>
        <v>22.398</v>
      </c>
      <c r="AE54" s="656">
        <f t="shared" ref="AE54:AE62" si="29">AC173/1000</f>
        <v>7.85</v>
      </c>
      <c r="AG54" s="101" t="str">
        <f t="shared" si="3"/>
        <v>T-CAR-ICE_GSL00</v>
      </c>
      <c r="AH54" s="656">
        <f>E54*AF!D7*ACT2FLO!D53/1000</f>
        <v>18.106909533018577</v>
      </c>
      <c r="AI54" s="656">
        <f>F54*AF!E7*ACT2FLO!E53/1000</f>
        <v>0.2180668061497526</v>
      </c>
      <c r="AJ54" s="656">
        <f>G54*AF!F7*ACT2FLO!F53/1000</f>
        <v>4.9233031702123737</v>
      </c>
      <c r="AK54" s="656">
        <f>H54*AF!G7*ACT2FLO!G53/1000</f>
        <v>0.89867525711270668</v>
      </c>
      <c r="AL54" s="656">
        <f>I54*AF!H7*ACT2FLO!H53/1000</f>
        <v>0.35621826432787701</v>
      </c>
      <c r="AM54" s="656">
        <f>J54*AF!I7*ACT2FLO!I53/1000</f>
        <v>0.26035967063828369</v>
      </c>
      <c r="AN54" s="656">
        <f>K54*AF!J7*ACT2FLO!J53/1000</f>
        <v>0.12142540026648706</v>
      </c>
      <c r="AO54" s="656">
        <f>L54*AF!K7*ACT2FLO!K53/1000</f>
        <v>0.40758491177739253</v>
      </c>
      <c r="AP54" s="656">
        <f>M54*AF!L7*ACT2FLO!L53/1000</f>
        <v>0.71169733840297489</v>
      </c>
      <c r="AQ54" s="656">
        <f>N54*AF!M7*ACT2FLO!M53/1000</f>
        <v>0.25829816876126876</v>
      </c>
      <c r="AR54" s="656">
        <f>O54*AF!N7*ACT2FLO!N53/1000</f>
        <v>0.2991226507134559</v>
      </c>
      <c r="AS54" s="656">
        <f>P54*AF!O7*ACT2FLO!O53/1000</f>
        <v>0.60802543695906919</v>
      </c>
      <c r="AT54" s="656">
        <f>Q54*AF!P7*ACT2FLO!P53/1000</f>
        <v>0.65724766249917688</v>
      </c>
      <c r="AU54" s="656">
        <f>R54*AF!Q7*ACT2FLO!Q53/1000</f>
        <v>0.50957748114378698</v>
      </c>
      <c r="AV54" s="656">
        <f>S54*AF!R7*ACT2FLO!R53/1000</f>
        <v>2.3638367240963061</v>
      </c>
      <c r="AW54" s="656">
        <f>T54*AF!S7*ACT2FLO!S53/1000</f>
        <v>0.65770096693205482</v>
      </c>
      <c r="AX54" s="656">
        <f>U54*AF!T7*ACT2FLO!T53/1000</f>
        <v>0.80659043502401739</v>
      </c>
      <c r="AY54" s="656">
        <f>V54*AF!U7*ACT2FLO!U53/1000</f>
        <v>0.65539351143153579</v>
      </c>
      <c r="AZ54" s="656">
        <f>W54*AF!V7*ACT2FLO!V53/1000</f>
        <v>0.5322909619003956</v>
      </c>
      <c r="BA54" s="656">
        <f>X54*AF!W7*ACT2FLO!W53/1000</f>
        <v>0.92681031385224144</v>
      </c>
      <c r="BB54" s="656">
        <f>Y54*AF!X7*ACT2FLO!X53/1000</f>
        <v>0.10794145802976565</v>
      </c>
      <c r="BC54" s="656">
        <f>Z54*AF!Y7*ACT2FLO!Y53/1000</f>
        <v>0.46754381486504826</v>
      </c>
      <c r="BD54" s="656">
        <f>AA54*AF!Z7*ACT2FLO!Z53/1000</f>
        <v>0.27464659706446604</v>
      </c>
      <c r="BE54" s="656">
        <f>AB54*AF!AA7*ACT2FLO!AA53/1000</f>
        <v>0.23557582545621453</v>
      </c>
      <c r="BF54" s="656">
        <f>AC54*AF!AB7*ACT2FLO!AB53/1000</f>
        <v>0.22418342078047424</v>
      </c>
      <c r="BG54" s="656">
        <f>AD54*AF!AC7*ACT2FLO!AC53/1000</f>
        <v>0.46374261412430856</v>
      </c>
      <c r="BH54" s="656">
        <f>AE54*AF!AD7*ACT2FLO!AD53/1000</f>
        <v>0.1614070747496574</v>
      </c>
      <c r="BK54" s="458" t="str">
        <f>A78</f>
        <v>T-GTR-ICE_DST00</v>
      </c>
      <c r="BL54" s="777">
        <f>E78*AF!D27*ACT2FLO!D74/1000</f>
        <v>9.0838999999999989E-2</v>
      </c>
      <c r="BM54" s="777">
        <f>F78*AF!E27*ACT2FLO!E74/1000</f>
        <v>0</v>
      </c>
      <c r="BN54" s="777">
        <f>G78*AF!F27*ACT2FLO!F74/1000</f>
        <v>9.0838999999999989E-2</v>
      </c>
      <c r="BO54" s="777">
        <f>H78*AF!G27*ACT2FLO!G74/1000</f>
        <v>0</v>
      </c>
      <c r="BP54" s="777">
        <f>I78*AF!H27*ACT2FLO!H74/1000</f>
        <v>0</v>
      </c>
      <c r="BQ54" s="777">
        <f>J78*AF!I27*ACT2FLO!I74/1000</f>
        <v>0</v>
      </c>
      <c r="BR54" s="777">
        <f>K78*AF!J27*ACT2FLO!J74/1000</f>
        <v>0</v>
      </c>
      <c r="BS54" s="777">
        <f>L78*AF!K27*ACT2FLO!K74/1000</f>
        <v>0</v>
      </c>
      <c r="BT54" s="777">
        <f>M78*AF!L27*ACT2FLO!L74/1000</f>
        <v>9.0838999999999989E-2</v>
      </c>
      <c r="BU54" s="777">
        <f>N78*AF!M27*ACT2FLO!M74/1000</f>
        <v>0</v>
      </c>
      <c r="BV54" s="777">
        <f>O78*AF!N27*ACT2FLO!N74/1000</f>
        <v>0</v>
      </c>
      <c r="BW54" s="777">
        <f>P78*AF!O27*ACT2FLO!O74/1000</f>
        <v>0</v>
      </c>
      <c r="BX54" s="777">
        <f>Q78*AF!P27*ACT2FLO!P74/1000</f>
        <v>0</v>
      </c>
      <c r="BY54" s="777">
        <f>R78*AF!Q27*ACT2FLO!Q74/1000</f>
        <v>0</v>
      </c>
      <c r="BZ54" s="777">
        <f>S78*AF!R27*ACT2FLO!R74/1000</f>
        <v>0</v>
      </c>
      <c r="CA54" s="777">
        <f>T78*AF!S27*ACT2FLO!S74/1000</f>
        <v>0</v>
      </c>
      <c r="CB54" s="777">
        <f>U78*AF!T27*ACT2FLO!T74/1000</f>
        <v>0</v>
      </c>
      <c r="CC54" s="777">
        <f>V78*AF!U27*ACT2FLO!U74/1000</f>
        <v>0</v>
      </c>
      <c r="CD54" s="777">
        <f>W78*AF!V27*ACT2FLO!V74/1000</f>
        <v>9.0838999999999989E-2</v>
      </c>
      <c r="CE54" s="777">
        <f>X78*AF!W27*ACT2FLO!W74/1000</f>
        <v>0</v>
      </c>
      <c r="CF54" s="777">
        <f>Y78*AF!X27*ACT2FLO!X74/1000</f>
        <v>0</v>
      </c>
      <c r="CG54" s="777">
        <f>Z78*AF!Y27*ACT2FLO!Y74/1000</f>
        <v>9.0838999999999989E-2</v>
      </c>
      <c r="CH54" s="777">
        <f>AA78*AF!Z27*ACT2FLO!Z74/1000</f>
        <v>0</v>
      </c>
      <c r="CI54" s="777">
        <f>AB78*AF!AA27*ACT2FLO!AA74/1000</f>
        <v>0</v>
      </c>
      <c r="CJ54" s="777">
        <f>AC78*AF!AB27*ACT2FLO!AB74/1000</f>
        <v>0</v>
      </c>
      <c r="CK54" s="777">
        <f>AD78*AF!AC27*ACT2FLO!AC74/1000</f>
        <v>0</v>
      </c>
      <c r="CL54" s="777">
        <f>AE78*AF!AD27*ACT2FLO!AD74/1000</f>
        <v>0</v>
      </c>
      <c r="CM54" s="714"/>
    </row>
    <row r="55" spans="1:91">
      <c r="A55" s="448" t="str">
        <f>Commodities!K14</f>
        <v>T-CAR-ICE_DST00</v>
      </c>
      <c r="B55" s="28" t="s">
        <v>869</v>
      </c>
      <c r="C55" s="459" t="str">
        <f>Commodities!B19</f>
        <v>TRADSB</v>
      </c>
      <c r="D55" s="459" t="str">
        <f>Commodities!B22&amp;","&amp;Commodities!B23&amp;","&amp;Commodities!B24</f>
        <v>TRAPS,TRAPM,TRAPL</v>
      </c>
      <c r="E55" s="9">
        <f t="shared" ref="E55:E66" si="30">SUM(F55:AE55)</f>
        <v>1129.4039999999998</v>
      </c>
      <c r="F55" s="656">
        <f t="shared" si="4"/>
        <v>17.385000000000002</v>
      </c>
      <c r="G55" s="656">
        <f t="shared" si="5"/>
        <v>225.70599999999999</v>
      </c>
      <c r="H55" s="656">
        <f t="shared" si="6"/>
        <v>56.834000000000003</v>
      </c>
      <c r="I55" s="656">
        <f t="shared" si="7"/>
        <v>26.673999999999999</v>
      </c>
      <c r="J55" s="656">
        <f t="shared" si="8"/>
        <v>22.058</v>
      </c>
      <c r="K55" s="656">
        <f t="shared" si="9"/>
        <v>11.27</v>
      </c>
      <c r="L55" s="656">
        <f t="shared" si="10"/>
        <v>29.946999999999999</v>
      </c>
      <c r="M55" s="656">
        <f t="shared" si="11"/>
        <v>52.423999999999999</v>
      </c>
      <c r="N55" s="656">
        <f t="shared" si="12"/>
        <v>21.785</v>
      </c>
      <c r="O55" s="656">
        <f t="shared" si="13"/>
        <v>26.113</v>
      </c>
      <c r="P55" s="656">
        <f t="shared" si="14"/>
        <v>44.970999999999997</v>
      </c>
      <c r="Q55" s="656">
        <f t="shared" si="15"/>
        <v>34.195</v>
      </c>
      <c r="R55" s="656">
        <f t="shared" si="16"/>
        <v>32.584000000000003</v>
      </c>
      <c r="S55" s="656">
        <f t="shared" si="17"/>
        <v>132.29499999999999</v>
      </c>
      <c r="T55" s="656">
        <f t="shared" si="18"/>
        <v>39.247</v>
      </c>
      <c r="U55" s="656">
        <f t="shared" si="19"/>
        <v>47.853000000000002</v>
      </c>
      <c r="V55" s="656">
        <f t="shared" si="20"/>
        <v>47.713999999999999</v>
      </c>
      <c r="W55" s="656">
        <f t="shared" si="21"/>
        <v>29.673999999999999</v>
      </c>
      <c r="X55" s="656">
        <f t="shared" si="22"/>
        <v>66.337000000000003</v>
      </c>
      <c r="Y55" s="656">
        <f t="shared" si="23"/>
        <v>9.4540000000000006</v>
      </c>
      <c r="Z55" s="656">
        <f t="shared" si="24"/>
        <v>37.994</v>
      </c>
      <c r="AA55" s="656">
        <f t="shared" si="25"/>
        <v>20.248000000000001</v>
      </c>
      <c r="AB55" s="656">
        <f t="shared" si="26"/>
        <v>16.992999999999999</v>
      </c>
      <c r="AC55" s="656">
        <f t="shared" si="27"/>
        <v>20.89</v>
      </c>
      <c r="AD55" s="656">
        <f t="shared" si="28"/>
        <v>41.125</v>
      </c>
      <c r="AE55" s="656">
        <f t="shared" si="29"/>
        <v>17.634</v>
      </c>
      <c r="AG55" s="101" t="str">
        <f t="shared" si="3"/>
        <v>T-CAR-ICE_DST00</v>
      </c>
      <c r="AH55" s="656">
        <f>E55*AF!D8*ACT2FLO!D54/1000</f>
        <v>34.741372332081298</v>
      </c>
      <c r="AI55" s="656">
        <f>F55*AF!E8*ACT2FLO!E54/1000</f>
        <v>0.56367215826992334</v>
      </c>
      <c r="AJ55" s="656">
        <f>G55*AF!F8*ACT2FLO!F54/1000</f>
        <v>6.0973032808917331</v>
      </c>
      <c r="AK55" s="656">
        <f>H55*AF!G8*ACT2FLO!G54/1000</f>
        <v>1.7730201152173173</v>
      </c>
      <c r="AL55" s="656">
        <f>I55*AF!H8*ACT2FLO!H54/1000</f>
        <v>0.86560465907990058</v>
      </c>
      <c r="AM55" s="656">
        <f>J55*AF!I8*ACT2FLO!I54/1000</f>
        <v>0.73387771001437219</v>
      </c>
      <c r="AN55" s="656">
        <f>K55*AF!J8*ACT2FLO!J54/1000</f>
        <v>0.3820865601811777</v>
      </c>
      <c r="AO55" s="656">
        <f>L55*AF!K8*ACT2FLO!K54/1000</f>
        <v>0.92101499942692677</v>
      </c>
      <c r="AP55" s="656">
        <f>M55*AF!L8*ACT2FLO!L54/1000</f>
        <v>1.6579702443091546</v>
      </c>
      <c r="AQ55" s="656">
        <f>N55*AF!M8*ACT2FLO!M54/1000</f>
        <v>0.71686405345360538</v>
      </c>
      <c r="AR55" s="656">
        <f>O55*AF!N8*ACT2FLO!N54/1000</f>
        <v>0.85850336309646769</v>
      </c>
      <c r="AS55" s="656">
        <f>P55*AF!O8*ACT2FLO!O54/1000</f>
        <v>1.436417932136778</v>
      </c>
      <c r="AT55" s="656">
        <f>Q55*AF!P8*ACT2FLO!P54/1000</f>
        <v>1.0407944140734382</v>
      </c>
      <c r="AU55" s="656">
        <f>R55*AF!Q8*ACT2FLO!Q54/1000</f>
        <v>1.0705664058910511</v>
      </c>
      <c r="AV55" s="656">
        <f>S55*AF!R8*ACT2FLO!R54/1000</f>
        <v>3.9615302847675804</v>
      </c>
      <c r="AW55" s="656">
        <f>T55*AF!S8*ACT2FLO!S54/1000</f>
        <v>1.228876703300243</v>
      </c>
      <c r="AX55" s="656">
        <f>U55*AF!T8*ACT2FLO!T54/1000</f>
        <v>1.5260443384910798</v>
      </c>
      <c r="AY55" s="656">
        <f>V55*AF!U8*ACT2FLO!U54/1000</f>
        <v>1.5853264979762327</v>
      </c>
      <c r="AZ55" s="656">
        <f>W55*AF!V8*ACT2FLO!V54/1000</f>
        <v>0.9197913097643502</v>
      </c>
      <c r="BA55" s="656">
        <f>X55*AF!W8*ACT2FLO!W54/1000</f>
        <v>2.116889456726248</v>
      </c>
      <c r="BB55" s="656">
        <f>Y55*AF!X8*ACT2FLO!X54/1000</f>
        <v>0.31427002615290101</v>
      </c>
      <c r="BC55" s="656">
        <f>Z55*AF!Y8*ACT2FLO!Y54/1000</f>
        <v>1.2155497579760115</v>
      </c>
      <c r="BD55" s="656">
        <f>AA55*AF!Z8*ACT2FLO!Z54/1000</f>
        <v>0.70441238326113909</v>
      </c>
      <c r="BE55" s="656">
        <f>AB55*AF!AA8*ACT2FLO!AA54/1000</f>
        <v>0.54064340354244822</v>
      </c>
      <c r="BF55" s="656">
        <f>AC55*AF!AB8*ACT2FLO!AB54/1000</f>
        <v>0.6821766580222447</v>
      </c>
      <c r="BG55" s="656">
        <f>AD55*AF!AC8*ACT2FLO!AC54/1000</f>
        <v>1.2609269131605734</v>
      </c>
      <c r="BH55" s="656">
        <f>AE55*AF!AD8*ACT2FLO!AD54/1000</f>
        <v>0.56787787168272141</v>
      </c>
      <c r="BK55" s="714"/>
      <c r="BL55" s="714"/>
      <c r="BM55" s="714"/>
      <c r="BN55" s="714"/>
      <c r="BO55" s="714"/>
      <c r="BP55" s="714"/>
      <c r="BQ55" s="714"/>
      <c r="BR55" s="714"/>
      <c r="BS55" s="714"/>
      <c r="BT55" s="714"/>
      <c r="BU55" s="714"/>
      <c r="BV55" s="714"/>
      <c r="BW55" s="714"/>
      <c r="BX55" s="714"/>
      <c r="BY55" s="714"/>
      <c r="BZ55" s="714"/>
      <c r="CA55" s="714"/>
      <c r="CB55" s="714"/>
      <c r="CC55" s="714"/>
      <c r="CD55" s="714"/>
      <c r="CE55" s="714"/>
      <c r="CF55" s="714"/>
      <c r="CG55" s="714"/>
      <c r="CH55" s="714"/>
      <c r="CI55" s="714"/>
      <c r="CJ55" s="714"/>
      <c r="CK55" s="714"/>
      <c r="CL55" s="714"/>
      <c r="CM55" s="714"/>
    </row>
    <row r="56" spans="1:91">
      <c r="A56" s="448" t="str">
        <f>Commodities!K15</f>
        <v>T-CAR-ICE_DF00</v>
      </c>
      <c r="B56" s="28" t="s">
        <v>869</v>
      </c>
      <c r="C56" s="459" t="str">
        <f>Commodities!B8&amp;","&amp;Commodities!B12</f>
        <v>TRAGSL,TRACNG</v>
      </c>
      <c r="D56" s="459" t="str">
        <f>Commodities!B22&amp;","&amp;Commodities!B23&amp;","&amp;Commodities!B24</f>
        <v>TRAPS,TRAPM,TRAPL</v>
      </c>
      <c r="E56" s="9">
        <f t="shared" si="30"/>
        <v>6.7000000000000018E-2</v>
      </c>
      <c r="F56" s="656">
        <f t="shared" si="4"/>
        <v>0</v>
      </c>
      <c r="G56" s="656">
        <f t="shared" si="5"/>
        <v>2.8000000000000001E-2</v>
      </c>
      <c r="H56" s="656">
        <f t="shared" si="6"/>
        <v>1E-3</v>
      </c>
      <c r="I56" s="656">
        <f t="shared" si="7"/>
        <v>1E-3</v>
      </c>
      <c r="J56" s="656">
        <f t="shared" si="8"/>
        <v>0</v>
      </c>
      <c r="K56" s="656">
        <f t="shared" si="9"/>
        <v>2E-3</v>
      </c>
      <c r="L56" s="656">
        <f t="shared" si="10"/>
        <v>1E-3</v>
      </c>
      <c r="M56" s="656">
        <f t="shared" si="11"/>
        <v>2E-3</v>
      </c>
      <c r="N56" s="656">
        <f t="shared" si="12"/>
        <v>3.0000000000000001E-3</v>
      </c>
      <c r="O56" s="656">
        <f t="shared" si="13"/>
        <v>1E-3</v>
      </c>
      <c r="P56" s="656">
        <f t="shared" si="14"/>
        <v>3.0000000000000001E-3</v>
      </c>
      <c r="Q56" s="656">
        <f t="shared" si="15"/>
        <v>5.0000000000000001E-3</v>
      </c>
      <c r="R56" s="656">
        <f t="shared" si="16"/>
        <v>1E-3</v>
      </c>
      <c r="S56" s="656">
        <f t="shared" si="17"/>
        <v>5.0000000000000001E-3</v>
      </c>
      <c r="T56" s="656">
        <f t="shared" si="18"/>
        <v>3.0000000000000001E-3</v>
      </c>
      <c r="U56" s="656">
        <f t="shared" si="19"/>
        <v>2E-3</v>
      </c>
      <c r="V56" s="656">
        <f t="shared" si="20"/>
        <v>0</v>
      </c>
      <c r="W56" s="656">
        <f t="shared" si="21"/>
        <v>0</v>
      </c>
      <c r="X56" s="656">
        <f t="shared" si="22"/>
        <v>7.0000000000000001E-3</v>
      </c>
      <c r="Y56" s="656">
        <f t="shared" si="23"/>
        <v>0</v>
      </c>
      <c r="Z56" s="656">
        <f t="shared" si="24"/>
        <v>0</v>
      </c>
      <c r="AA56" s="656">
        <f t="shared" si="25"/>
        <v>0</v>
      </c>
      <c r="AB56" s="656">
        <f t="shared" si="26"/>
        <v>0</v>
      </c>
      <c r="AC56" s="656">
        <f t="shared" si="27"/>
        <v>0</v>
      </c>
      <c r="AD56" s="656">
        <f t="shared" si="28"/>
        <v>2E-3</v>
      </c>
      <c r="AE56" s="656">
        <f t="shared" si="29"/>
        <v>0</v>
      </c>
      <c r="AG56" s="101" t="str">
        <f t="shared" si="3"/>
        <v>T-CAR-ICE_DF00</v>
      </c>
      <c r="AH56" s="656">
        <f>E56*AF!D9*ACT2FLO!D55/1000</f>
        <v>1.3439263951670231E-3</v>
      </c>
      <c r="AI56" s="656">
        <f>F56*AF!E9*ACT2FLO!E55/1000</f>
        <v>0</v>
      </c>
      <c r="AJ56" s="656">
        <f>G56*AF!F9*ACT2FLO!F55/1000</f>
        <v>5.3670041694669395E-4</v>
      </c>
      <c r="AK56" s="656">
        <f>H56*AF!G9*ACT2FLO!G55/1000</f>
        <v>2.0758356317148401E-5</v>
      </c>
      <c r="AL56" s="656">
        <f>I56*AF!H9*ACT2FLO!H55/1000</f>
        <v>2.1422301444808215E-5</v>
      </c>
      <c r="AM56" s="656">
        <f>J56*AF!I9*ACT2FLO!I55/1000</f>
        <v>0</v>
      </c>
      <c r="AN56" s="656">
        <f>K56*AF!J9*ACT2FLO!J55/1000</f>
        <v>4.1788258731452048E-5</v>
      </c>
      <c r="AO56" s="656">
        <f>L56*AF!K9*ACT2FLO!K55/1000</f>
        <v>2.0013842567255704E-5</v>
      </c>
      <c r="AP56" s="656">
        <f>M56*AF!L9*ACT2FLO!L55/1000</f>
        <v>4.2083677012972596E-5</v>
      </c>
      <c r="AQ56" s="656">
        <f>N56*AF!M9*ACT2FLO!M55/1000</f>
        <v>6.4915929346856155E-5</v>
      </c>
      <c r="AR56" s="656">
        <f>O56*AF!N9*ACT2FLO!N55/1000</f>
        <v>2.0901589423340182E-5</v>
      </c>
      <c r="AS56" s="656">
        <f>P56*AF!O9*ACT2FLO!O55/1000</f>
        <v>6.3255320521945197E-5</v>
      </c>
      <c r="AT56" s="656">
        <f>Q56*AF!P9*ACT2FLO!P55/1000</f>
        <v>1.0380670170097029E-4</v>
      </c>
      <c r="AU56" s="656">
        <f>R56*AF!Q9*ACT2FLO!Q55/1000</f>
        <v>2.1004538218415522E-5</v>
      </c>
      <c r="AV56" s="656">
        <f>S56*AF!R9*ACT2FLO!R55/1000</f>
        <v>9.9629069437043359E-5</v>
      </c>
      <c r="AW56" s="656">
        <f>T56*AF!S9*ACT2FLO!S55/1000</f>
        <v>6.1679756353835605E-5</v>
      </c>
      <c r="AX56" s="656">
        <f>U56*AF!T9*ACT2FLO!T55/1000</f>
        <v>4.1543568841707752E-5</v>
      </c>
      <c r="AY56" s="656">
        <f>V56*AF!U9*ACT2FLO!U55/1000</f>
        <v>0</v>
      </c>
      <c r="AZ56" s="656">
        <f>W56*AF!V9*ACT2FLO!V55/1000</f>
        <v>0</v>
      </c>
      <c r="BA56" s="656">
        <f>X56*AF!W9*ACT2FLO!W55/1000</f>
        <v>1.454964876719155E-4</v>
      </c>
      <c r="BB56" s="656">
        <f>Y56*AF!X9*ACT2FLO!X55/1000</f>
        <v>0</v>
      </c>
      <c r="BC56" s="656">
        <f>Z56*AF!Y9*ACT2FLO!Y55/1000</f>
        <v>0</v>
      </c>
      <c r="BD56" s="656">
        <f>AA56*AF!Z9*ACT2FLO!Z55/1000</f>
        <v>0</v>
      </c>
      <c r="BE56" s="656">
        <f>AB56*AF!AA9*ACT2FLO!AA55/1000</f>
        <v>0</v>
      </c>
      <c r="BF56" s="656">
        <f>AC56*AF!AB9*ACT2FLO!AB55/1000</f>
        <v>0</v>
      </c>
      <c r="BG56" s="656">
        <f>AD56*AF!AC9*ACT2FLO!AC55/1000</f>
        <v>4.2683465645150677E-5</v>
      </c>
      <c r="BH56" s="656">
        <f>AE56*AF!AD9*ACT2FLO!AD55/1000</f>
        <v>0</v>
      </c>
      <c r="BK56" s="714"/>
      <c r="BL56" s="714"/>
      <c r="BM56" s="714"/>
      <c r="BN56" s="714"/>
      <c r="BO56" s="714"/>
      <c r="BP56" s="714"/>
      <c r="BQ56" s="714"/>
      <c r="BR56" s="714"/>
      <c r="BS56" s="714"/>
      <c r="BT56" s="714"/>
      <c r="BU56" s="714"/>
      <c r="BV56" s="714"/>
      <c r="BW56" s="714"/>
      <c r="BX56" s="714"/>
      <c r="BY56" s="714"/>
      <c r="BZ56" s="714"/>
      <c r="CA56" s="714"/>
      <c r="CB56" s="714"/>
      <c r="CC56" s="714"/>
      <c r="CD56" s="714"/>
      <c r="CE56" s="714"/>
      <c r="CF56" s="714"/>
      <c r="CG56" s="714"/>
      <c r="CH56" s="714"/>
      <c r="CI56" s="714"/>
      <c r="CJ56" s="714"/>
      <c r="CK56" s="714"/>
      <c r="CL56" s="714"/>
      <c r="CM56" s="714"/>
    </row>
    <row r="57" spans="1:91" ht="15.6">
      <c r="A57" s="448" t="str">
        <f>Commodities!K16</f>
        <v>T-CAR-ICE_E8500</v>
      </c>
      <c r="B57" s="28" t="s">
        <v>869</v>
      </c>
      <c r="C57" s="448" t="str">
        <f>Commodities!B20</f>
        <v>TRAE85</v>
      </c>
      <c r="D57" s="459" t="str">
        <f>Commodities!B22&amp;","&amp;Commodities!B23&amp;","&amp;Commodities!B24</f>
        <v>TRAPS,TRAPM,TRAPL</v>
      </c>
      <c r="E57" s="9">
        <f t="shared" si="30"/>
        <v>8.5289999999999999</v>
      </c>
      <c r="F57" s="656">
        <f t="shared" si="4"/>
        <v>9.8000000000000004E-2</v>
      </c>
      <c r="G57" s="656">
        <f t="shared" si="5"/>
        <v>0.26500000000000001</v>
      </c>
      <c r="H57" s="656">
        <f t="shared" si="6"/>
        <v>0.28100000000000003</v>
      </c>
      <c r="I57" s="656">
        <f t="shared" si="7"/>
        <v>0.57399999999999995</v>
      </c>
      <c r="J57" s="656">
        <f t="shared" si="8"/>
        <v>0.124</v>
      </c>
      <c r="K57" s="656">
        <f t="shared" si="9"/>
        <v>0.316</v>
      </c>
      <c r="L57" s="656">
        <f t="shared" si="10"/>
        <v>4.1000000000000002E-2</v>
      </c>
      <c r="M57" s="656">
        <f t="shared" si="11"/>
        <v>8.3000000000000004E-2</v>
      </c>
      <c r="N57" s="656">
        <f t="shared" si="12"/>
        <v>5.2999999999999999E-2</v>
      </c>
      <c r="O57" s="656">
        <f t="shared" si="13"/>
        <v>0.26</v>
      </c>
      <c r="P57" s="656">
        <f t="shared" si="14"/>
        <v>0.17699999999999999</v>
      </c>
      <c r="Q57" s="656">
        <f t="shared" si="15"/>
        <v>0.315</v>
      </c>
      <c r="R57" s="656">
        <f t="shared" si="16"/>
        <v>0.20499999999999999</v>
      </c>
      <c r="S57" s="656">
        <f t="shared" si="17"/>
        <v>1.1619999999999999</v>
      </c>
      <c r="T57" s="656">
        <f t="shared" si="18"/>
        <v>0.35</v>
      </c>
      <c r="U57" s="656">
        <f t="shared" si="19"/>
        <v>3.3000000000000002E-2</v>
      </c>
      <c r="V57" s="656">
        <f t="shared" si="20"/>
        <v>7.4999999999999997E-2</v>
      </c>
      <c r="W57" s="656">
        <f t="shared" si="21"/>
        <v>0.22900000000000001</v>
      </c>
      <c r="X57" s="656">
        <f t="shared" si="22"/>
        <v>2.6259999999999999</v>
      </c>
      <c r="Y57" s="656">
        <f t="shared" si="23"/>
        <v>0.107</v>
      </c>
      <c r="Z57" s="656">
        <f t="shared" si="24"/>
        <v>0.247</v>
      </c>
      <c r="AA57" s="656">
        <f t="shared" si="25"/>
        <v>8.5000000000000006E-2</v>
      </c>
      <c r="AB57" s="656">
        <f t="shared" si="26"/>
        <v>7.4999999999999997E-2</v>
      </c>
      <c r="AC57" s="656">
        <f t="shared" si="27"/>
        <v>9.0999999999999998E-2</v>
      </c>
      <c r="AD57" s="656">
        <f t="shared" si="28"/>
        <v>0.185</v>
      </c>
      <c r="AE57" s="656">
        <f t="shared" si="29"/>
        <v>0.47199999999999998</v>
      </c>
      <c r="AG57" s="101" t="str">
        <f t="shared" si="3"/>
        <v>T-CAR-ICE_E8500</v>
      </c>
      <c r="AH57" s="656">
        <f>E57*AF!D10*ACT2FLO!D56/1000</f>
        <v>0.17107982424447071</v>
      </c>
      <c r="AI57" s="656">
        <f>F57*AF!E10*ACT2FLO!E56/1000</f>
        <v>2.0603455680848078E-3</v>
      </c>
      <c r="AJ57" s="656">
        <f>G57*AF!F10*ACT2FLO!F56/1000</f>
        <v>5.0794860889597816E-3</v>
      </c>
      <c r="AK57" s="656">
        <f>H57*AF!G10*ACT2FLO!G56/1000</f>
        <v>5.8330981251187002E-3</v>
      </c>
      <c r="AL57" s="656">
        <f>I57*AF!H10*ACT2FLO!H56/1000</f>
        <v>1.2296401029319915E-2</v>
      </c>
      <c r="AM57" s="656">
        <f>J57*AF!I10*ACT2FLO!I56/1000</f>
        <v>2.6985475289296981E-3</v>
      </c>
      <c r="AN57" s="656">
        <f>K57*AF!J10*ACT2FLO!J56/1000</f>
        <v>6.6025448795694244E-3</v>
      </c>
      <c r="AO57" s="656">
        <f>L57*AF!K10*ACT2FLO!K56/1000</f>
        <v>8.2056754525748382E-4</v>
      </c>
      <c r="AP57" s="656">
        <f>M57*AF!L10*ACT2FLO!L56/1000</f>
        <v>1.746472596038363E-3</v>
      </c>
      <c r="AQ57" s="656">
        <f>N57*AF!M10*ACT2FLO!M56/1000</f>
        <v>1.146848085127792E-3</v>
      </c>
      <c r="AR57" s="656">
        <f>O57*AF!N10*ACT2FLO!N56/1000</f>
        <v>5.4344132500684468E-3</v>
      </c>
      <c r="AS57" s="656">
        <f>P57*AF!O10*ACT2FLO!O56/1000</f>
        <v>3.7320639107947659E-3</v>
      </c>
      <c r="AT57" s="656">
        <f>Q57*AF!P10*ACT2FLO!P56/1000</f>
        <v>6.5398222071611284E-3</v>
      </c>
      <c r="AU57" s="656">
        <f>R57*AF!Q10*ACT2FLO!Q56/1000</f>
        <v>4.305930334775181E-3</v>
      </c>
      <c r="AV57" s="656">
        <f>S57*AF!R10*ACT2FLO!R56/1000</f>
        <v>2.3153795737168879E-2</v>
      </c>
      <c r="AW57" s="656">
        <f>T57*AF!S10*ACT2FLO!S56/1000</f>
        <v>7.1959715746141538E-3</v>
      </c>
      <c r="AX57" s="656">
        <f>U57*AF!T10*ACT2FLO!T56/1000</f>
        <v>6.8546888588817798E-4</v>
      </c>
      <c r="AY57" s="656">
        <f>V57*AF!U10*ACT2FLO!U56/1000</f>
        <v>1.5536315987239721E-3</v>
      </c>
      <c r="AZ57" s="656">
        <f>W57*AF!V10*ACT2FLO!V56/1000</f>
        <v>4.7632303745113761E-3</v>
      </c>
      <c r="BA57" s="656">
        <f>X57*AF!W10*ACT2FLO!W56/1000</f>
        <v>5.4581968089492866E-2</v>
      </c>
      <c r="BB57" s="656">
        <f>Y57*AF!X10*ACT2FLO!X56/1000</f>
        <v>2.2578625295117507E-3</v>
      </c>
      <c r="BC57" s="656">
        <f>Z57*AF!Y10*ACT2FLO!Y56/1000</f>
        <v>5.2297644735623721E-3</v>
      </c>
      <c r="BD57" s="656">
        <f>AA57*AF!Z10*ACT2FLO!Z56/1000</f>
        <v>1.795024143002808E-3</v>
      </c>
      <c r="BE57" s="656">
        <f>AB57*AF!AA10*ACT2FLO!AA56/1000</f>
        <v>1.5500507710691778E-3</v>
      </c>
      <c r="BF57" s="656">
        <f>AC57*AF!AB10*ACT2FLO!AB56/1000</f>
        <v>1.9092406090985704E-3</v>
      </c>
      <c r="BG57" s="656">
        <f>AD57*AF!AC10*ACT2FLO!AC56/1000</f>
        <v>3.9482205721764379E-3</v>
      </c>
      <c r="BH57" s="656">
        <f>AE57*AF!AD10*ACT2FLO!AD56/1000</f>
        <v>9.712028190163341E-3</v>
      </c>
      <c r="BK57" s="714" t="s">
        <v>1105</v>
      </c>
      <c r="BL57" s="401"/>
      <c r="BM57" s="40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714"/>
    </row>
    <row r="58" spans="1:91">
      <c r="A58" s="448" t="str">
        <f>Commodities!K17</f>
        <v>T-CAR-HEV_GSL00</v>
      </c>
      <c r="B58" s="28" t="s">
        <v>869</v>
      </c>
      <c r="C58" s="714" t="str">
        <f>Commodities!B18</f>
        <v>TRAGSE</v>
      </c>
      <c r="D58" s="459" t="str">
        <f>Commodities!B22&amp;","&amp;Commodities!B23&amp;","&amp;Commodities!B24</f>
        <v>TRAPS,TRAPM,TRAPL</v>
      </c>
      <c r="E58" s="9">
        <f t="shared" si="30"/>
        <v>29.799999999999997</v>
      </c>
      <c r="F58" s="656">
        <f t="shared" si="4"/>
        <v>0.20499999999999999</v>
      </c>
      <c r="G58" s="656">
        <f t="shared" si="5"/>
        <v>1.109</v>
      </c>
      <c r="H58" s="656">
        <f t="shared" si="6"/>
        <v>0.57199999999999995</v>
      </c>
      <c r="I58" s="656">
        <f t="shared" si="7"/>
        <v>1.4279999999999999</v>
      </c>
      <c r="J58" s="656">
        <f t="shared" si="8"/>
        <v>0.36499999999999999</v>
      </c>
      <c r="K58" s="656">
        <f t="shared" si="9"/>
        <v>0.80500000000000005</v>
      </c>
      <c r="L58" s="656">
        <f t="shared" si="10"/>
        <v>0.159</v>
      </c>
      <c r="M58" s="656">
        <f t="shared" si="11"/>
        <v>0.45700000000000002</v>
      </c>
      <c r="N58" s="656">
        <f t="shared" si="12"/>
        <v>0.161</v>
      </c>
      <c r="O58" s="656">
        <f t="shared" si="13"/>
        <v>0.41799999999999998</v>
      </c>
      <c r="P58" s="656">
        <f t="shared" si="14"/>
        <v>0.48799999999999999</v>
      </c>
      <c r="Q58" s="656">
        <f t="shared" si="15"/>
        <v>0.61599999999999999</v>
      </c>
      <c r="R58" s="656">
        <f t="shared" si="16"/>
        <v>0.49199999999999999</v>
      </c>
      <c r="S58" s="656">
        <f t="shared" si="17"/>
        <v>2.9289999999999998</v>
      </c>
      <c r="T58" s="656">
        <f t="shared" si="18"/>
        <v>1.663</v>
      </c>
      <c r="U58" s="656">
        <f t="shared" si="19"/>
        <v>0.09</v>
      </c>
      <c r="V58" s="656">
        <f t="shared" si="20"/>
        <v>0.27300000000000002</v>
      </c>
      <c r="W58" s="656">
        <f t="shared" si="21"/>
        <v>0.56499999999999995</v>
      </c>
      <c r="X58" s="656">
        <f t="shared" si="22"/>
        <v>13.569000000000001</v>
      </c>
      <c r="Y58" s="656">
        <f t="shared" si="23"/>
        <v>0.307</v>
      </c>
      <c r="Z58" s="656">
        <f t="shared" si="24"/>
        <v>0.58299999999999996</v>
      </c>
      <c r="AA58" s="656">
        <f t="shared" si="25"/>
        <v>0.34699999999999998</v>
      </c>
      <c r="AB58" s="656">
        <f t="shared" si="26"/>
        <v>0.26500000000000001</v>
      </c>
      <c r="AC58" s="656">
        <f t="shared" si="27"/>
        <v>0.25600000000000001</v>
      </c>
      <c r="AD58" s="656">
        <f t="shared" si="28"/>
        <v>0.57299999999999995</v>
      </c>
      <c r="AE58" s="656">
        <f t="shared" si="29"/>
        <v>1.105</v>
      </c>
      <c r="AG58" s="101" t="str">
        <f t="shared" si="3"/>
        <v>T-CAR-HEV_GSL00</v>
      </c>
      <c r="AH58" s="656">
        <f>E58*AF!D11*ACT2FLO!D57/1000</f>
        <v>0.56986872830614188</v>
      </c>
      <c r="AI58" s="656">
        <f>F58*AF!E11*ACT2FLO!E57/1000</f>
        <v>4.1407646591977848E-3</v>
      </c>
      <c r="AJ58" s="656">
        <f>G58*AF!F11*ACT2FLO!F57/1000</f>
        <v>1.8235796023371189E-2</v>
      </c>
      <c r="AK58" s="656">
        <f>H58*AF!G11*ACT2FLO!G57/1000</f>
        <v>1.1546062466442087E-2</v>
      </c>
      <c r="AL58" s="656">
        <f>I58*AF!H11*ACT2FLO!H57/1000</f>
        <v>2.9325474545152101E-2</v>
      </c>
      <c r="AM58" s="656">
        <f>J58*AF!I11*ACT2FLO!I57/1000</f>
        <v>7.6693793707508316E-3</v>
      </c>
      <c r="AN58" s="656">
        <f>K58*AF!J11*ACT2FLO!J57/1000</f>
        <v>1.6841393386375272E-2</v>
      </c>
      <c r="AO58" s="656">
        <f>L58*AF!K11*ACT2FLO!K57/1000</f>
        <v>3.127400876971595E-3</v>
      </c>
      <c r="AP58" s="656">
        <f>M58*AF!L11*ACT2FLO!L57/1000</f>
        <v>9.5056606163829646E-3</v>
      </c>
      <c r="AQ58" s="656">
        <f>N58*AF!M11*ACT2FLO!M57/1000</f>
        <v>3.3942217736340412E-3</v>
      </c>
      <c r="AR58" s="656">
        <f>O58*AF!N11*ACT2FLO!N57/1000</f>
        <v>8.6726273148522263E-3</v>
      </c>
      <c r="AS58" s="656">
        <f>P58*AF!O11*ACT2FLO!O57/1000</f>
        <v>1.01490085249701E-2</v>
      </c>
      <c r="AT58" s="656">
        <f>Q58*AF!P11*ACT2FLO!P57/1000</f>
        <v>1.2325769784135321E-2</v>
      </c>
      <c r="AU58" s="656">
        <f>R58*AF!Q11*ACT2FLO!Q57/1000</f>
        <v>1.0421587094099148E-2</v>
      </c>
      <c r="AV58" s="656">
        <f>S58*AF!R11*ACT2FLO!R57/1000</f>
        <v>5.7112859775613561E-2</v>
      </c>
      <c r="AW58" s="656">
        <f>T58*AF!S11*ACT2FLO!S57/1000</f>
        <v>3.4474003467330892E-2</v>
      </c>
      <c r="AX58" s="656">
        <f>U58*AF!T11*ACT2FLO!T57/1000</f>
        <v>1.8082284449798625E-3</v>
      </c>
      <c r="AY58" s="656">
        <f>V58*AF!U11*ACT2FLO!U57/1000</f>
        <v>5.7990026777989655E-3</v>
      </c>
      <c r="AZ58" s="656">
        <f>W58*AF!V11*ACT2FLO!V57/1000</f>
        <v>1.1073470800608397E-2</v>
      </c>
      <c r="BA58" s="656">
        <f>X58*AF!W11*ACT2FLO!W57/1000</f>
        <v>0.27446287971761374</v>
      </c>
      <c r="BB58" s="656">
        <f>Y58*AF!X11*ACT2FLO!X57/1000</f>
        <v>6.6797072394956768E-3</v>
      </c>
      <c r="BC58" s="656">
        <f>Z58*AF!Y11*ACT2FLO!Y57/1000</f>
        <v>1.2166490094015492E-2</v>
      </c>
      <c r="BD58" s="656">
        <f>AA58*AF!Z11*ACT2FLO!Z57/1000</f>
        <v>7.9611034317408503E-3</v>
      </c>
      <c r="BE58" s="656">
        <f>AB58*AF!AA11*ACT2FLO!AA57/1000</f>
        <v>5.308017493911815E-3</v>
      </c>
      <c r="BF58" s="656">
        <f>AC58*AF!AB11*ACT2FLO!AB57/1000</f>
        <v>5.4306354768926379E-3</v>
      </c>
      <c r="BG58" s="656">
        <f>AD58*AF!AC11*ACT2FLO!AC57/1000</f>
        <v>1.1863760956033073E-2</v>
      </c>
      <c r="BH58" s="656">
        <f>AE58*AF!AD11*ACT2FLO!AD57/1000</f>
        <v>2.2720358929728842E-2</v>
      </c>
      <c r="BK58" s="716" t="str">
        <f>BK50</f>
        <v>Technology</v>
      </c>
      <c r="BL58" s="716" t="str">
        <f t="shared" ref="BL58:CL58" si="31">BL50</f>
        <v>IE</v>
      </c>
      <c r="BM58" s="716" t="str">
        <f t="shared" si="31"/>
        <v>IE-CW</v>
      </c>
      <c r="BN58" s="716" t="str">
        <f t="shared" si="31"/>
        <v>IE-D</v>
      </c>
      <c r="BO58" s="716" t="str">
        <f t="shared" si="31"/>
        <v>IE-KE</v>
      </c>
      <c r="BP58" s="716" t="str">
        <f t="shared" si="31"/>
        <v>IE-KK</v>
      </c>
      <c r="BQ58" s="716" t="str">
        <f t="shared" si="31"/>
        <v>IE-LS</v>
      </c>
      <c r="BR58" s="716" t="str">
        <f t="shared" si="31"/>
        <v>IE-LD</v>
      </c>
      <c r="BS58" s="716" t="str">
        <f t="shared" si="31"/>
        <v>IE-LH</v>
      </c>
      <c r="BT58" s="716" t="str">
        <f t="shared" si="31"/>
        <v>IE-MH</v>
      </c>
      <c r="BU58" s="716" t="str">
        <f t="shared" si="31"/>
        <v>IE-OY</v>
      </c>
      <c r="BV58" s="716" t="str">
        <f t="shared" si="31"/>
        <v>IE-WH</v>
      </c>
      <c r="BW58" s="716" t="str">
        <f t="shared" si="31"/>
        <v>IE-WX</v>
      </c>
      <c r="BX58" s="716" t="str">
        <f t="shared" si="31"/>
        <v>IE-WW</v>
      </c>
      <c r="BY58" s="716" t="str">
        <f t="shared" si="31"/>
        <v>IE-CE</v>
      </c>
      <c r="BZ58" s="716" t="str">
        <f t="shared" si="31"/>
        <v>IE-CO</v>
      </c>
      <c r="CA58" s="716" t="str">
        <f t="shared" si="31"/>
        <v>IE-KY</v>
      </c>
      <c r="CB58" s="716" t="str">
        <f t="shared" si="31"/>
        <v>IE-LK</v>
      </c>
      <c r="CC58" s="716" t="str">
        <f t="shared" si="31"/>
        <v>IE-TA</v>
      </c>
      <c r="CD58" s="716" t="str">
        <f t="shared" si="31"/>
        <v>IE-WD</v>
      </c>
      <c r="CE58" s="716" t="str">
        <f t="shared" si="31"/>
        <v>IE-G</v>
      </c>
      <c r="CF58" s="716" t="str">
        <f t="shared" si="31"/>
        <v>IE-LM</v>
      </c>
      <c r="CG58" s="716" t="str">
        <f t="shared" si="31"/>
        <v>IE-MO</v>
      </c>
      <c r="CH58" s="716" t="str">
        <f t="shared" si="31"/>
        <v>IE-RN</v>
      </c>
      <c r="CI58" s="716" t="str">
        <f t="shared" si="31"/>
        <v>IE-SO</v>
      </c>
      <c r="CJ58" s="716" t="str">
        <f t="shared" si="31"/>
        <v>IE-CN</v>
      </c>
      <c r="CK58" s="716" t="str">
        <f t="shared" si="31"/>
        <v>IE-DL</v>
      </c>
      <c r="CL58" s="716" t="str">
        <f t="shared" si="31"/>
        <v>IE-MN</v>
      </c>
      <c r="CM58" s="714"/>
    </row>
    <row r="59" spans="1:91">
      <c r="A59" s="459" t="str">
        <f>Commodities!K18</f>
        <v>T-CAR-HEV_DST00</v>
      </c>
      <c r="B59" s="28" t="s">
        <v>869</v>
      </c>
      <c r="C59" s="714" t="str">
        <f>Commodities!B19</f>
        <v>TRADSB</v>
      </c>
      <c r="D59" s="459" t="str">
        <f>Commodities!B22&amp;","&amp;Commodities!B23&amp;","&amp;Commodities!B24</f>
        <v>TRAPS,TRAPM,TRAPL</v>
      </c>
      <c r="E59" s="9">
        <f t="shared" si="30"/>
        <v>0.77300000000000024</v>
      </c>
      <c r="F59" s="656">
        <f t="shared" si="4"/>
        <v>1.4E-2</v>
      </c>
      <c r="G59" s="656">
        <f t="shared" si="5"/>
        <v>3.3000000000000002E-2</v>
      </c>
      <c r="H59" s="656">
        <f t="shared" si="6"/>
        <v>1.9E-2</v>
      </c>
      <c r="I59" s="656">
        <f t="shared" si="7"/>
        <v>4.2999999999999997E-2</v>
      </c>
      <c r="J59" s="656">
        <f t="shared" si="8"/>
        <v>1.6E-2</v>
      </c>
      <c r="K59" s="656">
        <f t="shared" si="9"/>
        <v>2.4E-2</v>
      </c>
      <c r="L59" s="656">
        <f t="shared" si="10"/>
        <v>8.0000000000000002E-3</v>
      </c>
      <c r="M59" s="656">
        <f t="shared" si="11"/>
        <v>1.2999999999999999E-2</v>
      </c>
      <c r="N59" s="656">
        <f t="shared" si="12"/>
        <v>0.01</v>
      </c>
      <c r="O59" s="656">
        <f t="shared" si="13"/>
        <v>2.3E-2</v>
      </c>
      <c r="P59" s="656">
        <f t="shared" si="14"/>
        <v>1.6E-2</v>
      </c>
      <c r="Q59" s="656">
        <f t="shared" si="15"/>
        <v>1.7000000000000001E-2</v>
      </c>
      <c r="R59" s="656">
        <f t="shared" si="16"/>
        <v>1.2999999999999999E-2</v>
      </c>
      <c r="S59" s="656">
        <f t="shared" si="17"/>
        <v>7.0999999999999994E-2</v>
      </c>
      <c r="T59" s="656">
        <f t="shared" si="18"/>
        <v>3.2000000000000001E-2</v>
      </c>
      <c r="U59" s="656">
        <f t="shared" si="19"/>
        <v>2E-3</v>
      </c>
      <c r="V59" s="656">
        <f t="shared" si="20"/>
        <v>4.0000000000000001E-3</v>
      </c>
      <c r="W59" s="656">
        <f t="shared" si="21"/>
        <v>1.2999999999999999E-2</v>
      </c>
      <c r="X59" s="656">
        <f t="shared" si="22"/>
        <v>0.28699999999999998</v>
      </c>
      <c r="Y59" s="656">
        <f t="shared" si="23"/>
        <v>1.6E-2</v>
      </c>
      <c r="Z59" s="656">
        <f t="shared" si="24"/>
        <v>1.7000000000000001E-2</v>
      </c>
      <c r="AA59" s="656">
        <f t="shared" si="25"/>
        <v>1.0999999999999999E-2</v>
      </c>
      <c r="AB59" s="656">
        <f t="shared" si="26"/>
        <v>5.0000000000000001E-3</v>
      </c>
      <c r="AC59" s="656">
        <f t="shared" si="27"/>
        <v>1.6E-2</v>
      </c>
      <c r="AD59" s="656">
        <f t="shared" si="28"/>
        <v>1.2E-2</v>
      </c>
      <c r="AE59" s="656">
        <f t="shared" si="29"/>
        <v>3.7999999999999999E-2</v>
      </c>
      <c r="AF59" s="451"/>
      <c r="AG59" s="101" t="str">
        <f t="shared" si="3"/>
        <v>T-CAR-HEV_DST00</v>
      </c>
      <c r="AH59" s="656">
        <f>E59*AF!D12*ACT2FLO!D58/1000</f>
        <v>2.3778099610678605E-2</v>
      </c>
      <c r="AI59" s="656">
        <f>F59*AF!E12*ACT2FLO!E58/1000</f>
        <v>4.5392063363698166E-4</v>
      </c>
      <c r="AJ59" s="656">
        <f>G59*AF!F12*ACT2FLO!F58/1000</f>
        <v>8.914739008685069E-4</v>
      </c>
      <c r="AK59" s="656">
        <f>H59*AF!G12*ACT2FLO!G58/1000</f>
        <v>5.9273290968661413E-4</v>
      </c>
      <c r="AL59" s="656">
        <f>I59*AF!H12*ACT2FLO!H58/1000</f>
        <v>1.3954037767277393E-3</v>
      </c>
      <c r="AM59" s="656">
        <f>J59*AF!I12*ACT2FLO!I58/1000</f>
        <v>5.3232583916175337E-4</v>
      </c>
      <c r="AN59" s="656">
        <f>K59*AF!J12*ACT2FLO!J58/1000</f>
        <v>8.1367146799895878E-4</v>
      </c>
      <c r="AO59" s="656">
        <f>L59*AF!K12*ACT2FLO!K58/1000</f>
        <v>2.4603866816093144E-4</v>
      </c>
      <c r="AP59" s="656">
        <f>M59*AF!L12*ACT2FLO!L58/1000</f>
        <v>4.1114018724284693E-4</v>
      </c>
      <c r="AQ59" s="656">
        <f>N59*AF!M12*ACT2FLO!M58/1000</f>
        <v>3.2906314136038807E-4</v>
      </c>
      <c r="AR59" s="656">
        <f>O59*AF!N12*ACT2FLO!N58/1000</f>
        <v>7.5615889982839023E-4</v>
      </c>
      <c r="AS59" s="656">
        <f>P59*AF!O12*ACT2FLO!O58/1000</f>
        <v>5.1105572289227399E-4</v>
      </c>
      <c r="AT59" s="656">
        <f>Q59*AF!P12*ACT2FLO!P58/1000</f>
        <v>5.1742959611780813E-4</v>
      </c>
      <c r="AU59" s="656">
        <f>R59*AF!Q12*ACT2FLO!Q58/1000</f>
        <v>4.2712261467541316E-4</v>
      </c>
      <c r="AV59" s="656">
        <f>S59*AF!R12*ACT2FLO!R58/1000</f>
        <v>2.1260716596885614E-3</v>
      </c>
      <c r="AW59" s="656">
        <f>T59*AF!S12*ACT2FLO!S58/1000</f>
        <v>1.0019633221802374E-3</v>
      </c>
      <c r="AX59" s="656">
        <f>U59*AF!T12*ACT2FLO!T58/1000</f>
        <v>6.3780508577981733E-5</v>
      </c>
      <c r="AY59" s="656">
        <f>V59*AF!U12*ACT2FLO!U58/1000</f>
        <v>1.3290241840769858E-4</v>
      </c>
      <c r="AZ59" s="656">
        <f>W59*AF!V12*ACT2FLO!V58/1000</f>
        <v>4.0295501202859576E-4</v>
      </c>
      <c r="BA59" s="656">
        <f>X59*AF!W12*ACT2FLO!W58/1000</f>
        <v>9.1584978832391119E-3</v>
      </c>
      <c r="BB59" s="656">
        <f>Y59*AF!X12*ACT2FLO!X58/1000</f>
        <v>5.3187226765881272E-4</v>
      </c>
      <c r="BC59" s="656">
        <f>Z59*AF!Y12*ACT2FLO!Y58/1000</f>
        <v>5.4388445242912553E-4</v>
      </c>
      <c r="BD59" s="656">
        <f>AA59*AF!Z12*ACT2FLO!Z58/1000</f>
        <v>3.8268155945636747E-4</v>
      </c>
      <c r="BE59" s="656">
        <f>AB59*AF!AA12*ACT2FLO!AA58/1000</f>
        <v>1.5907826856424655E-4</v>
      </c>
      <c r="BF59" s="656">
        <f>AC59*AF!AB12*ACT2FLO!AB58/1000</f>
        <v>5.2249049920325113E-4</v>
      </c>
      <c r="BG59" s="656">
        <f>AD59*AF!AC12*ACT2FLO!AC58/1000</f>
        <v>3.679300415301369E-4</v>
      </c>
      <c r="BH59" s="656">
        <f>AE59*AF!AD12*ACT2FLO!AD58/1000</f>
        <v>1.2237359149338445E-3</v>
      </c>
      <c r="BK59" s="714" t="str">
        <f>BK52</f>
        <v>T-LGT-ICE_GSL00</v>
      </c>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714"/>
    </row>
    <row r="60" spans="1:91">
      <c r="A60" s="448" t="str">
        <f>Commodities!K19</f>
        <v>T-CAR-PHEV_GSL00</v>
      </c>
      <c r="B60" s="28" t="s">
        <v>869</v>
      </c>
      <c r="C60" s="448" t="str">
        <f>Commodities!B8&amp;","&amp;Commodities!B14</f>
        <v>TRAGSL,TRAELC</v>
      </c>
      <c r="D60" s="459" t="str">
        <f>Commodities!B22&amp;","&amp;Commodities!B23&amp;","&amp;Commodities!B24</f>
        <v>TRAPS,TRAPM,TRAPL</v>
      </c>
      <c r="E60" s="9">
        <f t="shared" si="30"/>
        <v>2.7589999999999999</v>
      </c>
      <c r="F60" s="656">
        <f t="shared" si="4"/>
        <v>1.4999999999999999E-2</v>
      </c>
      <c r="G60" s="656">
        <f t="shared" si="5"/>
        <v>0.109</v>
      </c>
      <c r="H60" s="656">
        <f t="shared" si="6"/>
        <v>3.3000000000000002E-2</v>
      </c>
      <c r="I60" s="656">
        <f t="shared" si="7"/>
        <v>0.15</v>
      </c>
      <c r="J60" s="656">
        <f t="shared" si="8"/>
        <v>2.4E-2</v>
      </c>
      <c r="K60" s="656">
        <f t="shared" si="9"/>
        <v>5.3999999999999999E-2</v>
      </c>
      <c r="L60" s="656">
        <f t="shared" si="10"/>
        <v>1.7999999999999999E-2</v>
      </c>
      <c r="M60" s="656">
        <f t="shared" si="11"/>
        <v>2.3E-2</v>
      </c>
      <c r="N60" s="656">
        <f t="shared" si="12"/>
        <v>0.01</v>
      </c>
      <c r="O60" s="656">
        <f t="shared" si="13"/>
        <v>3.2000000000000001E-2</v>
      </c>
      <c r="P60" s="656">
        <f t="shared" si="14"/>
        <v>3.5000000000000003E-2</v>
      </c>
      <c r="Q60" s="656">
        <f t="shared" si="15"/>
        <v>4.2000000000000003E-2</v>
      </c>
      <c r="R60" s="656">
        <f t="shared" si="16"/>
        <v>3.6999999999999998E-2</v>
      </c>
      <c r="S60" s="656">
        <f t="shared" si="17"/>
        <v>0.26200000000000001</v>
      </c>
      <c r="T60" s="656">
        <f t="shared" si="18"/>
        <v>0.152</v>
      </c>
      <c r="U60" s="656">
        <f t="shared" si="19"/>
        <v>3.0000000000000001E-3</v>
      </c>
      <c r="V60" s="656">
        <f t="shared" si="20"/>
        <v>2.3E-2</v>
      </c>
      <c r="W60" s="656">
        <f t="shared" si="21"/>
        <v>0.04</v>
      </c>
      <c r="X60" s="656">
        <f t="shared" si="22"/>
        <v>1.43</v>
      </c>
      <c r="Y60" s="656">
        <f t="shared" si="23"/>
        <v>1.7000000000000001E-2</v>
      </c>
      <c r="Z60" s="656">
        <f t="shared" si="24"/>
        <v>4.7E-2</v>
      </c>
      <c r="AA60" s="656">
        <f t="shared" si="25"/>
        <v>1.7999999999999999E-2</v>
      </c>
      <c r="AB60" s="656">
        <f t="shared" si="26"/>
        <v>1.6E-2</v>
      </c>
      <c r="AC60" s="656">
        <f t="shared" si="27"/>
        <v>2.4E-2</v>
      </c>
      <c r="AD60" s="656">
        <f t="shared" si="28"/>
        <v>3.6999999999999998E-2</v>
      </c>
      <c r="AE60" s="656">
        <f t="shared" si="29"/>
        <v>0.108</v>
      </c>
      <c r="AF60" s="451"/>
      <c r="AG60" s="101" t="str">
        <f t="shared" si="3"/>
        <v>T-CAR-PHEV_GSL00</v>
      </c>
      <c r="AH60" s="656">
        <f>E60*AF!D13*ACT2FLO!D59/1000</f>
        <v>5.2760665147538438E-2</v>
      </c>
      <c r="AI60" s="656">
        <f>F60*AF!E13*ACT2FLO!E59/1000</f>
        <v>3.029827799413013E-4</v>
      </c>
      <c r="AJ60" s="656">
        <f>G60*AF!F13*ACT2FLO!F59/1000</f>
        <v>1.7923370302501893E-3</v>
      </c>
      <c r="AK60" s="656">
        <f>H60*AF!G13*ACT2FLO!G59/1000</f>
        <v>6.6611898844858204E-4</v>
      </c>
      <c r="AL60" s="656">
        <f>I60*AF!H13*ACT2FLO!H59/1000</f>
        <v>3.0804069900369855E-3</v>
      </c>
      <c r="AM60" s="656">
        <f>J60*AF!I13*ACT2FLO!I59/1000</f>
        <v>5.0428795862471234E-4</v>
      </c>
      <c r="AN60" s="656">
        <f>K60*AF!J13*ACT2FLO!J59/1000</f>
        <v>1.1297332209493972E-3</v>
      </c>
      <c r="AO60" s="656">
        <f>L60*AF!K13*ACT2FLO!K59/1000</f>
        <v>3.5404538229867117E-4</v>
      </c>
      <c r="AP60" s="656">
        <f>M60*AF!L13*ACT2FLO!L59/1000</f>
        <v>4.7840305071511637E-4</v>
      </c>
      <c r="AQ60" s="656">
        <f>N60*AF!M13*ACT2FLO!M59/1000</f>
        <v>2.108212281760274E-4</v>
      </c>
      <c r="AR60" s="656">
        <f>O60*AF!N13*ACT2FLO!N59/1000</f>
        <v>6.639331915676346E-4</v>
      </c>
      <c r="AS60" s="656">
        <f>P60*AF!O13*ACT2FLO!O59/1000</f>
        <v>7.2790020158597021E-4</v>
      </c>
      <c r="AT60" s="656">
        <f>Q60*AF!P13*ACT2FLO!P59/1000</f>
        <v>8.4039339437286297E-4</v>
      </c>
      <c r="AU60" s="656">
        <f>R60*AF!Q13*ACT2FLO!Q59/1000</f>
        <v>7.8373724081639933E-4</v>
      </c>
      <c r="AV60" s="656">
        <f>S60*AF!R13*ACT2FLO!R59/1000</f>
        <v>5.1087638310722957E-3</v>
      </c>
      <c r="AW60" s="656">
        <f>T60*AF!S13*ACT2FLO!S59/1000</f>
        <v>3.1509612309286203E-3</v>
      </c>
      <c r="AX60" s="656">
        <f>U60*AF!T13*ACT2FLO!T59/1000</f>
        <v>6.0274281499328749E-5</v>
      </c>
      <c r="AY60" s="656">
        <f>V60*AF!U13*ACT2FLO!U59/1000</f>
        <v>4.8856066516255012E-4</v>
      </c>
      <c r="AZ60" s="656">
        <f>W60*AF!V13*ACT2FLO!V59/1000</f>
        <v>7.8396253455634691E-4</v>
      </c>
      <c r="BA60" s="656">
        <f>X60*AF!W13*ACT2FLO!W59/1000</f>
        <v>2.8924896307479381E-2</v>
      </c>
      <c r="BB60" s="656">
        <f>Y60*AF!X13*ACT2FLO!X59/1000</f>
        <v>3.6988606863656848E-4</v>
      </c>
      <c r="BC60" s="656">
        <f>Z60*AF!Y13*ACT2FLO!Y59/1000</f>
        <v>9.8083196298238105E-4</v>
      </c>
      <c r="BD60" s="656">
        <f>AA60*AF!Z13*ACT2FLO!Z59/1000</f>
        <v>4.1296790135831495E-4</v>
      </c>
      <c r="BE60" s="656">
        <f>AB60*AF!AA13*ACT2FLO!AA59/1000</f>
        <v>3.2048407510410957E-4</v>
      </c>
      <c r="BF60" s="656">
        <f>AC60*AF!AB13*ACT2FLO!AB59/1000</f>
        <v>5.0912207595868485E-4</v>
      </c>
      <c r="BG60" s="656">
        <f>AD60*AF!AC13*ACT2FLO!AC59/1000</f>
        <v>7.6607182438607991E-4</v>
      </c>
      <c r="BH60" s="656">
        <f>AE60*AF!AD13*ACT2FLO!AD59/1000</f>
        <v>2.2206323659825474E-3</v>
      </c>
      <c r="BK60" s="714" t="str">
        <f t="shared" ref="BK60:BK61" si="32">BK53</f>
        <v>T-HGT-ICE_DST00</v>
      </c>
      <c r="BL60" s="656"/>
      <c r="BM60" s="656"/>
      <c r="BN60" s="656"/>
      <c r="BO60" s="656"/>
      <c r="BP60" s="656"/>
      <c r="BQ60" s="656"/>
      <c r="BR60" s="656"/>
      <c r="BS60" s="656"/>
      <c r="BT60" s="656"/>
      <c r="BU60" s="656"/>
      <c r="BV60" s="656"/>
      <c r="BW60" s="656"/>
      <c r="BX60" s="656"/>
      <c r="BY60" s="656"/>
      <c r="BZ60" s="656"/>
      <c r="CA60" s="656"/>
      <c r="CB60" s="656"/>
      <c r="CC60" s="656"/>
      <c r="CD60" s="656"/>
      <c r="CE60" s="656"/>
      <c r="CF60" s="656"/>
      <c r="CG60" s="656"/>
      <c r="CH60" s="656"/>
      <c r="CI60" s="656"/>
      <c r="CJ60" s="656"/>
      <c r="CK60" s="656"/>
      <c r="CL60" s="656"/>
      <c r="CM60" s="714"/>
    </row>
    <row r="61" spans="1:91">
      <c r="A61" s="448" t="str">
        <f>Commodities!K20</f>
        <v>T-CAR-PHEV_DST00</v>
      </c>
      <c r="B61" s="28" t="s">
        <v>869</v>
      </c>
      <c r="C61" s="448" t="str">
        <f>Commodities!B9&amp;","&amp;Commodities!B14</f>
        <v>TRADST,TRAELC</v>
      </c>
      <c r="D61" s="459" t="str">
        <f>Commodities!B22&amp;","&amp;Commodities!B23&amp;","&amp;Commodities!B24</f>
        <v>TRAPS,TRAPM,TRAPL</v>
      </c>
      <c r="E61" s="9">
        <f t="shared" si="30"/>
        <v>2.5000000000000008E-2</v>
      </c>
      <c r="F61" s="656">
        <f t="shared" si="4"/>
        <v>0</v>
      </c>
      <c r="G61" s="656">
        <f t="shared" si="5"/>
        <v>1.0999999999999999E-2</v>
      </c>
      <c r="H61" s="656">
        <f t="shared" si="6"/>
        <v>2E-3</v>
      </c>
      <c r="I61" s="656">
        <f t="shared" si="7"/>
        <v>0</v>
      </c>
      <c r="J61" s="656">
        <f t="shared" si="8"/>
        <v>0</v>
      </c>
      <c r="K61" s="656">
        <f t="shared" si="9"/>
        <v>1E-3</v>
      </c>
      <c r="L61" s="656">
        <f t="shared" si="10"/>
        <v>0</v>
      </c>
      <c r="M61" s="656">
        <f t="shared" si="11"/>
        <v>1E-3</v>
      </c>
      <c r="N61" s="656">
        <f t="shared" si="12"/>
        <v>0</v>
      </c>
      <c r="O61" s="656">
        <f t="shared" si="13"/>
        <v>0</v>
      </c>
      <c r="P61" s="656">
        <f t="shared" si="14"/>
        <v>1E-3</v>
      </c>
      <c r="Q61" s="656">
        <f t="shared" si="15"/>
        <v>1E-3</v>
      </c>
      <c r="R61" s="656">
        <f t="shared" si="16"/>
        <v>2E-3</v>
      </c>
      <c r="S61" s="656">
        <f t="shared" si="17"/>
        <v>2E-3</v>
      </c>
      <c r="T61" s="656">
        <f t="shared" si="18"/>
        <v>0</v>
      </c>
      <c r="U61" s="656">
        <f t="shared" si="19"/>
        <v>0</v>
      </c>
      <c r="V61" s="656">
        <f t="shared" si="20"/>
        <v>1E-3</v>
      </c>
      <c r="W61" s="656">
        <f t="shared" si="21"/>
        <v>0</v>
      </c>
      <c r="X61" s="656">
        <f t="shared" si="22"/>
        <v>0</v>
      </c>
      <c r="Y61" s="656">
        <f t="shared" si="23"/>
        <v>0</v>
      </c>
      <c r="Z61" s="656">
        <f t="shared" si="24"/>
        <v>0</v>
      </c>
      <c r="AA61" s="656">
        <f t="shared" si="25"/>
        <v>0</v>
      </c>
      <c r="AB61" s="656">
        <f t="shared" si="26"/>
        <v>1E-3</v>
      </c>
      <c r="AC61" s="656">
        <f t="shared" si="27"/>
        <v>0</v>
      </c>
      <c r="AD61" s="656">
        <f t="shared" si="28"/>
        <v>1E-3</v>
      </c>
      <c r="AE61" s="656">
        <f t="shared" si="29"/>
        <v>1E-3</v>
      </c>
      <c r="AF61" s="451"/>
      <c r="AG61" s="101" t="str">
        <f t="shared" si="3"/>
        <v>T-CAR-PHEV_DST00</v>
      </c>
      <c r="AH61" s="656">
        <f>E61*AF!D14*ACT2FLO!D60/1000</f>
        <v>7.6902003915519431E-4</v>
      </c>
      <c r="AI61" s="656">
        <f>F61*AF!E14*ACT2FLO!E60/1000</f>
        <v>0</v>
      </c>
      <c r="AJ61" s="656">
        <f>G61*AF!F14*ACT2FLO!F60/1000</f>
        <v>2.9715796695616893E-4</v>
      </c>
      <c r="AK61" s="656">
        <f>H61*AF!G14*ACT2FLO!G60/1000</f>
        <v>6.2392937861748842E-5</v>
      </c>
      <c r="AL61" s="656">
        <f>I61*AF!H14*ACT2FLO!H60/1000</f>
        <v>0</v>
      </c>
      <c r="AM61" s="656">
        <f>J61*AF!I14*ACT2FLO!I60/1000</f>
        <v>0</v>
      </c>
      <c r="AN61" s="656">
        <f>K61*AF!J14*ACT2FLO!J60/1000</f>
        <v>3.3902977833289954E-5</v>
      </c>
      <c r="AO61" s="656">
        <f>L61*AF!K14*ACT2FLO!K60/1000</f>
        <v>0</v>
      </c>
      <c r="AP61" s="656">
        <f>M61*AF!L14*ACT2FLO!L60/1000</f>
        <v>3.1626168249449771E-5</v>
      </c>
      <c r="AQ61" s="656">
        <f>N61*AF!M14*ACT2FLO!M60/1000</f>
        <v>0</v>
      </c>
      <c r="AR61" s="656">
        <f>O61*AF!N14*ACT2FLO!N60/1000</f>
        <v>0</v>
      </c>
      <c r="AS61" s="656">
        <f>P61*AF!O14*ACT2FLO!O60/1000</f>
        <v>3.1940982680767124E-5</v>
      </c>
      <c r="AT61" s="656">
        <f>Q61*AF!P14*ACT2FLO!P60/1000</f>
        <v>3.0437035065753419E-5</v>
      </c>
      <c r="AU61" s="656">
        <f>R61*AF!Q14*ACT2FLO!Q60/1000</f>
        <v>6.5711171488525103E-5</v>
      </c>
      <c r="AV61" s="656">
        <f>S61*AF!R14*ACT2FLO!R60/1000</f>
        <v>5.9889342526438347E-5</v>
      </c>
      <c r="AW61" s="656">
        <f>T61*AF!S14*ACT2FLO!S60/1000</f>
        <v>0</v>
      </c>
      <c r="AX61" s="656">
        <f>U61*AF!T14*ACT2FLO!T60/1000</f>
        <v>0</v>
      </c>
      <c r="AY61" s="656">
        <f>V61*AF!U14*ACT2FLO!U60/1000</f>
        <v>3.3225604601924645E-5</v>
      </c>
      <c r="AZ61" s="656">
        <f>W61*AF!V14*ACT2FLO!V60/1000</f>
        <v>0</v>
      </c>
      <c r="BA61" s="656">
        <f>X61*AF!W14*ACT2FLO!W60/1000</f>
        <v>0</v>
      </c>
      <c r="BB61" s="656">
        <f>Y61*AF!X14*ACT2FLO!X60/1000</f>
        <v>0</v>
      </c>
      <c r="BC61" s="656">
        <f>Z61*AF!Y14*ACT2FLO!Y60/1000</f>
        <v>0</v>
      </c>
      <c r="BD61" s="656">
        <f>AA61*AF!Z14*ACT2FLO!Z60/1000</f>
        <v>0</v>
      </c>
      <c r="BE61" s="656">
        <f>AB61*AF!AA14*ACT2FLO!AA60/1000</f>
        <v>3.1815653712849314E-5</v>
      </c>
      <c r="BF61" s="656">
        <f>AC61*AF!AB14*ACT2FLO!AB60/1000</f>
        <v>0</v>
      </c>
      <c r="BG61" s="656">
        <f>AD61*AF!AC14*ACT2FLO!AC60/1000</f>
        <v>3.0660836794178079E-5</v>
      </c>
      <c r="BH61" s="656">
        <f>AE61*AF!AD14*ACT2FLO!AD60/1000</f>
        <v>3.2203576708785385E-5</v>
      </c>
      <c r="BK61" s="714" t="str">
        <f t="shared" si="32"/>
        <v>T-GTR-ICE_DST00</v>
      </c>
      <c r="BL61" s="656"/>
      <c r="BM61" s="656"/>
      <c r="BN61" s="656"/>
      <c r="BO61" s="656"/>
      <c r="BP61" s="656"/>
      <c r="BQ61" s="656"/>
      <c r="BR61" s="656"/>
      <c r="BS61" s="656"/>
      <c r="BT61" s="656"/>
      <c r="BU61" s="656"/>
      <c r="BV61" s="656"/>
      <c r="BW61" s="656"/>
      <c r="BX61" s="656"/>
      <c r="BY61" s="656"/>
      <c r="BZ61" s="656"/>
      <c r="CA61" s="656"/>
      <c r="CB61" s="656"/>
      <c r="CC61" s="656"/>
      <c r="CD61" s="656"/>
      <c r="CE61" s="656"/>
      <c r="CF61" s="656"/>
      <c r="CG61" s="656"/>
      <c r="CH61" s="656"/>
      <c r="CI61" s="656"/>
      <c r="CJ61" s="656"/>
      <c r="CK61" s="656"/>
      <c r="CL61" s="656"/>
      <c r="CM61" s="714"/>
    </row>
    <row r="62" spans="1:91" s="459" customFormat="1">
      <c r="A62" s="448" t="str">
        <f>Commodities!K21</f>
        <v>T-CAR-BEV_ELC00</v>
      </c>
      <c r="B62" s="28" t="s">
        <v>869</v>
      </c>
      <c r="C62" s="448" t="str">
        <f>Commodities!B14</f>
        <v>TRAELC</v>
      </c>
      <c r="D62" s="459" t="str">
        <f>Commodities!B22&amp;","&amp;Commodities!B23&amp;","&amp;Commodities!B24</f>
        <v>TRAPS,TRAPM,TRAPL</v>
      </c>
      <c r="E62" s="9">
        <f t="shared" si="30"/>
        <v>4.53</v>
      </c>
      <c r="F62" s="656">
        <f t="shared" si="4"/>
        <v>4.5999999999999999E-2</v>
      </c>
      <c r="G62" s="656">
        <f t="shared" si="5"/>
        <v>1.6759999999999999</v>
      </c>
      <c r="H62" s="656">
        <f t="shared" si="6"/>
        <v>0.29199999999999998</v>
      </c>
      <c r="I62" s="656">
        <f t="shared" si="7"/>
        <v>5.3999999999999999E-2</v>
      </c>
      <c r="J62" s="656">
        <f t="shared" si="8"/>
        <v>5.6000000000000001E-2</v>
      </c>
      <c r="K62" s="656">
        <f t="shared" si="9"/>
        <v>2.4E-2</v>
      </c>
      <c r="L62" s="656">
        <f t="shared" si="10"/>
        <v>0.10299999999999999</v>
      </c>
      <c r="M62" s="656">
        <f t="shared" si="11"/>
        <v>0.23899999999999999</v>
      </c>
      <c r="N62" s="656">
        <f t="shared" si="12"/>
        <v>2.9000000000000001E-2</v>
      </c>
      <c r="O62" s="656">
        <f t="shared" si="13"/>
        <v>9.8000000000000004E-2</v>
      </c>
      <c r="P62" s="656">
        <f t="shared" si="14"/>
        <v>0.14099999999999999</v>
      </c>
      <c r="Q62" s="656">
        <f t="shared" si="15"/>
        <v>0.25700000000000001</v>
      </c>
      <c r="R62" s="656">
        <f t="shared" si="16"/>
        <v>0.107</v>
      </c>
      <c r="S62" s="656">
        <f t="shared" si="17"/>
        <v>0.51400000000000001</v>
      </c>
      <c r="T62" s="656">
        <f t="shared" si="18"/>
        <v>9.8000000000000004E-2</v>
      </c>
      <c r="U62" s="656">
        <f t="shared" si="19"/>
        <v>0.123</v>
      </c>
      <c r="V62" s="656">
        <f t="shared" si="20"/>
        <v>9.4E-2</v>
      </c>
      <c r="W62" s="656">
        <f t="shared" si="21"/>
        <v>0.1</v>
      </c>
      <c r="X62" s="656">
        <f t="shared" si="22"/>
        <v>0.22800000000000001</v>
      </c>
      <c r="Y62" s="656">
        <f t="shared" si="23"/>
        <v>1.7000000000000001E-2</v>
      </c>
      <c r="Z62" s="656">
        <f t="shared" si="24"/>
        <v>5.8000000000000003E-2</v>
      </c>
      <c r="AA62" s="656">
        <f t="shared" si="25"/>
        <v>0.03</v>
      </c>
      <c r="AB62" s="656">
        <f t="shared" si="26"/>
        <v>2.9000000000000001E-2</v>
      </c>
      <c r="AC62" s="656">
        <f t="shared" si="27"/>
        <v>3.5000000000000003E-2</v>
      </c>
      <c r="AD62" s="656">
        <f t="shared" si="28"/>
        <v>5.0999999999999997E-2</v>
      </c>
      <c r="AE62" s="656">
        <f t="shared" si="29"/>
        <v>3.1E-2</v>
      </c>
      <c r="AF62" s="451"/>
      <c r="AG62" s="101" t="str">
        <f t="shared" si="3"/>
        <v>T-CAR-BEV_ELC00</v>
      </c>
      <c r="AH62" s="656">
        <f>E62*AF!D15*ACT2FLO!D61/1000</f>
        <v>9.0865471195621078E-2</v>
      </c>
      <c r="AI62" s="656">
        <f>F62*AF!E15*ACT2FLO!E61/1000</f>
        <v>9.6710098093776681E-4</v>
      </c>
      <c r="AJ62" s="656">
        <f>G62*AF!F15*ACT2FLO!F61/1000</f>
        <v>3.2125353528666398E-2</v>
      </c>
      <c r="AK62" s="656">
        <f>H62*AF!G15*ACT2FLO!G61/1000</f>
        <v>6.0614400446073321E-3</v>
      </c>
      <c r="AL62" s="656">
        <f>I62*AF!H15*ACT2FLO!H61/1000</f>
        <v>1.1568042780196438E-3</v>
      </c>
      <c r="AM62" s="656">
        <f>J62*AF!I15*ACT2FLO!I61/1000</f>
        <v>1.2186988840327667E-3</v>
      </c>
      <c r="AN62" s="656">
        <f>K62*AF!J15*ACT2FLO!J61/1000</f>
        <v>5.0145910477742458E-4</v>
      </c>
      <c r="AO62" s="656">
        <f>L62*AF!K15*ACT2FLO!K61/1000</f>
        <v>2.0614257844273373E-3</v>
      </c>
      <c r="AP62" s="656">
        <f>M62*AF!L15*ACT2FLO!L61/1000</f>
        <v>5.0289994030502253E-3</v>
      </c>
      <c r="AQ62" s="656">
        <f>N62*AF!M15*ACT2FLO!M61/1000</f>
        <v>6.2752065035294295E-4</v>
      </c>
      <c r="AR62" s="656">
        <f>O62*AF!N15*ACT2FLO!N61/1000</f>
        <v>2.0483557634873376E-3</v>
      </c>
      <c r="AS62" s="656">
        <f>P62*AF!O15*ACT2FLO!O61/1000</f>
        <v>2.973000064531424E-3</v>
      </c>
      <c r="AT62" s="656">
        <f>Q62*AF!P15*ACT2FLO!P61/1000</f>
        <v>5.3356644674298738E-3</v>
      </c>
      <c r="AU62" s="656">
        <f>R62*AF!Q15*ACT2FLO!Q61/1000</f>
        <v>2.2474855893704604E-3</v>
      </c>
      <c r="AV62" s="656">
        <f>S62*AF!R15*ACT2FLO!R61/1000</f>
        <v>1.024186833812806E-2</v>
      </c>
      <c r="AW62" s="656">
        <f>T62*AF!S15*ACT2FLO!S61/1000</f>
        <v>2.014872040891963E-3</v>
      </c>
      <c r="AX62" s="656">
        <f>U62*AF!T15*ACT2FLO!T61/1000</f>
        <v>2.5549294837650272E-3</v>
      </c>
      <c r="AY62" s="656">
        <f>V62*AF!U15*ACT2FLO!U61/1000</f>
        <v>1.9472182704007121E-3</v>
      </c>
      <c r="AZ62" s="656">
        <f>W62*AF!V15*ACT2FLO!V61/1000</f>
        <v>2.0800132639787671E-3</v>
      </c>
      <c r="BA62" s="656">
        <f>X62*AF!W15*ACT2FLO!W61/1000</f>
        <v>4.7390284555995331E-3</v>
      </c>
      <c r="BB62" s="656">
        <f>Y62*AF!X15*ACT2FLO!X61/1000</f>
        <v>3.5872582244579219E-4</v>
      </c>
      <c r="BC62" s="656">
        <f>Z62*AF!Y15*ACT2FLO!Y61/1000</f>
        <v>1.2280418601887352E-3</v>
      </c>
      <c r="BD62" s="656">
        <f>AA62*AF!Z15*ACT2FLO!Z61/1000</f>
        <v>6.3353793282452042E-4</v>
      </c>
      <c r="BE62" s="656">
        <f>AB62*AF!AA15*ACT2FLO!AA61/1000</f>
        <v>5.9935296481341551E-4</v>
      </c>
      <c r="BF62" s="656">
        <f>AC62*AF!AB15*ACT2FLO!AB61/1000</f>
        <v>7.3432331119175796E-4</v>
      </c>
      <c r="BG62" s="656">
        <f>AD62*AF!AC15*ACT2FLO!AC61/1000</f>
        <v>1.0884283739513423E-3</v>
      </c>
      <c r="BH62" s="656">
        <f>AE62*AF!AD15*ACT2FLO!AD61/1000</f>
        <v>6.378662582522533E-4</v>
      </c>
      <c r="BK62" s="136" t="s">
        <v>1</v>
      </c>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14"/>
    </row>
    <row r="63" spans="1:91" ht="15.6">
      <c r="A63" s="455" t="s">
        <v>554</v>
      </c>
      <c r="B63" s="455"/>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1"/>
      <c r="AG63" s="455" t="str">
        <f t="shared" si="3"/>
        <v>*Small sevice vehicle</v>
      </c>
      <c r="AH63" s="774"/>
      <c r="AI63" s="774"/>
      <c r="AJ63" s="774"/>
      <c r="AK63" s="774"/>
      <c r="AL63" s="774"/>
      <c r="AM63" s="774"/>
      <c r="AN63" s="774"/>
      <c r="AO63" s="774"/>
      <c r="AP63" s="774"/>
      <c r="AQ63" s="774"/>
      <c r="AR63" s="774"/>
      <c r="AS63" s="774"/>
      <c r="AT63" s="774"/>
      <c r="AU63" s="774"/>
      <c r="AV63" s="774"/>
      <c r="AW63" s="774"/>
      <c r="AX63" s="774"/>
      <c r="AY63" s="774"/>
      <c r="AZ63" s="774"/>
      <c r="BA63" s="774"/>
      <c r="BB63" s="774"/>
      <c r="BC63" s="774"/>
      <c r="BD63" s="774"/>
      <c r="BE63" s="774"/>
      <c r="BF63" s="774"/>
      <c r="BG63" s="774"/>
      <c r="BH63" s="774"/>
      <c r="BK63" s="714"/>
      <c r="BL63" s="714"/>
      <c r="BM63" s="714"/>
      <c r="BN63" s="714"/>
      <c r="BO63" s="714"/>
      <c r="BP63" s="714"/>
      <c r="BQ63" s="714"/>
      <c r="BR63" s="714"/>
      <c r="BS63" s="714"/>
      <c r="BT63" s="714"/>
      <c r="BU63" s="714"/>
      <c r="BV63" s="714"/>
      <c r="BW63" s="714"/>
      <c r="BX63" s="714"/>
      <c r="BY63" s="714"/>
      <c r="BZ63" s="714"/>
      <c r="CA63" s="714"/>
      <c r="CB63" s="714"/>
      <c r="CC63" s="714"/>
      <c r="CD63" s="714"/>
      <c r="CE63" s="714"/>
      <c r="CF63" s="714"/>
      <c r="CG63" s="714"/>
      <c r="CH63" s="714"/>
      <c r="CI63" s="714"/>
      <c r="CJ63" s="714"/>
      <c r="CK63" s="714"/>
      <c r="CL63" s="714"/>
      <c r="CM63" s="714"/>
    </row>
    <row r="64" spans="1:91">
      <c r="A64" s="448" t="str">
        <f>Commodities!K23</f>
        <v>T-TAX-ICE_GSL00</v>
      </c>
      <c r="B64" s="28" t="s">
        <v>869</v>
      </c>
      <c r="C64" s="714" t="str">
        <f>Commodities!B18</f>
        <v>TRAGSE</v>
      </c>
      <c r="D64" s="459" t="str">
        <f>Commodities!B22&amp;","&amp;Commodities!B23&amp;","&amp;Commodities!B24</f>
        <v>TRAPS,TRAPM,TRAPL</v>
      </c>
      <c r="E64" s="9">
        <f t="shared" si="30"/>
        <v>2.5000000000000004</v>
      </c>
      <c r="F64" s="656">
        <f t="shared" ref="F64:O66" si="33">D182/1000</f>
        <v>0.01</v>
      </c>
      <c r="G64" s="656">
        <f t="shared" si="33"/>
        <v>1.579</v>
      </c>
      <c r="H64" s="656">
        <f t="shared" si="33"/>
        <v>7.0999999999999994E-2</v>
      </c>
      <c r="I64" s="656">
        <f t="shared" si="33"/>
        <v>0.01</v>
      </c>
      <c r="J64" s="656">
        <f t="shared" si="33"/>
        <v>1.2E-2</v>
      </c>
      <c r="K64" s="656">
        <f t="shared" si="33"/>
        <v>4.0000000000000001E-3</v>
      </c>
      <c r="L64" s="656">
        <f t="shared" si="33"/>
        <v>4.8000000000000001E-2</v>
      </c>
      <c r="M64" s="656">
        <f t="shared" si="33"/>
        <v>9.5000000000000001E-2</v>
      </c>
      <c r="N64" s="656">
        <f t="shared" si="33"/>
        <v>1.4E-2</v>
      </c>
      <c r="O64" s="656">
        <f t="shared" si="33"/>
        <v>1.4E-2</v>
      </c>
      <c r="P64" s="656">
        <f t="shared" ref="P64:Y66" si="34">N182/1000</f>
        <v>1.7000000000000001E-2</v>
      </c>
      <c r="Q64" s="656">
        <f t="shared" si="34"/>
        <v>3.1E-2</v>
      </c>
      <c r="R64" s="656">
        <f t="shared" si="34"/>
        <v>4.3999999999999997E-2</v>
      </c>
      <c r="S64" s="656">
        <f t="shared" si="34"/>
        <v>0.16400000000000001</v>
      </c>
      <c r="T64" s="656">
        <f t="shared" si="34"/>
        <v>2.8000000000000001E-2</v>
      </c>
      <c r="U64" s="656">
        <f t="shared" si="34"/>
        <v>0.125</v>
      </c>
      <c r="V64" s="656">
        <f t="shared" si="34"/>
        <v>1.2E-2</v>
      </c>
      <c r="W64" s="656">
        <f t="shared" si="34"/>
        <v>4.3999999999999997E-2</v>
      </c>
      <c r="X64" s="656">
        <f t="shared" si="34"/>
        <v>0.115</v>
      </c>
      <c r="Y64" s="656">
        <f t="shared" si="34"/>
        <v>0</v>
      </c>
      <c r="Z64" s="656">
        <f t="shared" ref="Z64:AE66" si="35">X182/1000</f>
        <v>0.02</v>
      </c>
      <c r="AA64" s="656">
        <f t="shared" si="35"/>
        <v>3.0000000000000001E-3</v>
      </c>
      <c r="AB64" s="656">
        <f t="shared" si="35"/>
        <v>1.2E-2</v>
      </c>
      <c r="AC64" s="656">
        <f t="shared" si="35"/>
        <v>7.0000000000000001E-3</v>
      </c>
      <c r="AD64" s="656">
        <f t="shared" si="35"/>
        <v>1.7000000000000001E-2</v>
      </c>
      <c r="AE64" s="656">
        <f t="shared" si="35"/>
        <v>4.0000000000000001E-3</v>
      </c>
      <c r="AF64" s="451"/>
      <c r="AG64" s="101" t="str">
        <f t="shared" si="3"/>
        <v>T-TAX-ICE_GSL00</v>
      </c>
      <c r="AH64" s="656">
        <f>E64*AF!D16*ACT2FLO!D62/1000</f>
        <v>0.132815135733613</v>
      </c>
      <c r="AI64" s="656">
        <f>F64*AF!E16*ACT2FLO!E62/1000</f>
        <v>3.3237540694107306E-4</v>
      </c>
      <c r="AJ64" s="656">
        <f>G64*AF!F16*ACT2FLO!F62/1000</f>
        <v>8.3617468703171244E-2</v>
      </c>
      <c r="AK64" s="656">
        <f>H64*AF!G16*ACT2FLO!G62/1000</f>
        <v>4.3649617706759914E-3</v>
      </c>
      <c r="AL64" s="656">
        <f>I64*AF!H16*ACT2FLO!H62/1000</f>
        <v>6.1736452791703194E-4</v>
      </c>
      <c r="AM64" s="656">
        <f>J64*AF!I16*ACT2FLO!I62/1000</f>
        <v>5.7978970972605477E-4</v>
      </c>
      <c r="AN64" s="656">
        <f>K64*AF!J16*ACT2FLO!J62/1000</f>
        <v>2.4642659115686755E-4</v>
      </c>
      <c r="AO64" s="656">
        <f>L64*AF!K16*ACT2FLO!K62/1000</f>
        <v>2.5945961021110134E-3</v>
      </c>
      <c r="AP64" s="656">
        <f>M64*AF!L16*ACT2FLO!L62/1000</f>
        <v>5.9026661463937435E-3</v>
      </c>
      <c r="AQ64" s="656">
        <f>N64*AF!M16*ACT2FLO!M62/1000</f>
        <v>5.6496209921215966E-4</v>
      </c>
      <c r="AR64" s="656">
        <f>O64*AF!N16*ACT2FLO!N62/1000</f>
        <v>9.3213419888869852E-4</v>
      </c>
      <c r="AS64" s="656">
        <f>P64*AF!O16*ACT2FLO!O62/1000</f>
        <v>8.2986576106776713E-4</v>
      </c>
      <c r="AT64" s="656">
        <f>Q64*AF!P16*ACT2FLO!P62/1000</f>
        <v>1.4344243540843401E-3</v>
      </c>
      <c r="AU64" s="656">
        <f>R64*AF!Q16*ACT2FLO!Q62/1000</f>
        <v>2.4722571252849585E-3</v>
      </c>
      <c r="AV64" s="656">
        <f>S64*AF!R16*ACT2FLO!R62/1000</f>
        <v>8.3549362853188591E-3</v>
      </c>
      <c r="AW64" s="656">
        <f>T64*AF!S16*ACT2FLO!S62/1000</f>
        <v>1.2959850809154151E-3</v>
      </c>
      <c r="AX64" s="656">
        <f>U64*AF!T16*ACT2FLO!T62/1000</f>
        <v>6.9264769933027968E-3</v>
      </c>
      <c r="AY64" s="656">
        <f>V64*AF!U16*ACT2FLO!U62/1000</f>
        <v>6.0336945983287672E-4</v>
      </c>
      <c r="AZ64" s="656">
        <f>W64*AF!V16*ACT2FLO!V62/1000</f>
        <v>1.9632842504785568E-3</v>
      </c>
      <c r="BA64" s="656">
        <f>X64*AF!W16*ACT2FLO!W62/1000</f>
        <v>6.2833081260984004E-3</v>
      </c>
      <c r="BB64" s="656">
        <f>Y64*AF!X16*ACT2FLO!X62/1000</f>
        <v>0</v>
      </c>
      <c r="BC64" s="656">
        <f>Z64*AF!Y16*ACT2FLO!Y62/1000</f>
        <v>9.6956876799652951E-4</v>
      </c>
      <c r="BD64" s="656">
        <f>AA64*AF!Z16*ACT2FLO!Z62/1000</f>
        <v>1.0939428485397259E-4</v>
      </c>
      <c r="BE64" s="656">
        <f>AB64*AF!AA16*ACT2FLO!AA62/1000</f>
        <v>4.9048386801547937E-4</v>
      </c>
      <c r="BF64" s="656">
        <f>AC64*AF!AB16*ACT2FLO!AB62/1000</f>
        <v>3.7466050550962778E-4</v>
      </c>
      <c r="BG64" s="656">
        <f>AD64*AF!AC16*ACT2FLO!AC62/1000</f>
        <v>8.8252183173152029E-4</v>
      </c>
      <c r="BH64" s="656">
        <f>AE64*AF!AD16*ACT2FLO!AD62/1000</f>
        <v>8.3105041821689501E-5</v>
      </c>
      <c r="BK64" s="714"/>
      <c r="BL64" s="714"/>
      <c r="BM64" s="714"/>
      <c r="BN64" s="714"/>
      <c r="BO64" s="714"/>
      <c r="BP64" s="714"/>
      <c r="BQ64" s="714"/>
      <c r="BR64" s="714"/>
      <c r="BS64" s="714"/>
      <c r="BT64" s="714"/>
      <c r="BU64" s="714"/>
      <c r="BV64" s="714"/>
      <c r="BW64" s="714"/>
      <c r="BX64" s="714"/>
      <c r="BY64" s="714"/>
      <c r="BZ64" s="714"/>
      <c r="CA64" s="714"/>
      <c r="CB64" s="714"/>
      <c r="CC64" s="714"/>
      <c r="CD64" s="714"/>
      <c r="CE64" s="714"/>
      <c r="CF64" s="714"/>
      <c r="CG64" s="714"/>
      <c r="CH64" s="714"/>
      <c r="CI64" s="714"/>
      <c r="CJ64" s="714"/>
      <c r="CK64" s="714"/>
      <c r="CL64" s="714"/>
      <c r="CM64" s="714"/>
    </row>
    <row r="65" spans="1:92" ht="15.6">
      <c r="A65" s="448" t="str">
        <f>Commodities!K24</f>
        <v>T-TAX-ICE_DST00</v>
      </c>
      <c r="B65" s="28" t="s">
        <v>869</v>
      </c>
      <c r="C65" s="714" t="str">
        <f>Commodities!B19</f>
        <v>TRADSB</v>
      </c>
      <c r="D65" s="459" t="str">
        <f>Commodities!B22&amp;","&amp;Commodities!B23&amp;","&amp;Commodities!B24</f>
        <v>TRAPS,TRAPM,TRAPL</v>
      </c>
      <c r="E65" s="9">
        <f t="shared" si="30"/>
        <v>17.463000000000001</v>
      </c>
      <c r="F65" s="656">
        <f t="shared" si="33"/>
        <v>0.14699999999999999</v>
      </c>
      <c r="G65" s="656">
        <f t="shared" si="33"/>
        <v>8.5139999999999993</v>
      </c>
      <c r="H65" s="656">
        <f t="shared" si="33"/>
        <v>0.71499999999999997</v>
      </c>
      <c r="I65" s="656">
        <f t="shared" si="33"/>
        <v>0.20399999999999999</v>
      </c>
      <c r="J65" s="656">
        <f t="shared" si="33"/>
        <v>0.2</v>
      </c>
      <c r="K65" s="656">
        <f t="shared" si="33"/>
        <v>8.3000000000000004E-2</v>
      </c>
      <c r="L65" s="656">
        <f t="shared" si="33"/>
        <v>0.50800000000000001</v>
      </c>
      <c r="M65" s="656">
        <f t="shared" si="33"/>
        <v>0.83199999999999996</v>
      </c>
      <c r="N65" s="656">
        <f t="shared" si="33"/>
        <v>0.15</v>
      </c>
      <c r="O65" s="656">
        <f t="shared" si="33"/>
        <v>0.25900000000000001</v>
      </c>
      <c r="P65" s="656">
        <f t="shared" si="34"/>
        <v>0.25</v>
      </c>
      <c r="Q65" s="656">
        <f t="shared" si="34"/>
        <v>0.315</v>
      </c>
      <c r="R65" s="656">
        <f t="shared" si="34"/>
        <v>0.30099999999999999</v>
      </c>
      <c r="S65" s="656">
        <f t="shared" si="34"/>
        <v>1.538</v>
      </c>
      <c r="T65" s="656">
        <f t="shared" si="34"/>
        <v>0.436</v>
      </c>
      <c r="U65" s="656">
        <f t="shared" si="34"/>
        <v>0.48699999999999999</v>
      </c>
      <c r="V65" s="656">
        <f t="shared" si="34"/>
        <v>0.24099999999999999</v>
      </c>
      <c r="W65" s="656">
        <f t="shared" si="34"/>
        <v>0.26200000000000001</v>
      </c>
      <c r="X65" s="656">
        <f t="shared" si="34"/>
        <v>0.82199999999999995</v>
      </c>
      <c r="Y65" s="656">
        <f t="shared" si="34"/>
        <v>6.5000000000000002E-2</v>
      </c>
      <c r="Z65" s="656">
        <f t="shared" si="35"/>
        <v>0.27</v>
      </c>
      <c r="AA65" s="656">
        <f t="shared" si="35"/>
        <v>0.129</v>
      </c>
      <c r="AB65" s="656">
        <f t="shared" si="35"/>
        <v>0.155</v>
      </c>
      <c r="AC65" s="656">
        <f t="shared" si="35"/>
        <v>0.157</v>
      </c>
      <c r="AD65" s="656">
        <f t="shared" si="35"/>
        <v>0.34799999999999998</v>
      </c>
      <c r="AE65" s="656">
        <f t="shared" si="35"/>
        <v>7.4999999999999997E-2</v>
      </c>
      <c r="AF65" s="451"/>
      <c r="AG65" s="101" t="str">
        <f t="shared" si="3"/>
        <v>T-TAX-ICE_DST00</v>
      </c>
      <c r="AH65" s="656">
        <f>E65*AF!D17*ACT2FLO!D63/1000</f>
        <v>1.0402457641362053</v>
      </c>
      <c r="AI65" s="656">
        <f>F65*AF!E17*ACT2FLO!E63/1000</f>
        <v>8.0437698221748274E-3</v>
      </c>
      <c r="AJ65" s="656">
        <f>G65*AF!F17*ACT2FLO!F63/1000</f>
        <v>0.49445103116594963</v>
      </c>
      <c r="AK65" s="656">
        <f>H65*AF!G17*ACT2FLO!G63/1000</f>
        <v>4.5102739949248384E-2</v>
      </c>
      <c r="AL65" s="656">
        <f>I65*AF!H17*ACT2FLO!H63/1000</f>
        <v>1.2695591696276407E-2</v>
      </c>
      <c r="AM65" s="656">
        <f>J65*AF!I17*ACT2FLO!I63/1000</f>
        <v>1.2450836158025114E-2</v>
      </c>
      <c r="AN65" s="656">
        <f>K65*AF!J17*ACT2FLO!J63/1000</f>
        <v>5.6404018529220244E-3</v>
      </c>
      <c r="AO65" s="656">
        <f>L65*AF!K17*ACT2FLO!K63/1000</f>
        <v>3.2373970392738781E-2</v>
      </c>
      <c r="AP65" s="656">
        <f>M65*AF!L17*ACT2FLO!L63/1000</f>
        <v>5.3831298300056986E-2</v>
      </c>
      <c r="AQ65" s="656">
        <f>N65*AF!M17*ACT2FLO!M63/1000</f>
        <v>8.661798295219519E-3</v>
      </c>
      <c r="AR65" s="656">
        <f>O65*AF!N17*ACT2FLO!N63/1000</f>
        <v>1.6194549694790145E-2</v>
      </c>
      <c r="AS65" s="656">
        <f>P65*AF!O17*ACT2FLO!O63/1000</f>
        <v>1.449638395582648E-2</v>
      </c>
      <c r="AT65" s="656">
        <f>Q65*AF!P17*ACT2FLO!P63/1000</f>
        <v>1.8335001361535753E-2</v>
      </c>
      <c r="AU65" s="656">
        <f>R65*AF!Q17*ACT2FLO!Q63/1000</f>
        <v>1.7965615116759329E-2</v>
      </c>
      <c r="AV65" s="656">
        <f>S65*AF!R17*ACT2FLO!R63/1000</f>
        <v>9.2628414106859971E-2</v>
      </c>
      <c r="AW65" s="656">
        <f>T65*AF!S17*ACT2FLO!S63/1000</f>
        <v>2.5511326128417264E-2</v>
      </c>
      <c r="AX65" s="656">
        <f>U65*AF!T17*ACT2FLO!T63/1000</f>
        <v>2.9254756182992957E-2</v>
      </c>
      <c r="AY65" s="656">
        <f>V65*AF!U17*ACT2FLO!U63/1000</f>
        <v>1.4494459260962029E-2</v>
      </c>
      <c r="AZ65" s="656">
        <f>W65*AF!V17*ACT2FLO!V63/1000</f>
        <v>1.5522526816745721E-2</v>
      </c>
      <c r="BA65" s="656">
        <f>X65*AF!W17*ACT2FLO!W63/1000</f>
        <v>4.9907257266619529E-2</v>
      </c>
      <c r="BB65" s="656">
        <f>Y65*AF!X17*ACT2FLO!X63/1000</f>
        <v>4.1674567453412322E-3</v>
      </c>
      <c r="BC65" s="656">
        <f>Z65*AF!Y17*ACT2FLO!Y63/1000</f>
        <v>1.545668733226623E-2</v>
      </c>
      <c r="BD65" s="656">
        <f>AA65*AF!Z17*ACT2FLO!Z63/1000</f>
        <v>7.5392222535451432E-3</v>
      </c>
      <c r="BE65" s="656">
        <f>AB65*AF!AA17*ACT2FLO!AA63/1000</f>
        <v>9.3334944227404428E-3</v>
      </c>
      <c r="BF65" s="656">
        <f>AC65*AF!AB17*ACT2FLO!AB63/1000</f>
        <v>1.0315014203034848E-2</v>
      </c>
      <c r="BG65" s="656">
        <f>AD65*AF!AC17*ACT2FLO!AC63/1000</f>
        <v>2.1112004824381993E-2</v>
      </c>
      <c r="BH65" s="656">
        <f>AE65*AF!AD17*ACT2FLO!AD63/1000</f>
        <v>4.7557867290239711E-3</v>
      </c>
      <c r="BK65" s="714" t="s">
        <v>1096</v>
      </c>
      <c r="BL65" s="401"/>
      <c r="BM65" s="40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714"/>
    </row>
    <row r="66" spans="1:92">
      <c r="A66" s="448" t="str">
        <f>Commodities!K25</f>
        <v>T-TAX-HEV_GSL00</v>
      </c>
      <c r="B66" s="28" t="s">
        <v>869</v>
      </c>
      <c r="C66" s="714" t="str">
        <f>Commodities!B18</f>
        <v>TRAGSE</v>
      </c>
      <c r="D66" s="459" t="str">
        <f>Commodities!B22&amp;","&amp;Commodities!B23&amp;","&amp;Commodities!B24</f>
        <v>TRAPS,TRAPM,TRAPL</v>
      </c>
      <c r="E66" s="9">
        <f t="shared" si="30"/>
        <v>1.3499999999999988</v>
      </c>
      <c r="F66" s="656">
        <f t="shared" si="33"/>
        <v>4.0000000000000001E-3</v>
      </c>
      <c r="G66" s="656">
        <f t="shared" si="33"/>
        <v>1.0549999999999999</v>
      </c>
      <c r="H66" s="656">
        <f t="shared" si="33"/>
        <v>3.6999999999999998E-2</v>
      </c>
      <c r="I66" s="656">
        <f t="shared" si="33"/>
        <v>1E-3</v>
      </c>
      <c r="J66" s="656">
        <f t="shared" si="33"/>
        <v>1.6E-2</v>
      </c>
      <c r="K66" s="656">
        <f t="shared" si="33"/>
        <v>0</v>
      </c>
      <c r="L66" s="656">
        <f t="shared" si="33"/>
        <v>2.5000000000000001E-2</v>
      </c>
      <c r="M66" s="656">
        <f t="shared" si="33"/>
        <v>5.0999999999999997E-2</v>
      </c>
      <c r="N66" s="656">
        <f t="shared" si="33"/>
        <v>3.0000000000000001E-3</v>
      </c>
      <c r="O66" s="656">
        <f t="shared" si="33"/>
        <v>6.0000000000000001E-3</v>
      </c>
      <c r="P66" s="656">
        <f t="shared" si="34"/>
        <v>3.0000000000000001E-3</v>
      </c>
      <c r="Q66" s="656">
        <f t="shared" si="34"/>
        <v>1.2999999999999999E-2</v>
      </c>
      <c r="R66" s="656">
        <f t="shared" si="34"/>
        <v>7.0000000000000001E-3</v>
      </c>
      <c r="S66" s="656">
        <f t="shared" si="34"/>
        <v>4.9000000000000002E-2</v>
      </c>
      <c r="T66" s="656">
        <f t="shared" si="34"/>
        <v>4.0000000000000001E-3</v>
      </c>
      <c r="U66" s="656">
        <f t="shared" si="34"/>
        <v>4.2000000000000003E-2</v>
      </c>
      <c r="V66" s="656">
        <f t="shared" si="34"/>
        <v>3.0000000000000001E-3</v>
      </c>
      <c r="W66" s="656">
        <f t="shared" si="34"/>
        <v>1E-3</v>
      </c>
      <c r="X66" s="656">
        <f t="shared" si="34"/>
        <v>2.4E-2</v>
      </c>
      <c r="Y66" s="656">
        <f t="shared" si="34"/>
        <v>0</v>
      </c>
      <c r="Z66" s="656">
        <f t="shared" si="35"/>
        <v>2E-3</v>
      </c>
      <c r="AA66" s="656">
        <f t="shared" si="35"/>
        <v>0</v>
      </c>
      <c r="AB66" s="656">
        <f t="shared" si="35"/>
        <v>2E-3</v>
      </c>
      <c r="AC66" s="656">
        <f t="shared" si="35"/>
        <v>1E-3</v>
      </c>
      <c r="AD66" s="656">
        <f t="shared" si="35"/>
        <v>1E-3</v>
      </c>
      <c r="AE66" s="656">
        <f t="shared" si="35"/>
        <v>0</v>
      </c>
      <c r="AF66" s="451"/>
      <c r="AG66" s="101" t="str">
        <f t="shared" si="3"/>
        <v>T-TAX-HEV_GSL00</v>
      </c>
      <c r="AH66" s="656">
        <f>E66*AF!D18*ACT2FLO!D64/1000</f>
        <v>8.300783727097695E-2</v>
      </c>
      <c r="AI66" s="656">
        <f>F66*AF!E18*ACT2FLO!E64/1000</f>
        <v>2.757714737879086E-4</v>
      </c>
      <c r="AJ66" s="656">
        <f>G66*AF!F18*ACT2FLO!F64/1000</f>
        <v>6.3488626363770298E-2</v>
      </c>
      <c r="AK66" s="656">
        <f>H66*AF!G18*ACT2FLO!G64/1000</f>
        <v>2.5930071098391977E-3</v>
      </c>
      <c r="AL66" s="656">
        <f>I66*AF!H18*ACT2FLO!H64/1000</f>
        <v>6.3337381155700908E-5</v>
      </c>
      <c r="AM66" s="656">
        <f>J66*AF!I18*ACT2FLO!I64/1000</f>
        <v>9.6935391833724192E-4</v>
      </c>
      <c r="AN66" s="656">
        <f>K66*AF!J18*ACT2FLO!J64/1000</f>
        <v>0</v>
      </c>
      <c r="AO66" s="656">
        <f>L66*AF!K18*ACT2FLO!K64/1000</f>
        <v>1.5758252701260844E-3</v>
      </c>
      <c r="AP66" s="656">
        <f>M66*AF!L18*ACT2FLO!L64/1000</f>
        <v>3.5990272113500129E-3</v>
      </c>
      <c r="AQ66" s="656">
        <f>N66*AF!M18*ACT2FLO!M64/1000</f>
        <v>1.7797161047785614E-4</v>
      </c>
      <c r="AR66" s="656">
        <f>O66*AF!N18*ACT2FLO!N64/1000</f>
        <v>4.403522808483561E-4</v>
      </c>
      <c r="AS66" s="656">
        <f>P66*AF!O18*ACT2FLO!O64/1000</f>
        <v>1.8358455782674653E-4</v>
      </c>
      <c r="AT66" s="656">
        <f>Q66*AF!P18*ACT2FLO!P64/1000</f>
        <v>7.7574901112316191E-4</v>
      </c>
      <c r="AU66" s="656">
        <f>R66*AF!Q18*ACT2FLO!Q64/1000</f>
        <v>3.905772844351894E-4</v>
      </c>
      <c r="AV66" s="656">
        <f>S66*AF!R18*ACT2FLO!R64/1000</f>
        <v>3.3137919084727874E-3</v>
      </c>
      <c r="AW66" s="656">
        <f>T66*AF!S18*ACT2FLO!S64/1000</f>
        <v>2.1424091858635616E-4</v>
      </c>
      <c r="AX66" s="656">
        <f>U66*AF!T18*ACT2FLO!T64/1000</f>
        <v>2.8440902689588219E-3</v>
      </c>
      <c r="AY66" s="656">
        <f>V66*AF!U18*ACT2FLO!U64/1000</f>
        <v>1.7015645412126712E-4</v>
      </c>
      <c r="AZ66" s="656">
        <f>W66*AF!V18*ACT2FLO!V64/1000</f>
        <v>8.979522149006391E-5</v>
      </c>
      <c r="BA66" s="656">
        <f>X66*AF!W18*ACT2FLO!W64/1000</f>
        <v>1.454532193377534E-3</v>
      </c>
      <c r="BB66" s="656">
        <f>Y66*AF!X18*ACT2FLO!X64/1000</f>
        <v>0</v>
      </c>
      <c r="BC66" s="656">
        <f>Z66*AF!Y18*ACT2FLO!Y64/1000</f>
        <v>1.6365277589324657E-4</v>
      </c>
      <c r="BD66" s="656">
        <f>AA66*AF!Z18*ACT2FLO!Z64/1000</f>
        <v>0</v>
      </c>
      <c r="BE66" s="656">
        <f>AB66*AF!AA18*ACT2FLO!AA64/1000</f>
        <v>7.6865449633210022E-5</v>
      </c>
      <c r="BF66" s="656">
        <f>AC66*AF!AB18*ACT2FLO!AB64/1000</f>
        <v>6.39670100183356E-5</v>
      </c>
      <c r="BG66" s="656">
        <f>AD66*AF!AC18*ACT2FLO!AC64/1000</f>
        <v>8.8034647893123284E-5</v>
      </c>
      <c r="BH66" s="656">
        <f>AE66*AF!AD18*ACT2FLO!AD64/1000</f>
        <v>0</v>
      </c>
      <c r="BK66" s="716" t="str">
        <f>BK58</f>
        <v>Technology</v>
      </c>
      <c r="BL66" s="789" t="str">
        <f t="shared" ref="BL66:CL66" si="36">BL58</f>
        <v>IE</v>
      </c>
      <c r="BM66" s="789" t="str">
        <f t="shared" si="36"/>
        <v>IE-CW</v>
      </c>
      <c r="BN66" s="789" t="str">
        <f t="shared" si="36"/>
        <v>IE-D</v>
      </c>
      <c r="BO66" s="789" t="str">
        <f t="shared" si="36"/>
        <v>IE-KE</v>
      </c>
      <c r="BP66" s="789" t="str">
        <f t="shared" si="36"/>
        <v>IE-KK</v>
      </c>
      <c r="BQ66" s="789" t="str">
        <f t="shared" si="36"/>
        <v>IE-LS</v>
      </c>
      <c r="BR66" s="789" t="str">
        <f t="shared" si="36"/>
        <v>IE-LD</v>
      </c>
      <c r="BS66" s="789" t="str">
        <f t="shared" si="36"/>
        <v>IE-LH</v>
      </c>
      <c r="BT66" s="789" t="str">
        <f t="shared" si="36"/>
        <v>IE-MH</v>
      </c>
      <c r="BU66" s="789" t="str">
        <f t="shared" si="36"/>
        <v>IE-OY</v>
      </c>
      <c r="BV66" s="789" t="str">
        <f t="shared" si="36"/>
        <v>IE-WH</v>
      </c>
      <c r="BW66" s="789" t="str">
        <f t="shared" si="36"/>
        <v>IE-WX</v>
      </c>
      <c r="BX66" s="789" t="str">
        <f t="shared" si="36"/>
        <v>IE-WW</v>
      </c>
      <c r="BY66" s="789" t="str">
        <f t="shared" si="36"/>
        <v>IE-CE</v>
      </c>
      <c r="BZ66" s="789" t="str">
        <f t="shared" si="36"/>
        <v>IE-CO</v>
      </c>
      <c r="CA66" s="789" t="str">
        <f t="shared" si="36"/>
        <v>IE-KY</v>
      </c>
      <c r="CB66" s="789" t="str">
        <f t="shared" si="36"/>
        <v>IE-LK</v>
      </c>
      <c r="CC66" s="789" t="str">
        <f t="shared" si="36"/>
        <v>IE-TA</v>
      </c>
      <c r="CD66" s="789" t="str">
        <f t="shared" si="36"/>
        <v>IE-WD</v>
      </c>
      <c r="CE66" s="789" t="str">
        <f t="shared" si="36"/>
        <v>IE-G</v>
      </c>
      <c r="CF66" s="789" t="str">
        <f t="shared" si="36"/>
        <v>IE-LM</v>
      </c>
      <c r="CG66" s="789" t="str">
        <f t="shared" si="36"/>
        <v>IE-MO</v>
      </c>
      <c r="CH66" s="789" t="str">
        <f t="shared" si="36"/>
        <v>IE-RN</v>
      </c>
      <c r="CI66" s="789" t="str">
        <f t="shared" si="36"/>
        <v>IE-SO</v>
      </c>
      <c r="CJ66" s="789" t="str">
        <f t="shared" si="36"/>
        <v>IE-CN</v>
      </c>
      <c r="CK66" s="789" t="str">
        <f t="shared" si="36"/>
        <v>IE-DL</v>
      </c>
      <c r="CL66" s="789" t="str">
        <f t="shared" si="36"/>
        <v>IE-MN</v>
      </c>
      <c r="CM66" s="714"/>
    </row>
    <row r="67" spans="1:92" ht="15.6">
      <c r="A67" s="455" t="s">
        <v>593</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*Large sevice vehicle</v>
      </c>
      <c r="AH67" s="774"/>
      <c r="AI67" s="774"/>
      <c r="AJ67" s="774"/>
      <c r="AK67" s="774"/>
      <c r="AL67" s="774"/>
      <c r="AM67" s="774"/>
      <c r="AN67" s="774"/>
      <c r="AO67" s="774"/>
      <c r="AP67" s="774"/>
      <c r="AQ67" s="774"/>
      <c r="AR67" s="774"/>
      <c r="AS67" s="774"/>
      <c r="AT67" s="774"/>
      <c r="AU67" s="774"/>
      <c r="AV67" s="774"/>
      <c r="AW67" s="774"/>
      <c r="AX67" s="774"/>
      <c r="AY67" s="774"/>
      <c r="AZ67" s="774"/>
      <c r="BA67" s="774"/>
      <c r="BB67" s="774"/>
      <c r="BC67" s="774"/>
      <c r="BD67" s="774"/>
      <c r="BE67" s="774"/>
      <c r="BF67" s="774"/>
      <c r="BG67" s="774"/>
      <c r="BH67" s="774"/>
      <c r="BK67" s="785" t="s">
        <v>1107</v>
      </c>
      <c r="BL67" s="790">
        <f>BL52+BL53-BL75</f>
        <v>-1.8535405479955838</v>
      </c>
      <c r="BM67" s="790">
        <f t="shared" ref="BM67:CL67" si="37">BM52+BM53-BM75</f>
        <v>-3.6430522568976997E-2</v>
      </c>
      <c r="BN67" s="790">
        <f t="shared" si="37"/>
        <v>-0.40541385018939646</v>
      </c>
      <c r="BO67" s="790">
        <f t="shared" si="37"/>
        <v>-6.7645829219715459E-2</v>
      </c>
      <c r="BP67" s="790">
        <f t="shared" si="37"/>
        <v>-4.1658130703485174E-2</v>
      </c>
      <c r="BQ67" s="790">
        <f t="shared" si="37"/>
        <v>-4.3177969788747217E-2</v>
      </c>
      <c r="BR67" s="790">
        <f t="shared" si="37"/>
        <v>-1.8456590853019456E-2</v>
      </c>
      <c r="BS67" s="790">
        <f t="shared" si="37"/>
        <v>-3.5151245192593439E-2</v>
      </c>
      <c r="BT67" s="790">
        <f t="shared" si="37"/>
        <v>-6.3454853597297578E-2</v>
      </c>
      <c r="BU67" s="790">
        <f t="shared" si="37"/>
        <v>-3.6806633320541293E-2</v>
      </c>
      <c r="BV67" s="790">
        <f t="shared" si="37"/>
        <v>-3.794288726239517E-2</v>
      </c>
      <c r="BW67" s="790">
        <f t="shared" si="37"/>
        <v>-5.3213022303003954E-2</v>
      </c>
      <c r="BX67" s="790">
        <f t="shared" si="37"/>
        <v>-6.0571346362120804E-2</v>
      </c>
      <c r="BY67" s="790">
        <f t="shared" si="37"/>
        <v>-5.8919203447657748E-2</v>
      </c>
      <c r="BZ67" s="790">
        <f t="shared" si="37"/>
        <v>-0.25233133588406087</v>
      </c>
      <c r="CA67" s="790">
        <f t="shared" si="37"/>
        <v>-7.3297712121763114E-2</v>
      </c>
      <c r="CB67" s="790">
        <f t="shared" si="37"/>
        <v>-8.4698170546721796E-2</v>
      </c>
      <c r="CC67" s="790">
        <f t="shared" si="37"/>
        <v>-7.9678295658798026E-2</v>
      </c>
      <c r="CD67" s="790">
        <f t="shared" si="37"/>
        <v>-7.8697927416954638E-2</v>
      </c>
      <c r="CE67" s="790">
        <f t="shared" si="37"/>
        <v>-0.10225823697440162</v>
      </c>
      <c r="CF67" s="790">
        <f t="shared" si="37"/>
        <v>-9.0966783410686702E-3</v>
      </c>
      <c r="CG67" s="790">
        <f t="shared" si="37"/>
        <v>-8.2702443852930518E-2</v>
      </c>
      <c r="CH67" s="790">
        <f t="shared" si="37"/>
        <v>-1.9951765234900443E-2</v>
      </c>
      <c r="CI67" s="790">
        <f t="shared" si="37"/>
        <v>-2.2395013260421121E-2</v>
      </c>
      <c r="CJ67" s="790">
        <f t="shared" si="37"/>
        <v>-2.3263373246383556E-2</v>
      </c>
      <c r="CK67" s="790">
        <f t="shared" si="37"/>
        <v>-5.8990772540706782E-2</v>
      </c>
      <c r="CL67" s="790">
        <f t="shared" si="37"/>
        <v>-2.3324928016245083E-2</v>
      </c>
      <c r="CM67" s="714"/>
      <c r="CN67" s="714"/>
    </row>
    <row r="68" spans="1:92">
      <c r="A68" s="448" t="str">
        <f>Commodities!K27</f>
        <v>T-BUS-ICE_DST00</v>
      </c>
      <c r="B68" s="28" t="s">
        <v>869</v>
      </c>
      <c r="C68" s="714" t="str">
        <f>Commodities!B19</f>
        <v>TRADSB</v>
      </c>
      <c r="D68" s="459" t="str">
        <f>Commodities!B22&amp;","&amp;Commodities!B23&amp;","&amp;Commodities!B24</f>
        <v>TRAPS,TRAPM,TRAPL</v>
      </c>
      <c r="E68" s="9">
        <f>SUM(F68:AE68)</f>
        <v>10.695000000000004</v>
      </c>
      <c r="F68" s="656">
        <f t="shared" ref="F68:AE68" si="38">D185/1000</f>
        <v>0.14899999999999999</v>
      </c>
      <c r="G68" s="656">
        <f t="shared" si="38"/>
        <v>3.0659999999999998</v>
      </c>
      <c r="H68" s="656">
        <f t="shared" si="38"/>
        <v>0.501</v>
      </c>
      <c r="I68" s="656">
        <f t="shared" si="38"/>
        <v>0.29499999999999998</v>
      </c>
      <c r="J68" s="656">
        <f t="shared" si="38"/>
        <v>0.19800000000000001</v>
      </c>
      <c r="K68" s="656">
        <f t="shared" si="38"/>
        <v>0.105</v>
      </c>
      <c r="L68" s="656">
        <f t="shared" si="38"/>
        <v>0.23</v>
      </c>
      <c r="M68" s="656">
        <f t="shared" si="38"/>
        <v>0.376</v>
      </c>
      <c r="N68" s="656">
        <f t="shared" si="38"/>
        <v>0.21099999999999999</v>
      </c>
      <c r="O68" s="656">
        <f t="shared" si="38"/>
        <v>0.16</v>
      </c>
      <c r="P68" s="656">
        <f t="shared" si="38"/>
        <v>0.28899999999999998</v>
      </c>
      <c r="Q68" s="656">
        <f t="shared" si="38"/>
        <v>0.251</v>
      </c>
      <c r="R68" s="656">
        <f t="shared" si="38"/>
        <v>0.23799999999999999</v>
      </c>
      <c r="S68" s="656">
        <f t="shared" si="38"/>
        <v>0.89700000000000002</v>
      </c>
      <c r="T68" s="656">
        <f t="shared" si="38"/>
        <v>0.52400000000000002</v>
      </c>
      <c r="U68" s="656">
        <f t="shared" si="38"/>
        <v>0.314</v>
      </c>
      <c r="V68" s="656">
        <f t="shared" si="38"/>
        <v>0.39100000000000001</v>
      </c>
      <c r="W68" s="656">
        <f t="shared" si="38"/>
        <v>0.17899999999999999</v>
      </c>
      <c r="X68" s="656">
        <f t="shared" si="38"/>
        <v>0.59599999999999997</v>
      </c>
      <c r="Y68" s="656">
        <f t="shared" si="38"/>
        <v>9.9000000000000005E-2</v>
      </c>
      <c r="Z68" s="656">
        <f t="shared" si="38"/>
        <v>0.34100000000000003</v>
      </c>
      <c r="AA68" s="656">
        <f t="shared" si="38"/>
        <v>0.126</v>
      </c>
      <c r="AB68" s="656">
        <f t="shared" si="38"/>
        <v>0.11899999999999999</v>
      </c>
      <c r="AC68" s="656">
        <f t="shared" si="38"/>
        <v>0.19400000000000001</v>
      </c>
      <c r="AD68" s="656">
        <f t="shared" si="38"/>
        <v>0.625</v>
      </c>
      <c r="AE68" s="656">
        <f t="shared" si="38"/>
        <v>0.221</v>
      </c>
      <c r="AF68" s="451"/>
      <c r="AG68" s="101" t="str">
        <f t="shared" si="3"/>
        <v>T-BUS-ICE_DST00</v>
      </c>
      <c r="AH68" s="656">
        <f>E68*AF!D19*ACT2FLO!D65/1000</f>
        <v>10.519481681250003</v>
      </c>
      <c r="AI68" s="656">
        <f>F68*AF!E19*ACT2FLO!E65/1000</f>
        <v>0.11808831099999999</v>
      </c>
      <c r="AJ68" s="656">
        <f>G68*AF!F19*ACT2FLO!F65/1000</f>
        <v>3.5358560684999998</v>
      </c>
      <c r="AK68" s="656">
        <f>H68*AF!G19*ACT2FLO!G65/1000</f>
        <v>0.45269495775000002</v>
      </c>
      <c r="AL68" s="656">
        <f>I68*AF!H19*ACT2FLO!H65/1000</f>
        <v>0.29241756999999996</v>
      </c>
      <c r="AM68" s="656">
        <f>J68*AF!I19*ACT2FLO!I65/1000</f>
        <v>0.1493744175</v>
      </c>
      <c r="AN68" s="656">
        <f>K68*AF!J19*ACT2FLO!J65/1000</f>
        <v>8.4421181249999991E-2</v>
      </c>
      <c r="AO68" s="656">
        <f>L68*AF!K19*ACT2FLO!K65/1000</f>
        <v>0.22892670500000004</v>
      </c>
      <c r="AP68" s="656">
        <f>M68*AF!L19*ACT2FLO!L65/1000</f>
        <v>0.30109920200000001</v>
      </c>
      <c r="AQ68" s="656">
        <f>N68*AF!M19*ACT2FLO!M65/1000</f>
        <v>0.18289379775</v>
      </c>
      <c r="AR68" s="656">
        <f>O68*AF!N19*ACT2FLO!N65/1000</f>
        <v>0.14101548000000003</v>
      </c>
      <c r="AS68" s="656">
        <f>P68*AF!O19*ACT2FLO!O65/1000</f>
        <v>0.26711272949999998</v>
      </c>
      <c r="AT68" s="656">
        <f>Q68*AF!P19*ACT2FLO!P65/1000</f>
        <v>0.24114906574999997</v>
      </c>
      <c r="AU68" s="656">
        <f>R68*AF!Q19*ACT2FLO!Q65/1000</f>
        <v>0.20048626149999998</v>
      </c>
      <c r="AV68" s="656">
        <f>S68*AF!R19*ACT2FLO!R65/1000</f>
        <v>0.79161909450000012</v>
      </c>
      <c r="AW68" s="656">
        <f>T68*AF!S19*ACT2FLO!S65/1000</f>
        <v>0.49987923200000006</v>
      </c>
      <c r="AX68" s="656">
        <f>U68*AF!T19*ACT2FLO!T65/1000</f>
        <v>0.29683354150000002</v>
      </c>
      <c r="AY68" s="656">
        <f>V68*AF!U19*ACT2FLO!U65/1000</f>
        <v>0.34555485200000002</v>
      </c>
      <c r="AZ68" s="656">
        <f>W68*AF!V19*ACT2FLO!V65/1000</f>
        <v>0.1514736485</v>
      </c>
      <c r="BA68" s="656">
        <f>X68*AF!W19*ACT2FLO!W65/1000</f>
        <v>0.57002661799999998</v>
      </c>
      <c r="BB68" s="656">
        <f>Y68*AF!X19*ACT2FLO!X65/1000</f>
        <v>5.9836094999999999E-2</v>
      </c>
      <c r="BC68" s="656">
        <f>Z68*AF!Y19*ACT2FLO!Y65/1000</f>
        <v>0.34838503700000001</v>
      </c>
      <c r="BD68" s="656">
        <f>AA68*AF!Z19*ACT2FLO!Z65/1000</f>
        <v>0.10867027499999998</v>
      </c>
      <c r="BE68" s="656">
        <f>AB68*AF!AA19*ACT2FLO!AA65/1000</f>
        <v>0.11319791700000001</v>
      </c>
      <c r="BF68" s="656">
        <f>AC68*AF!AB19*ACT2FLO!AB65/1000</f>
        <v>0.20658056049999998</v>
      </c>
      <c r="BG68" s="656">
        <f>AD68*AF!AC19*ACT2FLO!AC65/1000</f>
        <v>0.55923812499999992</v>
      </c>
      <c r="BH68" s="656">
        <f>AE68*AF!AD19*ACT2FLO!AD65/1000</f>
        <v>0.27255499050000004</v>
      </c>
      <c r="BK68" s="1" t="s">
        <v>366</v>
      </c>
      <c r="BL68" s="791" t="e">
        <f>BL54-BL76</f>
        <v>#REF!</v>
      </c>
      <c r="BM68" s="791" t="e">
        <f t="shared" ref="BM68:CL68" si="39">BM54-BM76</f>
        <v>#REF!</v>
      </c>
      <c r="BN68" s="791" t="e">
        <f t="shared" si="39"/>
        <v>#REF!</v>
      </c>
      <c r="BO68" s="791" t="e">
        <f t="shared" si="39"/>
        <v>#REF!</v>
      </c>
      <c r="BP68" s="791" t="e">
        <f t="shared" si="39"/>
        <v>#REF!</v>
      </c>
      <c r="BQ68" s="791" t="e">
        <f t="shared" si="39"/>
        <v>#REF!</v>
      </c>
      <c r="BR68" s="791" t="e">
        <f t="shared" si="39"/>
        <v>#REF!</v>
      </c>
      <c r="BS68" s="791" t="e">
        <f t="shared" si="39"/>
        <v>#REF!</v>
      </c>
      <c r="BT68" s="791" t="e">
        <f t="shared" si="39"/>
        <v>#REF!</v>
      </c>
      <c r="BU68" s="791" t="e">
        <f t="shared" si="39"/>
        <v>#REF!</v>
      </c>
      <c r="BV68" s="791" t="e">
        <f t="shared" si="39"/>
        <v>#REF!</v>
      </c>
      <c r="BW68" s="791" t="e">
        <f t="shared" si="39"/>
        <v>#REF!</v>
      </c>
      <c r="BX68" s="791" t="e">
        <f t="shared" si="39"/>
        <v>#REF!</v>
      </c>
      <c r="BY68" s="791" t="e">
        <f t="shared" si="39"/>
        <v>#REF!</v>
      </c>
      <c r="BZ68" s="791" t="e">
        <f t="shared" si="39"/>
        <v>#REF!</v>
      </c>
      <c r="CA68" s="791" t="e">
        <f t="shared" si="39"/>
        <v>#REF!</v>
      </c>
      <c r="CB68" s="791" t="e">
        <f t="shared" si="39"/>
        <v>#REF!</v>
      </c>
      <c r="CC68" s="791" t="e">
        <f t="shared" si="39"/>
        <v>#REF!</v>
      </c>
      <c r="CD68" s="791" t="e">
        <f t="shared" si="39"/>
        <v>#REF!</v>
      </c>
      <c r="CE68" s="791" t="e">
        <f t="shared" si="39"/>
        <v>#REF!</v>
      </c>
      <c r="CF68" s="791" t="e">
        <f t="shared" si="39"/>
        <v>#REF!</v>
      </c>
      <c r="CG68" s="791" t="e">
        <f t="shared" si="39"/>
        <v>#REF!</v>
      </c>
      <c r="CH68" s="791" t="e">
        <f t="shared" si="39"/>
        <v>#REF!</v>
      </c>
      <c r="CI68" s="791" t="e">
        <f t="shared" si="39"/>
        <v>#REF!</v>
      </c>
      <c r="CJ68" s="791" t="e">
        <f t="shared" si="39"/>
        <v>#REF!</v>
      </c>
      <c r="CK68" s="791" t="e">
        <f t="shared" si="39"/>
        <v>#REF!</v>
      </c>
      <c r="CL68" s="791" t="e">
        <f t="shared" si="39"/>
        <v>#REF!</v>
      </c>
      <c r="CM68" s="714"/>
      <c r="CN68" s="714"/>
    </row>
    <row r="69" spans="1:92" ht="15.6">
      <c r="A69" s="455" t="s">
        <v>115</v>
      </c>
      <c r="B69" s="455"/>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1"/>
      <c r="AG69" s="455" t="str">
        <f t="shared" si="3"/>
        <v>*Rail</v>
      </c>
      <c r="AH69" s="774"/>
      <c r="AI69" s="774"/>
      <c r="AJ69" s="774"/>
      <c r="AK69" s="774"/>
      <c r="AL69" s="774"/>
      <c r="AM69" s="774"/>
      <c r="AN69" s="774"/>
      <c r="AO69" s="774"/>
      <c r="AP69" s="774"/>
      <c r="AQ69" s="774"/>
      <c r="AR69" s="774"/>
      <c r="AS69" s="774"/>
      <c r="AT69" s="774"/>
      <c r="AU69" s="774"/>
      <c r="AV69" s="774"/>
      <c r="AW69" s="774"/>
      <c r="AX69" s="774"/>
      <c r="AY69" s="774"/>
      <c r="AZ69" s="774"/>
      <c r="BA69" s="774"/>
      <c r="BB69" s="774"/>
      <c r="BC69" s="774"/>
      <c r="BD69" s="774"/>
      <c r="BE69" s="774"/>
      <c r="BF69" s="774"/>
      <c r="BG69" s="774"/>
      <c r="BH69" s="774"/>
      <c r="BK69" s="136" t="s">
        <v>1</v>
      </c>
      <c r="BL69" s="792" t="e">
        <f>SUM(BL67:BL68)</f>
        <v>#REF!</v>
      </c>
      <c r="BM69" s="792" t="e">
        <f t="shared" ref="BM69" si="40">SUM(BM67:BM68)</f>
        <v>#REF!</v>
      </c>
      <c r="BN69" s="792" t="e">
        <f t="shared" ref="BN69" si="41">SUM(BN67:BN68)</f>
        <v>#REF!</v>
      </c>
      <c r="BO69" s="792" t="e">
        <f t="shared" ref="BO69" si="42">SUM(BO67:BO68)</f>
        <v>#REF!</v>
      </c>
      <c r="BP69" s="792" t="e">
        <f t="shared" ref="BP69" si="43">SUM(BP67:BP68)</f>
        <v>#REF!</v>
      </c>
      <c r="BQ69" s="792" t="e">
        <f t="shared" ref="BQ69" si="44">SUM(BQ67:BQ68)</f>
        <v>#REF!</v>
      </c>
      <c r="BR69" s="792" t="e">
        <f t="shared" ref="BR69" si="45">SUM(BR67:BR68)</f>
        <v>#REF!</v>
      </c>
      <c r="BS69" s="792" t="e">
        <f t="shared" ref="BS69" si="46">SUM(BS67:BS68)</f>
        <v>#REF!</v>
      </c>
      <c r="BT69" s="792" t="e">
        <f t="shared" ref="BT69" si="47">SUM(BT67:BT68)</f>
        <v>#REF!</v>
      </c>
      <c r="BU69" s="792" t="e">
        <f t="shared" ref="BU69" si="48">SUM(BU67:BU68)</f>
        <v>#REF!</v>
      </c>
      <c r="BV69" s="792" t="e">
        <f t="shared" ref="BV69" si="49">SUM(BV67:BV68)</f>
        <v>#REF!</v>
      </c>
      <c r="BW69" s="792" t="e">
        <f t="shared" ref="BW69" si="50">SUM(BW67:BW68)</f>
        <v>#REF!</v>
      </c>
      <c r="BX69" s="792" t="e">
        <f t="shared" ref="BX69" si="51">SUM(BX67:BX68)</f>
        <v>#REF!</v>
      </c>
      <c r="BY69" s="792" t="e">
        <f t="shared" ref="BY69" si="52">SUM(BY67:BY68)</f>
        <v>#REF!</v>
      </c>
      <c r="BZ69" s="792" t="e">
        <f t="shared" ref="BZ69" si="53">SUM(BZ67:BZ68)</f>
        <v>#REF!</v>
      </c>
      <c r="CA69" s="792" t="e">
        <f t="shared" ref="CA69" si="54">SUM(CA67:CA68)</f>
        <v>#REF!</v>
      </c>
      <c r="CB69" s="792" t="e">
        <f t="shared" ref="CB69" si="55">SUM(CB67:CB68)</f>
        <v>#REF!</v>
      </c>
      <c r="CC69" s="792" t="e">
        <f t="shared" ref="CC69" si="56">SUM(CC67:CC68)</f>
        <v>#REF!</v>
      </c>
      <c r="CD69" s="792" t="e">
        <f t="shared" ref="CD69" si="57">SUM(CD67:CD68)</f>
        <v>#REF!</v>
      </c>
      <c r="CE69" s="792" t="e">
        <f t="shared" ref="CE69" si="58">SUM(CE67:CE68)</f>
        <v>#REF!</v>
      </c>
      <c r="CF69" s="792" t="e">
        <f t="shared" ref="CF69" si="59">SUM(CF67:CF68)</f>
        <v>#REF!</v>
      </c>
      <c r="CG69" s="792" t="e">
        <f t="shared" ref="CG69" si="60">SUM(CG67:CG68)</f>
        <v>#REF!</v>
      </c>
      <c r="CH69" s="792" t="e">
        <f t="shared" ref="CH69" si="61">SUM(CH67:CH68)</f>
        <v>#REF!</v>
      </c>
      <c r="CI69" s="792" t="e">
        <f t="shared" ref="CI69" si="62">SUM(CI67:CI68)</f>
        <v>#REF!</v>
      </c>
      <c r="CJ69" s="792" t="e">
        <f t="shared" ref="CJ69" si="63">SUM(CJ67:CJ68)</f>
        <v>#REF!</v>
      </c>
      <c r="CK69" s="792" t="e">
        <f t="shared" ref="CK69" si="64">SUM(CK67:CK68)</f>
        <v>#REF!</v>
      </c>
      <c r="CL69" s="792" t="e">
        <f t="shared" ref="CL69" si="65">SUM(CL67:CL68)</f>
        <v>#REF!</v>
      </c>
      <c r="CM69" s="714"/>
      <c r="CN69" s="714"/>
    </row>
    <row r="70" spans="1:92">
      <c r="A70" s="459" t="str">
        <f>Commodities!K29</f>
        <v>T-LPT-EV_ELC00</v>
      </c>
      <c r="B70" s="28" t="s">
        <v>869</v>
      </c>
      <c r="C70" s="459" t="str">
        <f>Commodities!B14</f>
        <v>TRAELC</v>
      </c>
      <c r="D70" s="459" t="str">
        <f>Commodities!B22&amp;","&amp;Commodities!B23</f>
        <v>TRAPS,TRAPM</v>
      </c>
      <c r="E70" s="517">
        <f t="shared" ref="E70:E72" si="66">SUM(F70:AE70)</f>
        <v>7.2999999999999995E-2</v>
      </c>
      <c r="F70" s="644">
        <f t="shared" ref="F70:O72" si="67">D186/1000</f>
        <v>0</v>
      </c>
      <c r="G70" s="644">
        <f t="shared" si="67"/>
        <v>7.2999999999999995E-2</v>
      </c>
      <c r="H70" s="644">
        <f t="shared" si="67"/>
        <v>0</v>
      </c>
      <c r="I70" s="644">
        <f t="shared" si="67"/>
        <v>0</v>
      </c>
      <c r="J70" s="644">
        <f t="shared" si="67"/>
        <v>0</v>
      </c>
      <c r="K70" s="644">
        <f t="shared" si="67"/>
        <v>0</v>
      </c>
      <c r="L70" s="644">
        <f t="shared" si="67"/>
        <v>0</v>
      </c>
      <c r="M70" s="644">
        <f t="shared" si="67"/>
        <v>0</v>
      </c>
      <c r="N70" s="644">
        <f t="shared" si="67"/>
        <v>0</v>
      </c>
      <c r="O70" s="644">
        <f t="shared" si="67"/>
        <v>0</v>
      </c>
      <c r="P70" s="644">
        <f t="shared" ref="P70:Y72" si="68">N186/1000</f>
        <v>0</v>
      </c>
      <c r="Q70" s="644">
        <f t="shared" si="68"/>
        <v>0</v>
      </c>
      <c r="R70" s="644">
        <f t="shared" si="68"/>
        <v>0</v>
      </c>
      <c r="S70" s="644">
        <f t="shared" si="68"/>
        <v>0</v>
      </c>
      <c r="T70" s="644">
        <f t="shared" si="68"/>
        <v>0</v>
      </c>
      <c r="U70" s="644">
        <f t="shared" si="68"/>
        <v>0</v>
      </c>
      <c r="V70" s="644">
        <f t="shared" si="68"/>
        <v>0</v>
      </c>
      <c r="W70" s="644">
        <f t="shared" si="68"/>
        <v>0</v>
      </c>
      <c r="X70" s="644">
        <f t="shared" si="68"/>
        <v>0</v>
      </c>
      <c r="Y70" s="644">
        <f t="shared" si="68"/>
        <v>0</v>
      </c>
      <c r="Z70" s="644">
        <f t="shared" ref="Z70:AE72" si="69">X186/1000</f>
        <v>0</v>
      </c>
      <c r="AA70" s="644">
        <f t="shared" si="69"/>
        <v>0</v>
      </c>
      <c r="AB70" s="644">
        <f t="shared" si="69"/>
        <v>0</v>
      </c>
      <c r="AC70" s="644">
        <f t="shared" si="69"/>
        <v>0</v>
      </c>
      <c r="AD70" s="644">
        <f t="shared" si="69"/>
        <v>0</v>
      </c>
      <c r="AE70" s="644">
        <f t="shared" si="69"/>
        <v>0</v>
      </c>
      <c r="AF70" s="451"/>
      <c r="AG70" s="101" t="str">
        <f t="shared" si="3"/>
        <v>T-LPT-EV_ELC00</v>
      </c>
      <c r="AH70" s="656">
        <f>E70*AF!D20*ACT2FLO!D66/1000</f>
        <v>0.31718342830155838</v>
      </c>
      <c r="AI70" s="656">
        <f>F70*AF!E20*ACT2FLO!E66/1000</f>
        <v>0</v>
      </c>
      <c r="AJ70" s="656">
        <f>G70*AF!F20*ACT2FLO!F66/1000</f>
        <v>0.31718342830155838</v>
      </c>
      <c r="AK70" s="656">
        <f>H70*AF!G20*ACT2FLO!G66/1000</f>
        <v>0</v>
      </c>
      <c r="AL70" s="656">
        <f>I70*AF!H20*ACT2FLO!H66/1000</f>
        <v>0</v>
      </c>
      <c r="AM70" s="656">
        <f>J70*AF!I20*ACT2FLO!I66/1000</f>
        <v>0</v>
      </c>
      <c r="AN70" s="656">
        <f>K70*AF!J20*ACT2FLO!J66/1000</f>
        <v>0</v>
      </c>
      <c r="AO70" s="656">
        <f>L70*AF!K20*ACT2FLO!K66/1000</f>
        <v>0</v>
      </c>
      <c r="AP70" s="656">
        <f>M70*AF!L20*ACT2FLO!L66/1000</f>
        <v>0</v>
      </c>
      <c r="AQ70" s="656">
        <f>N70*AF!M20*ACT2FLO!M66/1000</f>
        <v>0</v>
      </c>
      <c r="AR70" s="656">
        <f>O70*AF!N20*ACT2FLO!N66/1000</f>
        <v>0</v>
      </c>
      <c r="AS70" s="656">
        <f>P70*AF!O20*ACT2FLO!O66/1000</f>
        <v>0</v>
      </c>
      <c r="AT70" s="656">
        <f>Q70*AF!P20*ACT2FLO!P66/1000</f>
        <v>0</v>
      </c>
      <c r="AU70" s="656">
        <f>R70*AF!Q20*ACT2FLO!Q66/1000</f>
        <v>0</v>
      </c>
      <c r="AV70" s="656">
        <f>S70*AF!R20*ACT2FLO!R66/1000</f>
        <v>0</v>
      </c>
      <c r="AW70" s="656">
        <f>T70*AF!S20*ACT2FLO!S66/1000</f>
        <v>0</v>
      </c>
      <c r="AX70" s="656">
        <f>U70*AF!T20*ACT2FLO!T66/1000</f>
        <v>0</v>
      </c>
      <c r="AY70" s="656">
        <f>V70*AF!U20*ACT2FLO!U66/1000</f>
        <v>0</v>
      </c>
      <c r="AZ70" s="656">
        <f>W70*AF!V20*ACT2FLO!V66/1000</f>
        <v>0</v>
      </c>
      <c r="BA70" s="656">
        <f>X70*AF!W20*ACT2FLO!W66/1000</f>
        <v>0</v>
      </c>
      <c r="BB70" s="656">
        <f>Y70*AF!X20*ACT2FLO!X66/1000</f>
        <v>0</v>
      </c>
      <c r="BC70" s="656">
        <f>Z70*AF!Y20*ACT2FLO!Y66/1000</f>
        <v>0</v>
      </c>
      <c r="BD70" s="656">
        <f>AA70*AF!Z20*ACT2FLO!Z66/1000</f>
        <v>0</v>
      </c>
      <c r="BE70" s="656">
        <f>AB70*AF!AA20*ACT2FLO!AA66/1000</f>
        <v>0</v>
      </c>
      <c r="BF70" s="656">
        <f>AC70*AF!AB20*ACT2FLO!AB66/1000</f>
        <v>0</v>
      </c>
      <c r="BG70" s="656">
        <f>AD70*AF!AC20*ACT2FLO!AC66/1000</f>
        <v>0</v>
      </c>
      <c r="BH70" s="656">
        <f>AE70*AF!AD20*ACT2FLO!AD66/1000</f>
        <v>0</v>
      </c>
      <c r="BK70" s="714"/>
      <c r="BL70" s="714"/>
      <c r="BM70" s="714"/>
      <c r="BN70" s="714"/>
      <c r="BO70" s="714"/>
      <c r="BP70" s="714"/>
      <c r="BQ70" s="714"/>
      <c r="BR70" s="714"/>
      <c r="BS70" s="714"/>
      <c r="BT70" s="714"/>
      <c r="BU70" s="714"/>
      <c r="BV70" s="714"/>
      <c r="BW70" s="714"/>
      <c r="BX70" s="714"/>
      <c r="BY70" s="714"/>
      <c r="BZ70" s="714"/>
      <c r="CA70" s="714"/>
      <c r="CB70" s="714"/>
      <c r="CC70" s="714"/>
      <c r="CD70" s="714"/>
      <c r="CE70" s="714"/>
      <c r="CF70" s="714"/>
      <c r="CG70" s="714"/>
      <c r="CH70" s="714"/>
      <c r="CI70" s="714"/>
      <c r="CJ70" s="714"/>
      <c r="CK70" s="714"/>
      <c r="CL70" s="714"/>
      <c r="CM70" s="714"/>
      <c r="CN70" s="714"/>
    </row>
    <row r="71" spans="1:92">
      <c r="A71" s="459" t="str">
        <f>Commodities!K30</f>
        <v>T-HPT-EV_ELC00</v>
      </c>
      <c r="B71" s="28" t="s">
        <v>869</v>
      </c>
      <c r="C71" s="459" t="str">
        <f>Commodities!B14</f>
        <v>TRAELC</v>
      </c>
      <c r="D71" s="459" t="str">
        <f>Commodities!B24</f>
        <v>TRAPL</v>
      </c>
      <c r="E71" s="517">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451"/>
      <c r="AG71" s="101" t="str">
        <f t="shared" si="3"/>
        <v>T-HPT-EV_ELC00</v>
      </c>
      <c r="AH71" s="656">
        <f>E71*AF!D21*ACT2FLO!D67/1000</f>
        <v>0.64293853613072993</v>
      </c>
      <c r="AI71" s="656">
        <f>F71*AF!E21*ACT2FLO!E67/1000</f>
        <v>0</v>
      </c>
      <c r="AJ71" s="656">
        <f>G71*AF!F21*ACT2FLO!F67/1000</f>
        <v>0.64293853613072993</v>
      </c>
      <c r="AK71" s="656">
        <f>H71*AF!G21*ACT2FLO!G67/1000</f>
        <v>0</v>
      </c>
      <c r="AL71" s="656">
        <f>I71*AF!H21*ACT2FLO!H67/1000</f>
        <v>0</v>
      </c>
      <c r="AM71" s="656">
        <f>J71*AF!I21*ACT2FLO!I67/1000</f>
        <v>0</v>
      </c>
      <c r="AN71" s="656">
        <f>K71*AF!J21*ACT2FLO!J67/1000</f>
        <v>0</v>
      </c>
      <c r="AO71" s="656">
        <f>L71*AF!K21*ACT2FLO!K67/1000</f>
        <v>0</v>
      </c>
      <c r="AP71" s="656">
        <f>M71*AF!L21*ACT2FLO!L67/1000</f>
        <v>0</v>
      </c>
      <c r="AQ71" s="656">
        <f>N71*AF!M21*ACT2FLO!M67/1000</f>
        <v>0</v>
      </c>
      <c r="AR71" s="656">
        <f>O71*AF!N21*ACT2FLO!N67/1000</f>
        <v>0</v>
      </c>
      <c r="AS71" s="656">
        <f>P71*AF!O21*ACT2FLO!O67/1000</f>
        <v>0</v>
      </c>
      <c r="AT71" s="656">
        <f>Q71*AF!P21*ACT2FLO!P67/1000</f>
        <v>0</v>
      </c>
      <c r="AU71" s="656">
        <f>R71*AF!Q21*ACT2FLO!Q67/1000</f>
        <v>0</v>
      </c>
      <c r="AV71" s="656">
        <f>S71*AF!R21*ACT2FLO!R67/1000</f>
        <v>0</v>
      </c>
      <c r="AW71" s="656">
        <f>T71*AF!S21*ACT2FLO!S67/1000</f>
        <v>0</v>
      </c>
      <c r="AX71" s="656">
        <f>U71*AF!T21*ACT2FLO!T67/1000</f>
        <v>0</v>
      </c>
      <c r="AY71" s="656">
        <f>V71*AF!U21*ACT2FLO!U67/1000</f>
        <v>0</v>
      </c>
      <c r="AZ71" s="656">
        <f>W71*AF!V21*ACT2FLO!V67/1000</f>
        <v>0</v>
      </c>
      <c r="BA71" s="656">
        <f>X71*AF!W21*ACT2FLO!W67/1000</f>
        <v>0</v>
      </c>
      <c r="BB71" s="656">
        <f>Y71*AF!X21*ACT2FLO!X67/1000</f>
        <v>0</v>
      </c>
      <c r="BC71" s="656">
        <f>Z71*AF!Y21*ACT2FLO!Y67/1000</f>
        <v>0</v>
      </c>
      <c r="BD71" s="656">
        <f>AA71*AF!Z21*ACT2FLO!Z67/1000</f>
        <v>0</v>
      </c>
      <c r="BE71" s="656">
        <f>AB71*AF!AA21*ACT2FLO!AA67/1000</f>
        <v>0</v>
      </c>
      <c r="BF71" s="656">
        <f>AC71*AF!AB21*ACT2FLO!AB67/1000</f>
        <v>0</v>
      </c>
      <c r="BG71" s="656">
        <f>AD71*AF!AC21*ACT2FLO!AC67/1000</f>
        <v>0</v>
      </c>
      <c r="BH71" s="656">
        <f>AE71*AF!AD21*ACT2FLO!AD67/1000</f>
        <v>0</v>
      </c>
      <c r="BK71" s="714"/>
      <c r="BL71" s="714"/>
      <c r="BM71" s="714"/>
      <c r="BN71" s="714"/>
      <c r="BO71" s="714"/>
      <c r="BP71" s="714"/>
      <c r="BQ71" s="714"/>
      <c r="BR71" s="714"/>
      <c r="BS71" s="714"/>
      <c r="BT71" s="714"/>
      <c r="BU71" s="714"/>
      <c r="BV71" s="714"/>
      <c r="BW71" s="714"/>
      <c r="BX71" s="714"/>
      <c r="BY71" s="714"/>
      <c r="BZ71" s="714"/>
      <c r="CA71" s="714"/>
      <c r="CB71" s="714"/>
      <c r="CC71" s="714"/>
      <c r="CD71" s="714"/>
      <c r="CE71" s="714"/>
      <c r="CF71" s="714"/>
      <c r="CG71" s="714"/>
      <c r="CH71" s="714"/>
      <c r="CI71" s="714"/>
      <c r="CJ71" s="714"/>
      <c r="CK71" s="714"/>
      <c r="CL71" s="714"/>
      <c r="CM71" s="714"/>
      <c r="CN71" s="714"/>
    </row>
    <row r="72" spans="1:92">
      <c r="A72" s="28" t="str">
        <f>Commodities!K31</f>
        <v>T-HPT-ICE_DST00</v>
      </c>
      <c r="B72" s="28" t="s">
        <v>869</v>
      </c>
      <c r="C72" s="28" t="str">
        <f>Commodities!B19</f>
        <v>TRADSB</v>
      </c>
      <c r="D72" s="459" t="str">
        <f>Commodities!B24</f>
        <v>TRAPL</v>
      </c>
      <c r="E72" s="669">
        <f t="shared" si="66"/>
        <v>0.14399999999999996</v>
      </c>
      <c r="F72" s="656">
        <f t="shared" si="67"/>
        <v>1.7216380556777638E-3</v>
      </c>
      <c r="G72" s="656">
        <f t="shared" si="67"/>
        <v>4.0744476376377785E-2</v>
      </c>
      <c r="H72" s="656">
        <f t="shared" si="67"/>
        <v>6.7285771436191438E-3</v>
      </c>
      <c r="I72" s="656">
        <f t="shared" si="67"/>
        <v>3.0008007366861492E-3</v>
      </c>
      <c r="J72" s="656">
        <f t="shared" si="67"/>
        <v>2.5612586665098632E-3</v>
      </c>
      <c r="K72" s="656">
        <f t="shared" si="67"/>
        <v>1.236009840682169E-3</v>
      </c>
      <c r="L72" s="656">
        <f t="shared" si="67"/>
        <v>3.8974847039972759E-3</v>
      </c>
      <c r="M72" s="656">
        <f t="shared" si="67"/>
        <v>5.8981798098014073E-3</v>
      </c>
      <c r="N72" s="656">
        <f t="shared" si="67"/>
        <v>2.357560325628717E-3</v>
      </c>
      <c r="O72" s="656">
        <f t="shared" si="67"/>
        <v>2.6844272149672429E-3</v>
      </c>
      <c r="P72" s="656">
        <f t="shared" si="68"/>
        <v>4.5276310857195624E-3</v>
      </c>
      <c r="Q72" s="656">
        <f t="shared" si="68"/>
        <v>4.3069679631824896E-3</v>
      </c>
      <c r="R72" s="656">
        <f t="shared" si="68"/>
        <v>3.5930560820182822E-3</v>
      </c>
      <c r="S72" s="656">
        <f t="shared" si="68"/>
        <v>1.6416465397486056E-2</v>
      </c>
      <c r="T72" s="656">
        <f t="shared" si="68"/>
        <v>4.4666969769197543E-3</v>
      </c>
      <c r="U72" s="656">
        <f t="shared" si="68"/>
        <v>5.8937949731880214E-3</v>
      </c>
      <c r="V72" s="656">
        <f t="shared" si="68"/>
        <v>4.8249230081071149E-3</v>
      </c>
      <c r="W72" s="656">
        <f t="shared" si="68"/>
        <v>3.5131915751496498E-3</v>
      </c>
      <c r="X72" s="656">
        <f t="shared" si="68"/>
        <v>7.8037390812213227E-3</v>
      </c>
      <c r="Y72" s="656">
        <f t="shared" si="68"/>
        <v>9.6901865130573773E-4</v>
      </c>
      <c r="Z72" s="656">
        <f t="shared" si="69"/>
        <v>3.9465646338146896E-3</v>
      </c>
      <c r="AA72" s="656">
        <f t="shared" si="69"/>
        <v>1.9518268577542609E-3</v>
      </c>
      <c r="AB72" s="656">
        <f t="shared" si="69"/>
        <v>1.9817949479878144E-3</v>
      </c>
      <c r="AC72" s="656">
        <f t="shared" si="69"/>
        <v>2.3035814749053137E-3</v>
      </c>
      <c r="AD72" s="656">
        <f t="shared" si="69"/>
        <v>4.8140062769524089E-3</v>
      </c>
      <c r="AE72" s="656">
        <f t="shared" si="69"/>
        <v>1.8563281403399705E-3</v>
      </c>
      <c r="AF72" s="451"/>
      <c r="AG72" s="101" t="str">
        <f t="shared" si="3"/>
        <v>T-HPT-ICE_DST00</v>
      </c>
      <c r="AH72" s="656">
        <f>E72*AF!D22*ACT2FLO!D68/1000</f>
        <v>1.2767155199999995</v>
      </c>
      <c r="AI72" s="656">
        <f>F72*AF!E22*ACT2FLO!E68/1000</f>
        <v>1.5264180732683506E-2</v>
      </c>
      <c r="AJ72" s="656">
        <f>G72*AF!F22*ACT2FLO!F68/1000</f>
        <v>0.36124378711107558</v>
      </c>
      <c r="AK72" s="656">
        <f>H72*AF!G22*ACT2FLO!G68/1000</f>
        <v>5.9656103241498816E-2</v>
      </c>
      <c r="AL72" s="656">
        <f>I72*AF!H22*ACT2FLO!H68/1000</f>
        <v>2.6605339395518336E-2</v>
      </c>
      <c r="AM72" s="656">
        <f>J72*AF!I22*ACT2FLO!I68/1000</f>
        <v>2.2708324237969767E-2</v>
      </c>
      <c r="AN72" s="656">
        <f>K72*AF!J22*ACT2FLO!J68/1000</f>
        <v>1.0958562128275364E-2</v>
      </c>
      <c r="AO72" s="656">
        <f>L72*AF!K22*ACT2FLO!K68/1000</f>
        <v>3.4555411184416164E-2</v>
      </c>
      <c r="AP72" s="656">
        <f>M72*AF!L22*ACT2FLO!L68/1000</f>
        <v>5.2293734048084059E-2</v>
      </c>
      <c r="AQ72" s="656">
        <f>N72*AF!M22*ACT2FLO!M68/1000</f>
        <v>2.0902318451850255E-2</v>
      </c>
      <c r="AR72" s="656">
        <f>O72*AF!N22*ACT2FLO!N68/1000</f>
        <v>2.3800346442076771E-2</v>
      </c>
      <c r="AS72" s="656">
        <f>P72*AF!O22*ACT2FLO!O68/1000</f>
        <v>4.0142339416476505E-2</v>
      </c>
      <c r="AT72" s="656">
        <f>Q72*AF!P22*ACT2FLO!P68/1000</f>
        <v>3.8185922519013003E-2</v>
      </c>
      <c r="AU72" s="656">
        <f>R72*AF!Q22*ACT2FLO!Q68/1000</f>
        <v>3.1856322667660655E-2</v>
      </c>
      <c r="AV72" s="656">
        <f>S72*AF!R22*ACT2FLO!R68/1000</f>
        <v>0.1455496955313432</v>
      </c>
      <c r="AW72" s="656">
        <f>T72*AF!S22*ACT2FLO!S68/1000</f>
        <v>3.9602092733128702E-2</v>
      </c>
      <c r="AX72" s="656">
        <f>U72*AF!T22*ACT2FLO!T68/1000</f>
        <v>5.2254857735882849E-2</v>
      </c>
      <c r="AY72" s="656">
        <f>V72*AF!U22*ACT2FLO!U68/1000</f>
        <v>4.2778153383718334E-2</v>
      </c>
      <c r="AZ72" s="656">
        <f>W72*AF!V22*ACT2FLO!V68/1000</f>
        <v>3.1148237560602809E-2</v>
      </c>
      <c r="BA72" s="656">
        <f>X72*AF!W22*ACT2FLO!W68/1000</f>
        <v>6.9188574993234747E-2</v>
      </c>
      <c r="BB72" s="656">
        <f>Y72*AF!X22*ACT2FLO!X68/1000</f>
        <v>8.5913968839687761E-3</v>
      </c>
      <c r="BC72" s="656">
        <f>Z72*AF!Y22*ACT2FLO!Y68/1000</f>
        <v>3.4990557768571746E-2</v>
      </c>
      <c r="BD72" s="656">
        <f>AA72*AF!Z22*ACT2FLO!Z68/1000</f>
        <v>1.7305053066997901E-2</v>
      </c>
      <c r="BE72" s="656">
        <f>AB72*AF!AA22*ACT2FLO!AA68/1000</f>
        <v>1.7570752552455802E-2</v>
      </c>
      <c r="BF72" s="656">
        <f>AC72*AF!AB22*ACT2FLO!AB68/1000</f>
        <v>2.0423737643028506E-2</v>
      </c>
      <c r="BG72" s="656">
        <f>AD72*AF!AC22*ACT2FLO!AC68/1000</f>
        <v>4.2681364771962209E-2</v>
      </c>
      <c r="BH72" s="656">
        <f>AE72*AF!AD22*ACT2FLO!AD68/1000</f>
        <v>1.6458353798505406E-2</v>
      </c>
      <c r="BK72" s="714"/>
      <c r="BL72" s="714"/>
      <c r="BM72" s="714"/>
      <c r="BN72" s="714"/>
      <c r="BO72" s="714"/>
      <c r="BP72" s="714"/>
      <c r="BQ72" s="714"/>
      <c r="BR72" s="714"/>
      <c r="BS72" s="714"/>
      <c r="BT72" s="714"/>
      <c r="BU72" s="714"/>
      <c r="BV72" s="714"/>
      <c r="BW72" s="714"/>
      <c r="BX72" s="714"/>
      <c r="BY72" s="714"/>
      <c r="BZ72" s="714"/>
      <c r="CA72" s="714"/>
      <c r="CB72" s="714"/>
      <c r="CC72" s="714"/>
      <c r="CD72" s="714"/>
      <c r="CE72" s="714"/>
      <c r="CF72" s="714"/>
      <c r="CG72" s="714"/>
      <c r="CH72" s="714"/>
      <c r="CI72" s="714"/>
      <c r="CJ72" s="714"/>
      <c r="CK72" s="714"/>
      <c r="CL72" s="714"/>
      <c r="CM72" s="714"/>
    </row>
    <row r="73" spans="1:92" ht="15.6">
      <c r="A73" s="455" t="s">
        <v>714</v>
      </c>
      <c r="B73" s="455"/>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1"/>
      <c r="AG73" s="455" t="s">
        <v>666</v>
      </c>
      <c r="AH73" s="774"/>
      <c r="AI73" s="774"/>
      <c r="AJ73" s="774"/>
      <c r="AK73" s="774"/>
      <c r="AL73" s="774"/>
      <c r="AM73" s="774"/>
      <c r="AN73" s="774"/>
      <c r="AO73" s="774"/>
      <c r="AP73" s="774"/>
      <c r="AQ73" s="774"/>
      <c r="AR73" s="774"/>
      <c r="AS73" s="774"/>
      <c r="AT73" s="774"/>
      <c r="AU73" s="774"/>
      <c r="AV73" s="774"/>
      <c r="AW73" s="774"/>
      <c r="AX73" s="774"/>
      <c r="AY73" s="774"/>
      <c r="AZ73" s="774"/>
      <c r="BA73" s="774"/>
      <c r="BB73" s="774"/>
      <c r="BC73" s="774"/>
      <c r="BD73" s="774"/>
      <c r="BE73" s="774"/>
      <c r="BF73" s="774"/>
      <c r="BG73" s="774"/>
      <c r="BH73" s="774"/>
      <c r="BK73" s="714" t="s">
        <v>1106</v>
      </c>
      <c r="BL73" s="401"/>
      <c r="BM73" s="40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714"/>
    </row>
    <row r="74" spans="1:92">
      <c r="A74" s="459" t="str">
        <f>Commodities!K34</f>
        <v>T-LGT-ICE_GSL00</v>
      </c>
      <c r="B74" s="28" t="s">
        <v>869</v>
      </c>
      <c r="C74" s="714" t="str">
        <f>Commodities!B18</f>
        <v>TRAGSE</v>
      </c>
      <c r="D74" s="459" t="str">
        <f>Commodities!B25</f>
        <v>TFGV</v>
      </c>
      <c r="E74" s="9">
        <f t="shared" ref="E74:E76" si="70">SUM(F74:AE74)</f>
        <v>0.89000000000000035</v>
      </c>
      <c r="F74" s="809">
        <f t="shared" ref="F74:F77" si="71">D189/1000</f>
        <v>0.01</v>
      </c>
      <c r="G74" s="809">
        <f t="shared" ref="G74:G77" si="72">E189/1000</f>
        <v>0.27800000000000002</v>
      </c>
      <c r="H74" s="809">
        <f t="shared" ref="H74:H77" si="73">F189/1000</f>
        <v>4.9000000000000002E-2</v>
      </c>
      <c r="I74" s="809">
        <f t="shared" ref="I74:I77" si="74">G189/1000</f>
        <v>1.4999999999999999E-2</v>
      </c>
      <c r="J74" s="809">
        <f t="shared" ref="J74:J77" si="75">H189/1000</f>
        <v>2.1000000000000001E-2</v>
      </c>
      <c r="K74" s="809">
        <f t="shared" ref="K74:K77" si="76">I189/1000</f>
        <v>8.0000000000000002E-3</v>
      </c>
      <c r="L74" s="809">
        <f t="shared" ref="L74:L77" si="77">J189/1000</f>
        <v>1.4999999999999999E-2</v>
      </c>
      <c r="M74" s="809">
        <f t="shared" ref="M74:M77" si="78">K189/1000</f>
        <v>2.1000000000000001E-2</v>
      </c>
      <c r="N74" s="809">
        <f t="shared" ref="N74:N77" si="79">L189/1000</f>
        <v>0.01</v>
      </c>
      <c r="O74" s="809">
        <f t="shared" ref="O74:O77" si="80">M189/1000</f>
        <v>1.4E-2</v>
      </c>
      <c r="P74" s="809">
        <f t="shared" ref="P74:P77" si="81">N189/1000</f>
        <v>2.8000000000000001E-2</v>
      </c>
      <c r="Q74" s="809">
        <f t="shared" ref="Q74:Q77" si="82">O189/1000</f>
        <v>4.5999999999999999E-2</v>
      </c>
      <c r="R74" s="809">
        <f t="shared" ref="R74:R77" si="83">P189/1000</f>
        <v>1.6E-2</v>
      </c>
      <c r="S74" s="809">
        <f t="shared" ref="S74:S77" si="84">Q189/1000</f>
        <v>0.13100000000000001</v>
      </c>
      <c r="T74" s="809">
        <f t="shared" ref="T74:T77" si="85">R189/1000</f>
        <v>2.1000000000000001E-2</v>
      </c>
      <c r="U74" s="809">
        <f t="shared" ref="U74:U77" si="86">S189/1000</f>
        <v>1.4E-2</v>
      </c>
      <c r="V74" s="809">
        <f t="shared" ref="V74:V77" si="87">T189/1000</f>
        <v>2.7E-2</v>
      </c>
      <c r="W74" s="809">
        <f t="shared" ref="W74:W77" si="88">U189/1000</f>
        <v>0.03</v>
      </c>
      <c r="X74" s="809">
        <f t="shared" ref="X74:X77" si="89">V189/1000</f>
        <v>4.3999999999999997E-2</v>
      </c>
      <c r="Y74" s="809">
        <f t="shared" ref="Y74:Y77" si="90">W189/1000</f>
        <v>2E-3</v>
      </c>
      <c r="Z74" s="809">
        <f t="shared" ref="Z74:Z77" si="91">X189/1000</f>
        <v>1.9E-2</v>
      </c>
      <c r="AA74" s="809">
        <f t="shared" ref="AA74:AA77" si="92">Y189/1000</f>
        <v>1.4E-2</v>
      </c>
      <c r="AB74" s="809">
        <f t="shared" ref="AB74:AB77" si="93">Z189/1000</f>
        <v>8.9999999999999993E-3</v>
      </c>
      <c r="AC74" s="809">
        <f t="shared" ref="AC74:AC77" si="94">AA189/1000</f>
        <v>7.0000000000000001E-3</v>
      </c>
      <c r="AD74" s="809">
        <f t="shared" ref="AD74:AD77" si="95">AB189/1000</f>
        <v>2.9000000000000001E-2</v>
      </c>
      <c r="AE74" s="809">
        <f t="shared" ref="AE74:AE77" si="96">AC189/1000</f>
        <v>1.2E-2</v>
      </c>
      <c r="AF74" s="451"/>
      <c r="AG74" s="101" t="str">
        <f>A95</f>
        <v>T-WLK_WLK</v>
      </c>
      <c r="AH74" s="656">
        <f>E95*AF!D4*ACT2FLO!D50/1000</f>
        <v>37.6</v>
      </c>
      <c r="AI74" s="656">
        <f>F95*AF!E4*ACT2FLO!E50/1000</f>
        <v>0.44953882564919384</v>
      </c>
      <c r="AJ74" s="656">
        <f>G95*AF!F4*ACT2FLO!F50/1000</f>
        <v>10.638835498276421</v>
      </c>
      <c r="AK74" s="656">
        <f>H95*AF!G4*ACT2FLO!G50/1000</f>
        <v>1.7569062541672209</v>
      </c>
      <c r="AL74" s="656">
        <f>I95*AF!H4*ACT2FLO!H50/1000</f>
        <v>0.78354241457916107</v>
      </c>
      <c r="AM74" s="656">
        <f>J95*AF!I4*ACT2FLO!I50/1000</f>
        <v>0.66877309625535331</v>
      </c>
      <c r="AN74" s="656">
        <f>K95*AF!J4*ACT2FLO!J50/1000</f>
        <v>0.32273590284478854</v>
      </c>
      <c r="AO74" s="656">
        <f>L95*AF!K4*ACT2FLO!K50/1000</f>
        <v>1.0176765615992887</v>
      </c>
      <c r="AP74" s="656">
        <f>M95*AF!L4*ACT2FLO!L50/1000</f>
        <v>1.5400802836703673</v>
      </c>
      <c r="AQ74" s="656">
        <f>N95*AF!M4*ACT2FLO!M50/1000</f>
        <v>0.61558519613638729</v>
      </c>
      <c r="AR74" s="656">
        <f>O95*AF!N4*ACT2FLO!N50/1000</f>
        <v>0.70093377279700231</v>
      </c>
      <c r="AS74" s="656">
        <f>P95*AF!O4*ACT2FLO!O50/1000</f>
        <v>1.1822147834934413</v>
      </c>
      <c r="AT74" s="656">
        <f>Q95*AF!P4*ACT2FLO!P50/1000</f>
        <v>1.1245971903865388</v>
      </c>
      <c r="AU74" s="656">
        <f>R95*AF!Q4*ACT2FLO!Q50/1000</f>
        <v>0.93818686586032929</v>
      </c>
      <c r="AV74" s="656">
        <f>S95*AF!R4*ACT2FLO!R50/1000</f>
        <v>4.2865215204546931</v>
      </c>
      <c r="AW74" s="656">
        <f>T95*AF!S4*ACT2FLO!S50/1000</f>
        <v>1.166304210640158</v>
      </c>
      <c r="AX74" s="656">
        <f>U95*AF!T4*ACT2FLO!T50/1000</f>
        <v>1.5389353541102058</v>
      </c>
      <c r="AY74" s="656">
        <f>V95*AF!U4*ACT2FLO!U50/1000</f>
        <v>1.2598410076724134</v>
      </c>
      <c r="AZ74" s="656">
        <f>W95*AF!V4*ACT2FLO!V50/1000</f>
        <v>0.9173333557335196</v>
      </c>
      <c r="BA74" s="656">
        <f>X95*AF!W4*ACT2FLO!W50/1000</f>
        <v>2.0376429823189008</v>
      </c>
      <c r="BB74" s="656">
        <f>Y95*AF!X4*ACT2FLO!X50/1000</f>
        <v>0.25302153672983152</v>
      </c>
      <c r="BC74" s="656">
        <f>Z95*AF!Y4*ACT2FLO!Y50/1000</f>
        <v>1.0304918766071689</v>
      </c>
      <c r="BD74" s="656">
        <f>AA95*AF!Z4*ACT2FLO!Z50/1000</f>
        <v>0.50964367952472356</v>
      </c>
      <c r="BE74" s="656">
        <f>AB95*AF!AA4*ACT2FLO!AA50/1000</f>
        <v>0.51746868086348474</v>
      </c>
      <c r="BF74" s="656">
        <f>AC95*AF!AB4*ACT2FLO!AB50/1000</f>
        <v>0.60149071844749857</v>
      </c>
      <c r="BG74" s="656">
        <f>AD95*AF!AC4*ACT2FLO!AC50/1000</f>
        <v>1.2569905278709066</v>
      </c>
      <c r="BH74" s="656">
        <f>AE95*AF!AD4*ACT2FLO!AD50/1000</f>
        <v>0.48470790331099228</v>
      </c>
      <c r="BK74" s="716" t="str">
        <f>BK66</f>
        <v>Technology</v>
      </c>
      <c r="BL74" s="716" t="str">
        <f t="shared" ref="BL74:CL74" si="97">BL66</f>
        <v>IE</v>
      </c>
      <c r="BM74" s="716" t="str">
        <f t="shared" si="97"/>
        <v>IE-CW</v>
      </c>
      <c r="BN74" s="716" t="str">
        <f t="shared" si="97"/>
        <v>IE-D</v>
      </c>
      <c r="BO74" s="716" t="str">
        <f t="shared" si="97"/>
        <v>IE-KE</v>
      </c>
      <c r="BP74" s="716" t="str">
        <f t="shared" si="97"/>
        <v>IE-KK</v>
      </c>
      <c r="BQ74" s="716" t="str">
        <f t="shared" si="97"/>
        <v>IE-LS</v>
      </c>
      <c r="BR74" s="716" t="str">
        <f t="shared" si="97"/>
        <v>IE-LD</v>
      </c>
      <c r="BS74" s="716" t="str">
        <f t="shared" si="97"/>
        <v>IE-LH</v>
      </c>
      <c r="BT74" s="716" t="str">
        <f t="shared" si="97"/>
        <v>IE-MH</v>
      </c>
      <c r="BU74" s="716" t="str">
        <f t="shared" si="97"/>
        <v>IE-OY</v>
      </c>
      <c r="BV74" s="716" t="str">
        <f t="shared" si="97"/>
        <v>IE-WH</v>
      </c>
      <c r="BW74" s="716" t="str">
        <f t="shared" si="97"/>
        <v>IE-WX</v>
      </c>
      <c r="BX74" s="716" t="str">
        <f t="shared" si="97"/>
        <v>IE-WW</v>
      </c>
      <c r="BY74" s="716" t="str">
        <f t="shared" si="97"/>
        <v>IE-CE</v>
      </c>
      <c r="BZ74" s="716" t="str">
        <f t="shared" si="97"/>
        <v>IE-CO</v>
      </c>
      <c r="CA74" s="716" t="str">
        <f t="shared" si="97"/>
        <v>IE-KY</v>
      </c>
      <c r="CB74" s="716" t="str">
        <f t="shared" si="97"/>
        <v>IE-LK</v>
      </c>
      <c r="CC74" s="716" t="str">
        <f t="shared" si="97"/>
        <v>IE-TA</v>
      </c>
      <c r="CD74" s="716" t="str">
        <f t="shared" si="97"/>
        <v>IE-WD</v>
      </c>
      <c r="CE74" s="716" t="str">
        <f t="shared" si="97"/>
        <v>IE-G</v>
      </c>
      <c r="CF74" s="716" t="str">
        <f t="shared" si="97"/>
        <v>IE-LM</v>
      </c>
      <c r="CG74" s="716" t="str">
        <f t="shared" si="97"/>
        <v>IE-MO</v>
      </c>
      <c r="CH74" s="716" t="str">
        <f t="shared" si="97"/>
        <v>IE-RN</v>
      </c>
      <c r="CI74" s="716" t="str">
        <f t="shared" si="97"/>
        <v>IE-SO</v>
      </c>
      <c r="CJ74" s="716" t="str">
        <f t="shared" si="97"/>
        <v>IE-CN</v>
      </c>
      <c r="CK74" s="716" t="str">
        <f t="shared" si="97"/>
        <v>IE-DL</v>
      </c>
      <c r="CL74" s="716" t="str">
        <f t="shared" si="97"/>
        <v>IE-MN</v>
      </c>
      <c r="CM74" s="714"/>
    </row>
    <row r="75" spans="1:92">
      <c r="A75" s="714" t="str">
        <f>Commodities!K35</f>
        <v>T-LGT-ICE_DST00</v>
      </c>
      <c r="B75" s="28" t="s">
        <v>869</v>
      </c>
      <c r="C75" s="714" t="str">
        <f>Commodities!B19</f>
        <v>TRADSB</v>
      </c>
      <c r="D75" t="str">
        <f>Commodities!B25</f>
        <v>TFGV</v>
      </c>
      <c r="E75" s="9">
        <f t="shared" si="70"/>
        <v>320.88299999999998</v>
      </c>
      <c r="F75" s="809">
        <f t="shared" si="71"/>
        <v>5.2619999999999996</v>
      </c>
      <c r="G75" s="809">
        <f t="shared" si="72"/>
        <v>67.396000000000001</v>
      </c>
      <c r="H75" s="809">
        <f t="shared" si="73"/>
        <v>14.377000000000001</v>
      </c>
      <c r="I75" s="809">
        <f t="shared" si="74"/>
        <v>7.2439999999999998</v>
      </c>
      <c r="J75" s="809">
        <f t="shared" si="75"/>
        <v>5.3410000000000002</v>
      </c>
      <c r="K75" s="809">
        <f t="shared" si="76"/>
        <v>3.5209999999999999</v>
      </c>
      <c r="L75" s="809">
        <f t="shared" si="77"/>
        <v>7.1390000000000002</v>
      </c>
      <c r="M75" s="809">
        <f t="shared" si="78"/>
        <v>12.86</v>
      </c>
      <c r="N75" s="809">
        <f t="shared" si="79"/>
        <v>6.0270000000000001</v>
      </c>
      <c r="O75" s="809">
        <f t="shared" si="80"/>
        <v>7.5810000000000004</v>
      </c>
      <c r="P75" s="809">
        <f t="shared" si="81"/>
        <v>12.180999999999999</v>
      </c>
      <c r="Q75" s="809">
        <f t="shared" si="82"/>
        <v>8.7870000000000008</v>
      </c>
      <c r="R75" s="809">
        <f t="shared" si="83"/>
        <v>8.8019999999999996</v>
      </c>
      <c r="S75" s="809">
        <f t="shared" si="84"/>
        <v>37.667000000000002</v>
      </c>
      <c r="T75" s="809">
        <f t="shared" si="85"/>
        <v>11.12</v>
      </c>
      <c r="U75" s="809">
        <f t="shared" si="86"/>
        <v>11.993</v>
      </c>
      <c r="V75" s="809">
        <f t="shared" si="87"/>
        <v>12.476000000000001</v>
      </c>
      <c r="W75" s="809">
        <f t="shared" si="88"/>
        <v>7.5670000000000002</v>
      </c>
      <c r="X75" s="809">
        <f t="shared" si="89"/>
        <v>18.739999999999998</v>
      </c>
      <c r="Y75" s="809">
        <f t="shared" si="90"/>
        <v>3.1930000000000001</v>
      </c>
      <c r="Z75" s="809">
        <f t="shared" si="91"/>
        <v>12.510999999999999</v>
      </c>
      <c r="AA75" s="809">
        <f t="shared" si="92"/>
        <v>5.8959999999999999</v>
      </c>
      <c r="AB75" s="809">
        <f t="shared" si="93"/>
        <v>5.6</v>
      </c>
      <c r="AC75" s="809">
        <f t="shared" si="94"/>
        <v>7.37</v>
      </c>
      <c r="AD75" s="809">
        <f t="shared" si="95"/>
        <v>13.568</v>
      </c>
      <c r="AE75" s="809">
        <f t="shared" si="96"/>
        <v>6.6639999999999997</v>
      </c>
      <c r="AF75" s="451"/>
      <c r="AG75" s="776" t="str">
        <f>A96</f>
        <v>T-CYC_CYC</v>
      </c>
      <c r="AH75" s="777">
        <f>E96*AF!D5*ACT2FLO!D51/1000</f>
        <v>16</v>
      </c>
      <c r="AI75" s="777">
        <f>F96*AF!E5*ACT2FLO!E51/1000</f>
        <v>0.19129311729752929</v>
      </c>
      <c r="AJ75" s="777">
        <f>G96*AF!F5*ACT2FLO!F51/1000</f>
        <v>4.5271640418197538</v>
      </c>
      <c r="AK75" s="777">
        <f>H96*AF!G5*ACT2FLO!G51/1000</f>
        <v>0.7476196826243493</v>
      </c>
      <c r="AL75" s="777">
        <f>I96*AF!H5*ACT2FLO!H51/1000</f>
        <v>0.3334223040762388</v>
      </c>
      <c r="AM75" s="777">
        <f>J96*AF!I5*ACT2FLO!I51/1000</f>
        <v>0.28458429627887372</v>
      </c>
      <c r="AN75" s="777">
        <f>K96*AF!J5*ACT2FLO!J51/1000</f>
        <v>0.13733442674246321</v>
      </c>
      <c r="AO75" s="777">
        <f>L96*AF!K5*ACT2FLO!K51/1000</f>
        <v>0.43305385599969731</v>
      </c>
      <c r="AP75" s="777">
        <f>M96*AF!L5*ACT2FLO!L51/1000</f>
        <v>0.65535331220015636</v>
      </c>
      <c r="AQ75" s="777">
        <f>N96*AF!M5*ACT2FLO!M51/1000</f>
        <v>0.26195114729207969</v>
      </c>
      <c r="AR75" s="777">
        <f>O96*AF!N5*ACT2FLO!N51/1000</f>
        <v>0.29826969055191588</v>
      </c>
      <c r="AS75" s="777">
        <f>P96*AF!O5*ACT2FLO!O51/1000</f>
        <v>0.50307012063550693</v>
      </c>
      <c r="AT75" s="777">
        <f>Q96*AF!P5*ACT2FLO!P51/1000</f>
        <v>0.47855199590916547</v>
      </c>
      <c r="AU75" s="777">
        <f>R96*AF!Q5*ACT2FLO!Q51/1000</f>
        <v>0.3992284535575869</v>
      </c>
      <c r="AV75" s="777">
        <f>S96*AF!R5*ACT2FLO!R51/1000</f>
        <v>1.8240517108317842</v>
      </c>
      <c r="AW75" s="777">
        <f>T96*AF!S5*ACT2FLO!S51/1000</f>
        <v>0.49629966410219495</v>
      </c>
      <c r="AX75" s="777">
        <f>U96*AF!T5*ACT2FLO!T51/1000</f>
        <v>0.65486610813200241</v>
      </c>
      <c r="AY75" s="777">
        <f>V96*AF!U5*ACT2FLO!U51/1000</f>
        <v>0.53610255645634608</v>
      </c>
      <c r="AZ75" s="777">
        <f>W96*AF!V5*ACT2FLO!V51/1000</f>
        <v>0.39035461946107219</v>
      </c>
      <c r="BA75" s="777">
        <f>X96*AF!W5*ACT2FLO!W51/1000</f>
        <v>0.86708212013570252</v>
      </c>
      <c r="BB75" s="777">
        <f>Y96*AF!X5*ACT2FLO!X51/1000</f>
        <v>0.10766873903397085</v>
      </c>
      <c r="BC75" s="777">
        <f>Z96*AF!Y5*ACT2FLO!Y51/1000</f>
        <v>0.43850718153496554</v>
      </c>
      <c r="BD75" s="777">
        <f>AA96*AF!Z5*ACT2FLO!Z51/1000</f>
        <v>0.21686965086158452</v>
      </c>
      <c r="BE75" s="777">
        <f>AB96*AF!AA5*ACT2FLO!AA51/1000</f>
        <v>0.22019943866531269</v>
      </c>
      <c r="BF75" s="777">
        <f>AC96*AF!AB5*ACT2FLO!AB51/1000</f>
        <v>0.25595349721170152</v>
      </c>
      <c r="BG75" s="777">
        <f>AD96*AF!AC5*ACT2FLO!AC51/1000</f>
        <v>0.5348895863280454</v>
      </c>
      <c r="BH75" s="777">
        <f>AE96*AF!AD5*ACT2FLO!AD51/1000</f>
        <v>0.20625868225999672</v>
      </c>
      <c r="BK75" s="785" t="s">
        <v>1107</v>
      </c>
      <c r="BL75" s="786">
        <f>Demands!C7</f>
        <v>11.625551</v>
      </c>
      <c r="BM75" s="786">
        <f>Demands!D7</f>
        <v>0.17794099599204954</v>
      </c>
      <c r="BN75" s="786">
        <f>Demands!E7</f>
        <v>2.6576907930321347</v>
      </c>
      <c r="BO75" s="786">
        <f>Demands!F7</f>
        <v>0.48228404218784626</v>
      </c>
      <c r="BP75" s="786">
        <f>Demands!G7</f>
        <v>0.31014966827589163</v>
      </c>
      <c r="BQ75" s="786">
        <f>Demands!H7</f>
        <v>0.22090468018989404</v>
      </c>
      <c r="BR75" s="786">
        <f>Demands!I7</f>
        <v>0.10660397645018758</v>
      </c>
      <c r="BS75" s="786">
        <f>Demands!J7</f>
        <v>0.27935990585939297</v>
      </c>
      <c r="BT75" s="786">
        <f>Demands!K7</f>
        <v>0.43225128206324637</v>
      </c>
      <c r="BU75" s="786">
        <f>Demands!L7</f>
        <v>0.20333600685129727</v>
      </c>
      <c r="BV75" s="786">
        <f>Demands!M7</f>
        <v>0.23152778091853185</v>
      </c>
      <c r="BW75" s="786">
        <f>Demands!N7</f>
        <v>0.46795618987426485</v>
      </c>
      <c r="BX75" s="786">
        <f>Demands!O7</f>
        <v>0.30871042636808321</v>
      </c>
      <c r="BY75" s="786">
        <f>Demands!P7</f>
        <v>0.30378726686741447</v>
      </c>
      <c r="BZ75" s="786">
        <f>Demands!Q7</f>
        <v>1.625427705266085</v>
      </c>
      <c r="CA75" s="786">
        <f>Demands!R7</f>
        <v>0.44225677339931185</v>
      </c>
      <c r="CB75" s="786">
        <f>Demands!S7</f>
        <v>0.49831113834882401</v>
      </c>
      <c r="CC75" s="786">
        <f>Demands!T7</f>
        <v>0.40793968700183131</v>
      </c>
      <c r="CD75" s="786">
        <f>Demands!U7</f>
        <v>0.37892082777350039</v>
      </c>
      <c r="CE75" s="786">
        <f>Demands!V7</f>
        <v>0.60506096800451603</v>
      </c>
      <c r="CF75" s="786">
        <f>Demands!W7</f>
        <v>8.0693470189707711E-2</v>
      </c>
      <c r="CG75" s="786">
        <f>Demands!X7</f>
        <v>0.34078379979033369</v>
      </c>
      <c r="CH75" s="786">
        <f>Demands!Y7</f>
        <v>0.1513344097795204</v>
      </c>
      <c r="CI75" s="786">
        <f>Demands!Z7</f>
        <v>0.16503078794415471</v>
      </c>
      <c r="CJ75" s="786">
        <f>Demands!AA7</f>
        <v>0.19182704360164693</v>
      </c>
      <c r="CK75" s="786">
        <f>Demands!AB7</f>
        <v>0.40087863270627727</v>
      </c>
      <c r="CL75" s="786">
        <f>Demands!AC7</f>
        <v>0.15458274126405555</v>
      </c>
      <c r="CM75" s="714"/>
    </row>
    <row r="76" spans="1:92" s="459" customFormat="1">
      <c r="A76" s="714" t="str">
        <f>Commodities!K36</f>
        <v>T-MGT-ICE_DST00</v>
      </c>
      <c r="B76" s="28" t="s">
        <v>869</v>
      </c>
      <c r="C76" s="714" t="str">
        <f>Commodities!B19</f>
        <v>TRADSB</v>
      </c>
      <c r="D76" s="459" t="str">
        <f>Commodities!B25</f>
        <v>TFGV</v>
      </c>
      <c r="E76" s="398">
        <f t="shared" si="70"/>
        <v>11.035</v>
      </c>
      <c r="F76" s="809">
        <f t="shared" si="71"/>
        <v>0.14699999999999999</v>
      </c>
      <c r="G76" s="809">
        <f t="shared" si="72"/>
        <v>2.9660000000000002</v>
      </c>
      <c r="H76" s="809">
        <f t="shared" si="73"/>
        <v>0.55300000000000005</v>
      </c>
      <c r="I76" s="809">
        <f t="shared" si="74"/>
        <v>0.249</v>
      </c>
      <c r="J76" s="809">
        <f t="shared" si="75"/>
        <v>0.217</v>
      </c>
      <c r="K76" s="809">
        <f t="shared" si="76"/>
        <v>0.13400000000000001</v>
      </c>
      <c r="L76" s="809">
        <f t="shared" si="77"/>
        <v>0.372</v>
      </c>
      <c r="M76" s="809">
        <f t="shared" si="78"/>
        <v>0.47899999999999998</v>
      </c>
      <c r="N76" s="809">
        <f t="shared" si="79"/>
        <v>0.16600000000000001</v>
      </c>
      <c r="O76" s="809">
        <f t="shared" si="80"/>
        <v>0.19800000000000001</v>
      </c>
      <c r="P76" s="809">
        <f t="shared" si="81"/>
        <v>0.38900000000000001</v>
      </c>
      <c r="Q76" s="809">
        <f t="shared" si="82"/>
        <v>0.20699999999999999</v>
      </c>
      <c r="R76" s="809">
        <f t="shared" si="83"/>
        <v>0.22</v>
      </c>
      <c r="S76" s="809">
        <f t="shared" si="84"/>
        <v>1.167</v>
      </c>
      <c r="T76" s="809">
        <f t="shared" si="85"/>
        <v>0.26200000000000001</v>
      </c>
      <c r="U76" s="809">
        <f t="shared" si="86"/>
        <v>0.7</v>
      </c>
      <c r="V76" s="809">
        <f t="shared" si="87"/>
        <v>0.40899999999999997</v>
      </c>
      <c r="W76" s="809">
        <f t="shared" si="88"/>
        <v>0.20699999999999999</v>
      </c>
      <c r="X76" s="809">
        <f t="shared" si="89"/>
        <v>0.54700000000000004</v>
      </c>
      <c r="Y76" s="809">
        <f t="shared" si="90"/>
        <v>7.3999999999999996E-2</v>
      </c>
      <c r="Z76" s="809">
        <f t="shared" si="91"/>
        <v>0.26100000000000001</v>
      </c>
      <c r="AA76" s="809">
        <f t="shared" si="92"/>
        <v>0.14799999999999999</v>
      </c>
      <c r="AB76" s="809">
        <f t="shared" si="93"/>
        <v>0.20499999999999999</v>
      </c>
      <c r="AC76" s="809">
        <f t="shared" si="94"/>
        <v>0.184</v>
      </c>
      <c r="AD76" s="809">
        <f t="shared" si="95"/>
        <v>0.318</v>
      </c>
      <c r="AE76" s="809">
        <f t="shared" si="96"/>
        <v>0.25600000000000001</v>
      </c>
      <c r="AF76" s="451"/>
      <c r="AG76" s="101"/>
      <c r="BK76" s="1" t="s">
        <v>366</v>
      </c>
      <c r="BL76" s="787" t="e">
        <f>Demands!#REF!</f>
        <v>#REF!</v>
      </c>
      <c r="BM76" s="787" t="e">
        <f>Demands!#REF!</f>
        <v>#REF!</v>
      </c>
      <c r="BN76" s="787" t="e">
        <f>Demands!#REF!</f>
        <v>#REF!</v>
      </c>
      <c r="BO76" s="787" t="e">
        <f>Demands!#REF!</f>
        <v>#REF!</v>
      </c>
      <c r="BP76" s="787" t="e">
        <f>Demands!#REF!</f>
        <v>#REF!</v>
      </c>
      <c r="BQ76" s="787" t="e">
        <f>Demands!#REF!</f>
        <v>#REF!</v>
      </c>
      <c r="BR76" s="787" t="e">
        <f>Demands!#REF!</f>
        <v>#REF!</v>
      </c>
      <c r="BS76" s="787" t="e">
        <f>Demands!#REF!</f>
        <v>#REF!</v>
      </c>
      <c r="BT76" s="787" t="e">
        <f>Demands!#REF!</f>
        <v>#REF!</v>
      </c>
      <c r="BU76" s="787" t="e">
        <f>Demands!#REF!</f>
        <v>#REF!</v>
      </c>
      <c r="BV76" s="787" t="e">
        <f>Demands!#REF!</f>
        <v>#REF!</v>
      </c>
      <c r="BW76" s="787" t="e">
        <f>Demands!#REF!</f>
        <v>#REF!</v>
      </c>
      <c r="BX76" s="787" t="e">
        <f>Demands!#REF!</f>
        <v>#REF!</v>
      </c>
      <c r="BY76" s="787" t="e">
        <f>Demands!#REF!</f>
        <v>#REF!</v>
      </c>
      <c r="BZ76" s="787" t="e">
        <f>Demands!#REF!</f>
        <v>#REF!</v>
      </c>
      <c r="CA76" s="787" t="e">
        <f>Demands!#REF!</f>
        <v>#REF!</v>
      </c>
      <c r="CB76" s="787" t="e">
        <f>Demands!#REF!</f>
        <v>#REF!</v>
      </c>
      <c r="CC76" s="787" t="e">
        <f>Demands!#REF!</f>
        <v>#REF!</v>
      </c>
      <c r="CD76" s="787" t="e">
        <f>Demands!#REF!</f>
        <v>#REF!</v>
      </c>
      <c r="CE76" s="787" t="e">
        <f>Demands!#REF!</f>
        <v>#REF!</v>
      </c>
      <c r="CF76" s="787" t="e">
        <f>Demands!#REF!</f>
        <v>#REF!</v>
      </c>
      <c r="CG76" s="787" t="e">
        <f>Demands!#REF!</f>
        <v>#REF!</v>
      </c>
      <c r="CH76" s="787" t="e">
        <f>Demands!#REF!</f>
        <v>#REF!</v>
      </c>
      <c r="CI76" s="787" t="e">
        <f>Demands!#REF!</f>
        <v>#REF!</v>
      </c>
      <c r="CJ76" s="787" t="e">
        <f>Demands!#REF!</f>
        <v>#REF!</v>
      </c>
      <c r="CK76" s="787" t="e">
        <f>Demands!#REF!</f>
        <v>#REF!</v>
      </c>
      <c r="CL76" s="787" t="e">
        <f>Demands!#REF!</f>
        <v>#REF!</v>
      </c>
      <c r="CM76" s="714"/>
    </row>
    <row r="77" spans="1:92" s="459" customFormat="1">
      <c r="A77" s="459" t="str">
        <f>Commodities!K37</f>
        <v>T-HGT-ICE_DST00</v>
      </c>
      <c r="B77" s="28" t="s">
        <v>869</v>
      </c>
      <c r="C77" s="714" t="str">
        <f>Commodities!B19</f>
        <v>TRADSB</v>
      </c>
      <c r="D77" s="459" t="str">
        <f>Commodities!B25</f>
        <v>TFGV</v>
      </c>
      <c r="E77" s="9">
        <f>SUM(F77:AE77)</f>
        <v>21.648000000000003</v>
      </c>
      <c r="F77" s="809">
        <f t="shared" si="71"/>
        <v>0.39</v>
      </c>
      <c r="G77" s="809">
        <f t="shared" si="72"/>
        <v>3.883</v>
      </c>
      <c r="H77" s="809">
        <f t="shared" si="73"/>
        <v>1.1120000000000001</v>
      </c>
      <c r="I77" s="809">
        <f t="shared" si="74"/>
        <v>0.71299999999999997</v>
      </c>
      <c r="J77" s="809">
        <f t="shared" si="75"/>
        <v>0.45500000000000002</v>
      </c>
      <c r="K77" s="809">
        <f t="shared" si="76"/>
        <v>0.27600000000000002</v>
      </c>
      <c r="L77" s="809">
        <f t="shared" si="77"/>
        <v>0.61699999999999999</v>
      </c>
      <c r="M77" s="809">
        <f t="shared" si="78"/>
        <v>1.4239999999999999</v>
      </c>
      <c r="N77" s="809">
        <f t="shared" si="79"/>
        <v>0.32300000000000001</v>
      </c>
      <c r="O77" s="809">
        <f t="shared" si="80"/>
        <v>0.316</v>
      </c>
      <c r="P77" s="809">
        <f t="shared" si="81"/>
        <v>1.39</v>
      </c>
      <c r="Q77" s="809">
        <f t="shared" si="82"/>
        <v>0.39600000000000002</v>
      </c>
      <c r="R77" s="809">
        <f t="shared" si="83"/>
        <v>0.39700000000000002</v>
      </c>
      <c r="S77" s="809">
        <f t="shared" si="84"/>
        <v>2.5579999999999998</v>
      </c>
      <c r="T77" s="809">
        <f t="shared" si="85"/>
        <v>0.51600000000000001</v>
      </c>
      <c r="U77" s="809">
        <f t="shared" si="86"/>
        <v>0.94099999999999995</v>
      </c>
      <c r="V77" s="809">
        <f t="shared" si="87"/>
        <v>1.05</v>
      </c>
      <c r="W77" s="809">
        <f t="shared" si="88"/>
        <v>0.35799999999999998</v>
      </c>
      <c r="X77" s="809">
        <f t="shared" si="89"/>
        <v>1.026</v>
      </c>
      <c r="Y77" s="809">
        <f t="shared" si="90"/>
        <v>0.13500000000000001</v>
      </c>
      <c r="Z77" s="809">
        <f t="shared" si="91"/>
        <v>0.56999999999999995</v>
      </c>
      <c r="AA77" s="809">
        <f t="shared" si="92"/>
        <v>0.32600000000000001</v>
      </c>
      <c r="AB77" s="809">
        <f t="shared" si="93"/>
        <v>0.23200000000000001</v>
      </c>
      <c r="AC77" s="809">
        <f t="shared" si="94"/>
        <v>0.48799999999999999</v>
      </c>
      <c r="AD77" s="809">
        <f t="shared" si="95"/>
        <v>0.72</v>
      </c>
      <c r="AE77" s="809">
        <f t="shared" si="96"/>
        <v>1.036</v>
      </c>
      <c r="AF77" s="451"/>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K77" s="136" t="s">
        <v>1</v>
      </c>
      <c r="BL77" s="788" t="e">
        <f>SUM(BL75:BL76)</f>
        <v>#REF!</v>
      </c>
      <c r="BM77" s="788" t="e">
        <f t="shared" ref="BM77:CL77" si="98">SUM(BM75:BM76)</f>
        <v>#REF!</v>
      </c>
      <c r="BN77" s="788" t="e">
        <f t="shared" si="98"/>
        <v>#REF!</v>
      </c>
      <c r="BO77" s="788" t="e">
        <f t="shared" si="98"/>
        <v>#REF!</v>
      </c>
      <c r="BP77" s="788" t="e">
        <f t="shared" si="98"/>
        <v>#REF!</v>
      </c>
      <c r="BQ77" s="788" t="e">
        <f t="shared" si="98"/>
        <v>#REF!</v>
      </c>
      <c r="BR77" s="788" t="e">
        <f t="shared" si="98"/>
        <v>#REF!</v>
      </c>
      <c r="BS77" s="788" t="e">
        <f t="shared" si="98"/>
        <v>#REF!</v>
      </c>
      <c r="BT77" s="788" t="e">
        <f t="shared" si="98"/>
        <v>#REF!</v>
      </c>
      <c r="BU77" s="788" t="e">
        <f t="shared" si="98"/>
        <v>#REF!</v>
      </c>
      <c r="BV77" s="788" t="e">
        <f t="shared" si="98"/>
        <v>#REF!</v>
      </c>
      <c r="BW77" s="788" t="e">
        <f t="shared" si="98"/>
        <v>#REF!</v>
      </c>
      <c r="BX77" s="788" t="e">
        <f t="shared" si="98"/>
        <v>#REF!</v>
      </c>
      <c r="BY77" s="788" t="e">
        <f t="shared" si="98"/>
        <v>#REF!</v>
      </c>
      <c r="BZ77" s="788" t="e">
        <f t="shared" si="98"/>
        <v>#REF!</v>
      </c>
      <c r="CA77" s="788" t="e">
        <f t="shared" si="98"/>
        <v>#REF!</v>
      </c>
      <c r="CB77" s="788" t="e">
        <f t="shared" si="98"/>
        <v>#REF!</v>
      </c>
      <c r="CC77" s="788" t="e">
        <f t="shared" si="98"/>
        <v>#REF!</v>
      </c>
      <c r="CD77" s="788" t="e">
        <f t="shared" si="98"/>
        <v>#REF!</v>
      </c>
      <c r="CE77" s="788" t="e">
        <f t="shared" si="98"/>
        <v>#REF!</v>
      </c>
      <c r="CF77" s="788" t="e">
        <f t="shared" si="98"/>
        <v>#REF!</v>
      </c>
      <c r="CG77" s="788" t="e">
        <f t="shared" si="98"/>
        <v>#REF!</v>
      </c>
      <c r="CH77" s="788" t="e">
        <f t="shared" si="98"/>
        <v>#REF!</v>
      </c>
      <c r="CI77" s="788" t="e">
        <f t="shared" si="98"/>
        <v>#REF!</v>
      </c>
      <c r="CJ77" s="788" t="e">
        <f t="shared" si="98"/>
        <v>#REF!</v>
      </c>
      <c r="CK77" s="788" t="e">
        <f t="shared" si="98"/>
        <v>#REF!</v>
      </c>
      <c r="CL77" s="788" t="e">
        <f t="shared" si="98"/>
        <v>#REF!</v>
      </c>
      <c r="CM77" s="714"/>
    </row>
    <row r="78" spans="1:92" s="459" customFormat="1" ht="15.6">
      <c r="A78" s="459" t="str">
        <f>Commodities!K38</f>
        <v>T-GTR-ICE_DST00</v>
      </c>
      <c r="B78" s="28" t="s">
        <v>869</v>
      </c>
      <c r="C78" s="714" t="str">
        <f>Commodities!B19</f>
        <v>TRADSB</v>
      </c>
      <c r="D78" s="459" t="str">
        <f>Commodities!B25</f>
        <v>TFGV</v>
      </c>
      <c r="E78" s="517">
        <f t="shared" ref="E78:AE78" si="99">C193/1000</f>
        <v>1.4E-2</v>
      </c>
      <c r="F78" s="517">
        <f t="shared" si="99"/>
        <v>0</v>
      </c>
      <c r="G78" s="517">
        <f t="shared" si="99"/>
        <v>1.4E-2</v>
      </c>
      <c r="H78" s="517">
        <f t="shared" si="99"/>
        <v>0</v>
      </c>
      <c r="I78" s="517">
        <f t="shared" si="99"/>
        <v>0</v>
      </c>
      <c r="J78" s="517">
        <f t="shared" si="99"/>
        <v>0</v>
      </c>
      <c r="K78" s="517">
        <f t="shared" si="99"/>
        <v>0</v>
      </c>
      <c r="L78" s="517">
        <f t="shared" si="99"/>
        <v>0</v>
      </c>
      <c r="M78" s="517">
        <f t="shared" si="99"/>
        <v>1.4E-2</v>
      </c>
      <c r="N78" s="517">
        <f t="shared" si="99"/>
        <v>0</v>
      </c>
      <c r="O78" s="517">
        <f t="shared" si="99"/>
        <v>0</v>
      </c>
      <c r="P78" s="517">
        <f t="shared" si="99"/>
        <v>0</v>
      </c>
      <c r="Q78" s="517">
        <f t="shared" si="99"/>
        <v>0</v>
      </c>
      <c r="R78" s="517">
        <f t="shared" si="99"/>
        <v>0</v>
      </c>
      <c r="S78" s="517">
        <f t="shared" si="99"/>
        <v>0</v>
      </c>
      <c r="T78" s="517">
        <f t="shared" si="99"/>
        <v>0</v>
      </c>
      <c r="U78" s="517">
        <f t="shared" si="99"/>
        <v>0</v>
      </c>
      <c r="V78" s="517">
        <f t="shared" si="99"/>
        <v>0</v>
      </c>
      <c r="W78" s="517">
        <f t="shared" si="99"/>
        <v>1.4E-2</v>
      </c>
      <c r="X78" s="517">
        <f t="shared" si="99"/>
        <v>0</v>
      </c>
      <c r="Y78" s="517">
        <f t="shared" si="99"/>
        <v>0</v>
      </c>
      <c r="Z78" s="517">
        <f t="shared" si="99"/>
        <v>1.4E-2</v>
      </c>
      <c r="AA78" s="517">
        <f t="shared" si="99"/>
        <v>0</v>
      </c>
      <c r="AB78" s="517">
        <f t="shared" si="99"/>
        <v>0</v>
      </c>
      <c r="AC78" s="517">
        <f t="shared" si="99"/>
        <v>0</v>
      </c>
      <c r="AD78" s="517">
        <f t="shared" si="99"/>
        <v>0</v>
      </c>
      <c r="AE78" s="517">
        <f t="shared" si="99"/>
        <v>0</v>
      </c>
      <c r="AF78" s="451"/>
      <c r="AG78" s="714" t="s">
        <v>1099</v>
      </c>
      <c r="AH78" s="401"/>
      <c r="AI78" s="40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714"/>
      <c r="BJ78" s="714"/>
      <c r="BL78" s="714"/>
      <c r="BM78" s="714"/>
      <c r="BN78" s="714"/>
      <c r="BO78" s="714"/>
      <c r="BP78" s="714"/>
      <c r="BQ78" s="714"/>
      <c r="BR78" s="714"/>
      <c r="BS78" s="714"/>
      <c r="BT78" s="714"/>
      <c r="BU78" s="714"/>
      <c r="BV78" s="714"/>
      <c r="BW78" s="714"/>
      <c r="BX78" s="714"/>
      <c r="BY78" s="714"/>
      <c r="BZ78" s="714"/>
      <c r="CA78" s="714"/>
      <c r="CB78" s="714"/>
      <c r="CC78" s="714"/>
      <c r="CD78" s="714"/>
      <c r="CE78" s="714"/>
      <c r="CF78" s="714"/>
      <c r="CG78" s="714"/>
      <c r="CH78" s="714"/>
      <c r="CI78" s="714"/>
      <c r="CJ78" s="714"/>
      <c r="CK78" s="714"/>
      <c r="CL78" s="714"/>
      <c r="CM78" s="714"/>
    </row>
    <row r="79" spans="1:92" s="459" customFormat="1" ht="15.6">
      <c r="A79" s="455" t="s">
        <v>749</v>
      </c>
      <c r="B79" s="455"/>
      <c r="C79" s="454"/>
      <c r="D79" s="454"/>
      <c r="E79" s="454"/>
      <c r="F79" s="454"/>
      <c r="G79" s="454"/>
      <c r="H79" s="454"/>
      <c r="I79" s="454"/>
      <c r="J79" s="454"/>
      <c r="K79" s="454"/>
      <c r="L79" s="454"/>
      <c r="M79" s="454"/>
      <c r="N79" s="454"/>
      <c r="O79" s="454"/>
      <c r="P79" s="454"/>
      <c r="Q79" s="454"/>
      <c r="R79" s="454"/>
      <c r="S79" s="454"/>
      <c r="T79" s="454"/>
      <c r="U79" s="454"/>
      <c r="V79" s="454"/>
      <c r="W79" s="454"/>
      <c r="X79" s="454"/>
      <c r="Y79" s="454"/>
      <c r="Z79" s="454"/>
      <c r="AA79" s="454"/>
      <c r="AB79" s="454"/>
      <c r="AC79" s="454"/>
      <c r="AD79" s="454"/>
      <c r="AE79" s="454"/>
      <c r="AF79" s="451"/>
      <c r="AG79" s="716" t="s">
        <v>359</v>
      </c>
      <c r="AH79" s="716" t="str">
        <f>AH50</f>
        <v>IE</v>
      </c>
      <c r="AI79" s="716" t="str">
        <f t="shared" ref="AI79:BH79" si="100">AI50</f>
        <v>IE-CW</v>
      </c>
      <c r="AJ79" s="716" t="str">
        <f t="shared" si="100"/>
        <v>IE-D</v>
      </c>
      <c r="AK79" s="716" t="str">
        <f t="shared" si="100"/>
        <v>IE-KE</v>
      </c>
      <c r="AL79" s="716" t="str">
        <f t="shared" si="100"/>
        <v>IE-KK</v>
      </c>
      <c r="AM79" s="716" t="str">
        <f t="shared" si="100"/>
        <v>IE-LS</v>
      </c>
      <c r="AN79" s="716" t="str">
        <f t="shared" si="100"/>
        <v>IE-LD</v>
      </c>
      <c r="AO79" s="716" t="str">
        <f t="shared" si="100"/>
        <v>IE-LH</v>
      </c>
      <c r="AP79" s="716" t="str">
        <f t="shared" si="100"/>
        <v>IE-MH</v>
      </c>
      <c r="AQ79" s="716" t="str">
        <f t="shared" si="100"/>
        <v>IE-OY</v>
      </c>
      <c r="AR79" s="716" t="str">
        <f t="shared" si="100"/>
        <v>IE-WH</v>
      </c>
      <c r="AS79" s="716" t="str">
        <f t="shared" si="100"/>
        <v>IE-WX</v>
      </c>
      <c r="AT79" s="716" t="str">
        <f t="shared" si="100"/>
        <v>IE-WW</v>
      </c>
      <c r="AU79" s="716" t="str">
        <f t="shared" si="100"/>
        <v>IE-CE</v>
      </c>
      <c r="AV79" s="716" t="str">
        <f t="shared" si="100"/>
        <v>IE-CO</v>
      </c>
      <c r="AW79" s="716" t="str">
        <f t="shared" si="100"/>
        <v>IE-KY</v>
      </c>
      <c r="AX79" s="716" t="str">
        <f t="shared" si="100"/>
        <v>IE-LK</v>
      </c>
      <c r="AY79" s="716" t="str">
        <f t="shared" si="100"/>
        <v>IE-TA</v>
      </c>
      <c r="AZ79" s="716" t="str">
        <f t="shared" si="100"/>
        <v>IE-WD</v>
      </c>
      <c r="BA79" s="716" t="str">
        <f t="shared" si="100"/>
        <v>IE-G</v>
      </c>
      <c r="BB79" s="716" t="str">
        <f t="shared" si="100"/>
        <v>IE-LM</v>
      </c>
      <c r="BC79" s="716" t="str">
        <f t="shared" si="100"/>
        <v>IE-MO</v>
      </c>
      <c r="BD79" s="716" t="str">
        <f t="shared" si="100"/>
        <v>IE-RN</v>
      </c>
      <c r="BE79" s="716" t="str">
        <f t="shared" si="100"/>
        <v>IE-SO</v>
      </c>
      <c r="BF79" s="716" t="str">
        <f t="shared" si="100"/>
        <v>IE-CN</v>
      </c>
      <c r="BG79" s="716" t="str">
        <f t="shared" si="100"/>
        <v>IE-DL</v>
      </c>
      <c r="BH79" s="716" t="str">
        <f t="shared" si="100"/>
        <v>IE-MN</v>
      </c>
      <c r="BI79" s="714"/>
      <c r="BJ79" s="714"/>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row>
    <row r="80" spans="1:92" s="459" customFormat="1">
      <c r="A80" s="459" t="str">
        <f>Commodities!K40</f>
        <v>T-TUR_CON00</v>
      </c>
      <c r="B80" s="28" t="s">
        <v>871</v>
      </c>
      <c r="C80" s="714" t="str">
        <f>Commodities!B19</f>
        <v>TRADSB</v>
      </c>
      <c r="D80" s="459" t="str">
        <f>Commodities!B26</f>
        <v>TTURS</v>
      </c>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c r="AD80" s="653"/>
      <c r="AE80" s="653"/>
      <c r="AF80" s="451"/>
      <c r="AG80" s="714" t="s">
        <v>368</v>
      </c>
      <c r="AH80" s="656">
        <f>AH52</f>
        <v>0.1197193932</v>
      </c>
      <c r="AI80" s="656">
        <f>AI52</f>
        <v>1.6330940999999999E-3</v>
      </c>
      <c r="AJ80" s="656">
        <f t="shared" ref="AJ80:BH80" si="101">AJ52</f>
        <v>3.8829524800000001E-2</v>
      </c>
      <c r="AK80" s="656">
        <f t="shared" si="101"/>
        <v>6.505734400000001E-3</v>
      </c>
      <c r="AL80" s="656">
        <f t="shared" si="101"/>
        <v>2.5437984E-3</v>
      </c>
      <c r="AM80" s="656">
        <f t="shared" si="101"/>
        <v>1.5292530000000002E-3</v>
      </c>
      <c r="AN80" s="656">
        <f t="shared" si="101"/>
        <v>6.2534670000000006E-4</v>
      </c>
      <c r="AO80" s="656">
        <f t="shared" si="101"/>
        <v>2.5938989999999998E-3</v>
      </c>
      <c r="AP80" s="656">
        <f t="shared" si="101"/>
        <v>5.0422328000000001E-3</v>
      </c>
      <c r="AQ80" s="656">
        <f t="shared" si="101"/>
        <v>1.9545504000000003E-3</v>
      </c>
      <c r="AR80" s="656">
        <f t="shared" si="101"/>
        <v>1.7978663999999999E-3</v>
      </c>
      <c r="AS80" s="656">
        <f t="shared" si="101"/>
        <v>4.4015862000000008E-3</v>
      </c>
      <c r="AT80" s="656">
        <f t="shared" si="101"/>
        <v>4.6495680000000015E-3</v>
      </c>
      <c r="AU80" s="656">
        <f t="shared" si="101"/>
        <v>2.7707064000000005E-3</v>
      </c>
      <c r="AV80" s="656">
        <f t="shared" si="101"/>
        <v>1.6120473600000004E-2</v>
      </c>
      <c r="AW80" s="656">
        <f t="shared" si="101"/>
        <v>3.1307760000000005E-3</v>
      </c>
      <c r="AX80" s="656">
        <f t="shared" si="101"/>
        <v>4.4223300000000012E-3</v>
      </c>
      <c r="AY80" s="656">
        <f t="shared" si="101"/>
        <v>4.1843208000000003E-3</v>
      </c>
      <c r="AZ80" s="656">
        <f t="shared" si="101"/>
        <v>3.7662504000000002E-3</v>
      </c>
      <c r="BA80" s="656">
        <f t="shared" si="101"/>
        <v>4.3318637999999994E-3</v>
      </c>
      <c r="BB80" s="656">
        <f t="shared" si="101"/>
        <v>4.796E-4</v>
      </c>
      <c r="BC80" s="656">
        <f t="shared" si="101"/>
        <v>1.8088290000000003E-3</v>
      </c>
      <c r="BD80" s="656">
        <f t="shared" si="101"/>
        <v>8.8556050000000003E-4</v>
      </c>
      <c r="BE80" s="656">
        <f t="shared" si="101"/>
        <v>1.1651200000000002E-3</v>
      </c>
      <c r="BF80" s="656">
        <f t="shared" si="101"/>
        <v>1.3359808000000001E-3</v>
      </c>
      <c r="BG80" s="656">
        <f t="shared" si="101"/>
        <v>2.2612128000000006E-3</v>
      </c>
      <c r="BH80" s="656">
        <f t="shared" si="101"/>
        <v>9.2045800000000008E-4</v>
      </c>
      <c r="BI80" s="714"/>
      <c r="BJ80" s="714"/>
      <c r="BL80" s="714"/>
      <c r="BM80" s="714"/>
      <c r="BN80" s="714"/>
      <c r="BO80" s="714"/>
      <c r="BP80" s="714"/>
      <c r="BQ80" s="714"/>
      <c r="BR80" s="714"/>
      <c r="BS80" s="714"/>
      <c r="BT80" s="714"/>
      <c r="BU80" s="714"/>
      <c r="BV80" s="714"/>
      <c r="BW80" s="714"/>
      <c r="BX80" s="714"/>
      <c r="BY80" s="714"/>
      <c r="BZ80" s="714"/>
      <c r="CA80" s="714"/>
      <c r="CB80" s="714"/>
      <c r="CC80" s="714"/>
      <c r="CD80" s="714"/>
      <c r="CE80" s="714"/>
      <c r="CF80" s="714"/>
      <c r="CG80" s="714"/>
      <c r="CH80" s="714"/>
      <c r="CI80" s="714"/>
      <c r="CJ80" s="714"/>
      <c r="CK80" s="714"/>
      <c r="CL80" s="714"/>
    </row>
    <row r="81" spans="1:91" s="459" customFormat="1" ht="15.6">
      <c r="A81" s="459" t="str">
        <f>Commodities!K41</f>
        <v>T-NAV_CON00</v>
      </c>
      <c r="B81" s="28" t="s">
        <v>871</v>
      </c>
      <c r="C81" s="714" t="str">
        <f>Commodities!B19</f>
        <v>TRADSB</v>
      </c>
      <c r="D81" s="459" t="str">
        <f>Commodities!B27</f>
        <v>TNAV</v>
      </c>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51"/>
      <c r="AG81" s="714" t="s">
        <v>367</v>
      </c>
      <c r="AH81" s="656">
        <f>SUM(AH54:AH62)</f>
        <v>53.758747600038653</v>
      </c>
      <c r="AI81" s="656">
        <f t="shared" ref="AI81:BH81" si="102">SUM(AI54:AI62)</f>
        <v>0.78966407904147462</v>
      </c>
      <c r="AJ81" s="656">
        <f t="shared" si="102"/>
        <v>11.079564756060126</v>
      </c>
      <c r="AK81" s="656">
        <f t="shared" si="102"/>
        <v>2.6964779761585058</v>
      </c>
      <c r="AL81" s="656">
        <f t="shared" si="102"/>
        <v>1.2690988363284785</v>
      </c>
      <c r="AM81" s="656">
        <f t="shared" si="102"/>
        <v>1.0068606202341559</v>
      </c>
      <c r="AN81" s="656">
        <f t="shared" si="102"/>
        <v>0.52947645374390007</v>
      </c>
      <c r="AO81" s="656">
        <f t="shared" si="102"/>
        <v>1.3352294033040024</v>
      </c>
      <c r="AP81" s="656">
        <f t="shared" si="102"/>
        <v>2.3869119684108218</v>
      </c>
      <c r="AQ81" s="656">
        <f t="shared" si="102"/>
        <v>0.98093561302287224</v>
      </c>
      <c r="AR81" s="656">
        <f t="shared" si="102"/>
        <v>1.175222403819151</v>
      </c>
      <c r="AS81" s="656">
        <f t="shared" si="102"/>
        <v>2.0626315938238249</v>
      </c>
      <c r="AT81" s="656">
        <f t="shared" si="102"/>
        <v>1.7237353997585985</v>
      </c>
      <c r="AU81" s="656">
        <f t="shared" si="102"/>
        <v>1.5984164656182818</v>
      </c>
      <c r="AV81" s="656">
        <f t="shared" si="102"/>
        <v>6.4232698866175211</v>
      </c>
      <c r="AW81" s="656">
        <f t="shared" si="102"/>
        <v>1.9344771216245975</v>
      </c>
      <c r="AX81" s="656">
        <f t="shared" si="102"/>
        <v>2.3378489986886493</v>
      </c>
      <c r="AY81" s="656">
        <f t="shared" si="102"/>
        <v>2.2506745506428643</v>
      </c>
      <c r="AZ81" s="656">
        <f t="shared" si="102"/>
        <v>1.4711859036504289</v>
      </c>
      <c r="BA81" s="656">
        <f t="shared" si="102"/>
        <v>3.4157125375195854</v>
      </c>
      <c r="BB81" s="656">
        <f t="shared" si="102"/>
        <v>0.43240953811041527</v>
      </c>
      <c r="BC81" s="656">
        <f t="shared" si="102"/>
        <v>1.7032425856842379</v>
      </c>
      <c r="BD81" s="656">
        <f t="shared" si="102"/>
        <v>0.99024429529398805</v>
      </c>
      <c r="BE81" s="656">
        <f t="shared" si="102"/>
        <v>0.78418802822583822</v>
      </c>
      <c r="BF81" s="656">
        <f t="shared" si="102"/>
        <v>0.9154658907750638</v>
      </c>
      <c r="BG81" s="656">
        <f t="shared" si="102"/>
        <v>1.7427772833553983</v>
      </c>
      <c r="BH81" s="656">
        <f t="shared" si="102"/>
        <v>0.76583177166814842</v>
      </c>
      <c r="BI81" s="714"/>
      <c r="BJ81" s="714"/>
      <c r="BK81" s="714" t="s">
        <v>1108</v>
      </c>
      <c r="BL81" s="401"/>
      <c r="BM81" s="40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459" customFormat="1">
      <c r="A82" s="459" t="str">
        <f>Commodities!K42</f>
        <v>T-OTH_CON00</v>
      </c>
      <c r="B82" s="28" t="s">
        <v>871</v>
      </c>
      <c r="C82" s="459" t="str">
        <f>Commodities!B18&amp;","&amp;Commodities!B19&amp;","&amp;Commodities!B12</f>
        <v>TRAGSE,TRADSB,TRACNG</v>
      </c>
      <c r="D82" s="459" t="str">
        <f>Commodities!B28</f>
        <v>TOTH</v>
      </c>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4" t="s">
        <v>364</v>
      </c>
      <c r="AH82" s="656">
        <f t="shared" ref="AH82:BH82" si="103">SUM(AH64:AH66)</f>
        <v>1.2560687371407953</v>
      </c>
      <c r="AI82" s="656">
        <f t="shared" si="103"/>
        <v>8.6519167029038106E-3</v>
      </c>
      <c r="AJ82" s="656">
        <f t="shared" si="103"/>
        <v>0.64155712623289118</v>
      </c>
      <c r="AK82" s="656">
        <f t="shared" si="103"/>
        <v>5.2060708829763568E-2</v>
      </c>
      <c r="AL82" s="656">
        <f t="shared" si="103"/>
        <v>1.337629360534914E-2</v>
      </c>
      <c r="AM82" s="656">
        <f t="shared" si="103"/>
        <v>1.3999979786088411E-2</v>
      </c>
      <c r="AN82" s="656">
        <f t="shared" si="103"/>
        <v>5.8868284440788919E-3</v>
      </c>
      <c r="AO82" s="656">
        <f t="shared" si="103"/>
        <v>3.6544391764975877E-2</v>
      </c>
      <c r="AP82" s="656">
        <f t="shared" si="103"/>
        <v>6.333299165780075E-2</v>
      </c>
      <c r="AQ82" s="656">
        <f t="shared" si="103"/>
        <v>9.4047320049095353E-3</v>
      </c>
      <c r="AR82" s="656">
        <f t="shared" si="103"/>
        <v>1.7567036174527199E-2</v>
      </c>
      <c r="AS82" s="656">
        <f t="shared" si="103"/>
        <v>1.5509834274720994E-2</v>
      </c>
      <c r="AT82" s="656">
        <f t="shared" si="103"/>
        <v>2.0545174726743252E-2</v>
      </c>
      <c r="AU82" s="656">
        <f t="shared" si="103"/>
        <v>2.0828449526479477E-2</v>
      </c>
      <c r="AV82" s="656">
        <f t="shared" si="103"/>
        <v>0.10429714230065162</v>
      </c>
      <c r="AW82" s="656">
        <f t="shared" si="103"/>
        <v>2.7021552127919037E-2</v>
      </c>
      <c r="AX82" s="656">
        <f t="shared" si="103"/>
        <v>3.9025323445254577E-2</v>
      </c>
      <c r="AY82" s="656">
        <f t="shared" si="103"/>
        <v>1.5267985174916173E-2</v>
      </c>
      <c r="AZ82" s="656">
        <f t="shared" si="103"/>
        <v>1.7575606288714341E-2</v>
      </c>
      <c r="BA82" s="656">
        <f t="shared" si="103"/>
        <v>5.7645097586095456E-2</v>
      </c>
      <c r="BB82" s="656">
        <f t="shared" si="103"/>
        <v>4.1674567453412322E-3</v>
      </c>
      <c r="BC82" s="656">
        <f t="shared" si="103"/>
        <v>1.6589908876156006E-2</v>
      </c>
      <c r="BD82" s="656">
        <f t="shared" si="103"/>
        <v>7.6486165383991157E-3</v>
      </c>
      <c r="BE82" s="656">
        <f t="shared" si="103"/>
        <v>9.9008437403891314E-3</v>
      </c>
      <c r="BF82" s="656">
        <f t="shared" si="103"/>
        <v>1.0753641718562811E-2</v>
      </c>
      <c r="BG82" s="656">
        <f t="shared" si="103"/>
        <v>2.2082561304006636E-2</v>
      </c>
      <c r="BH82" s="656">
        <f t="shared" si="103"/>
        <v>4.8388917708456604E-3</v>
      </c>
      <c r="BI82" s="714"/>
      <c r="BJ82" s="714"/>
      <c r="BK82" s="716" t="str">
        <f>BK74</f>
        <v>Technology</v>
      </c>
      <c r="BL82" s="716" t="str">
        <f t="shared" ref="BL82:CL82" si="104">BL74</f>
        <v>IE</v>
      </c>
      <c r="BM82" s="716" t="str">
        <f t="shared" si="104"/>
        <v>IE-CW</v>
      </c>
      <c r="BN82" s="716" t="str">
        <f t="shared" si="104"/>
        <v>IE-D</v>
      </c>
      <c r="BO82" s="716" t="str">
        <f t="shared" si="104"/>
        <v>IE-KE</v>
      </c>
      <c r="BP82" s="716" t="str">
        <f t="shared" si="104"/>
        <v>IE-KK</v>
      </c>
      <c r="BQ82" s="716" t="str">
        <f t="shared" si="104"/>
        <v>IE-LS</v>
      </c>
      <c r="BR82" s="716" t="str">
        <f t="shared" si="104"/>
        <v>IE-LD</v>
      </c>
      <c r="BS82" s="716" t="str">
        <f t="shared" si="104"/>
        <v>IE-LH</v>
      </c>
      <c r="BT82" s="716" t="str">
        <f t="shared" si="104"/>
        <v>IE-MH</v>
      </c>
      <c r="BU82" s="716" t="str">
        <f t="shared" si="104"/>
        <v>IE-OY</v>
      </c>
      <c r="BV82" s="716" t="str">
        <f t="shared" si="104"/>
        <v>IE-WH</v>
      </c>
      <c r="BW82" s="716" t="str">
        <f t="shared" si="104"/>
        <v>IE-WX</v>
      </c>
      <c r="BX82" s="716" t="str">
        <f t="shared" si="104"/>
        <v>IE-WW</v>
      </c>
      <c r="BY82" s="716" t="str">
        <f t="shared" si="104"/>
        <v>IE-CE</v>
      </c>
      <c r="BZ82" s="716" t="str">
        <f t="shared" si="104"/>
        <v>IE-CO</v>
      </c>
      <c r="CA82" s="716" t="str">
        <f t="shared" si="104"/>
        <v>IE-KY</v>
      </c>
      <c r="CB82" s="716" t="str">
        <f t="shared" si="104"/>
        <v>IE-LK</v>
      </c>
      <c r="CC82" s="716" t="str">
        <f t="shared" si="104"/>
        <v>IE-TA</v>
      </c>
      <c r="CD82" s="716" t="str">
        <f t="shared" si="104"/>
        <v>IE-WD</v>
      </c>
      <c r="CE82" s="716" t="str">
        <f t="shared" si="104"/>
        <v>IE-G</v>
      </c>
      <c r="CF82" s="716" t="str">
        <f t="shared" si="104"/>
        <v>IE-LM</v>
      </c>
      <c r="CG82" s="716" t="str">
        <f t="shared" si="104"/>
        <v>IE-MO</v>
      </c>
      <c r="CH82" s="716" t="str">
        <f t="shared" si="104"/>
        <v>IE-RN</v>
      </c>
      <c r="CI82" s="716" t="str">
        <f t="shared" si="104"/>
        <v>IE-SO</v>
      </c>
      <c r="CJ82" s="716" t="str">
        <f t="shared" si="104"/>
        <v>IE-CN</v>
      </c>
      <c r="CK82" s="716" t="str">
        <f t="shared" si="104"/>
        <v>IE-DL</v>
      </c>
      <c r="CL82" s="716" t="str">
        <f t="shared" si="104"/>
        <v>IE-MN</v>
      </c>
      <c r="CM82" s="1"/>
    </row>
    <row r="83" spans="1:91" s="459" customFormat="1" ht="15.6">
      <c r="A83" s="707" t="s">
        <v>751</v>
      </c>
      <c r="B83" s="707"/>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c r="AA83" s="708"/>
      <c r="AB83" s="708"/>
      <c r="AC83" s="708"/>
      <c r="AD83" s="708"/>
      <c r="AE83" s="708"/>
      <c r="AF83" s="451"/>
      <c r="AG83" s="714" t="s">
        <v>588</v>
      </c>
      <c r="AH83" s="656">
        <f>AH68</f>
        <v>10.519481681250003</v>
      </c>
      <c r="AI83" s="656">
        <f t="shared" ref="AI83:BH83" si="105">AI68</f>
        <v>0.11808831099999999</v>
      </c>
      <c r="AJ83" s="656">
        <f t="shared" si="105"/>
        <v>3.5358560684999998</v>
      </c>
      <c r="AK83" s="656">
        <f t="shared" si="105"/>
        <v>0.45269495775000002</v>
      </c>
      <c r="AL83" s="656">
        <f t="shared" si="105"/>
        <v>0.29241756999999996</v>
      </c>
      <c r="AM83" s="656">
        <f t="shared" si="105"/>
        <v>0.1493744175</v>
      </c>
      <c r="AN83" s="656">
        <f t="shared" si="105"/>
        <v>8.4421181249999991E-2</v>
      </c>
      <c r="AO83" s="656">
        <f t="shared" si="105"/>
        <v>0.22892670500000004</v>
      </c>
      <c r="AP83" s="656">
        <f t="shared" si="105"/>
        <v>0.30109920200000001</v>
      </c>
      <c r="AQ83" s="656">
        <f t="shared" si="105"/>
        <v>0.18289379775</v>
      </c>
      <c r="AR83" s="656">
        <f t="shared" si="105"/>
        <v>0.14101548000000003</v>
      </c>
      <c r="AS83" s="656">
        <f t="shared" si="105"/>
        <v>0.26711272949999998</v>
      </c>
      <c r="AT83" s="656">
        <f t="shared" si="105"/>
        <v>0.24114906574999997</v>
      </c>
      <c r="AU83" s="656">
        <f t="shared" si="105"/>
        <v>0.20048626149999998</v>
      </c>
      <c r="AV83" s="656">
        <f t="shared" si="105"/>
        <v>0.79161909450000012</v>
      </c>
      <c r="AW83" s="656">
        <f t="shared" si="105"/>
        <v>0.49987923200000006</v>
      </c>
      <c r="AX83" s="656">
        <f t="shared" si="105"/>
        <v>0.29683354150000002</v>
      </c>
      <c r="AY83" s="656">
        <f t="shared" si="105"/>
        <v>0.34555485200000002</v>
      </c>
      <c r="AZ83" s="656">
        <f t="shared" si="105"/>
        <v>0.1514736485</v>
      </c>
      <c r="BA83" s="656">
        <f t="shared" si="105"/>
        <v>0.57002661799999998</v>
      </c>
      <c r="BB83" s="656">
        <f t="shared" si="105"/>
        <v>5.9836094999999999E-2</v>
      </c>
      <c r="BC83" s="656">
        <f t="shared" si="105"/>
        <v>0.34838503700000001</v>
      </c>
      <c r="BD83" s="656">
        <f t="shared" si="105"/>
        <v>0.10867027499999998</v>
      </c>
      <c r="BE83" s="656">
        <f t="shared" si="105"/>
        <v>0.11319791700000001</v>
      </c>
      <c r="BF83" s="656">
        <f t="shared" si="105"/>
        <v>0.20658056049999998</v>
      </c>
      <c r="BG83" s="656">
        <f t="shared" si="105"/>
        <v>0.55923812499999992</v>
      </c>
      <c r="BH83" s="656">
        <f t="shared" si="105"/>
        <v>0.27255499050000004</v>
      </c>
      <c r="BI83" s="714"/>
      <c r="BJ83" s="714"/>
      <c r="BK83" s="785" t="s">
        <v>1107</v>
      </c>
      <c r="BL83" s="786">
        <f>1000*BL75/SUMPRODUCT(E74:E77,AF!D23:'AF'!D26)</f>
        <v>1.4321167629556155</v>
      </c>
      <c r="BM83" s="786">
        <f>1000*BM75/SUMPRODUCT(F74:F77,AF!E23:'AF'!E26)</f>
        <v>1.3428425077521915</v>
      </c>
      <c r="BN83" s="786">
        <f>1000*BN75/SUMPRODUCT(G74:G77,AF!F23:'AF'!F26)</f>
        <v>1.4718999323407369</v>
      </c>
      <c r="BO83" s="786">
        <f>1000*BO75/SUMPRODUCT(H74:H77,AF!G23:'AF'!G26)</f>
        <v>1.2553303843672037</v>
      </c>
      <c r="BP83" s="786">
        <f>1000*BP75/SUMPRODUCT(I74:I77,AF!H23:'AF'!H26)</f>
        <v>1.5999301336917628</v>
      </c>
      <c r="BQ83" s="786">
        <f>1000*BQ75/SUMPRODUCT(J74:J77,AF!I23:'AF'!I26)</f>
        <v>1.5754341558491574</v>
      </c>
      <c r="BR83" s="786">
        <f>1000*BR75/SUMPRODUCT(K74:K77,AF!J23:'AF'!J26)</f>
        <v>1.1939297728276914</v>
      </c>
      <c r="BS83" s="786">
        <f>1000*BS75/SUMPRODUCT(L74:L77,AF!K23:'AF'!K26)</f>
        <v>1.4478861918745998</v>
      </c>
      <c r="BT83" s="786">
        <f>1000*BT75/SUMPRODUCT(M74:M77,AF!L23:'AF'!L26)</f>
        <v>1.174662104728061</v>
      </c>
      <c r="BU83" s="786">
        <f>1000*BU75/SUMPRODUCT(N74:N77,AF!M23:'AF'!M26)</f>
        <v>1.4365816026400364</v>
      </c>
      <c r="BV83" s="786">
        <f>1000*BV75/SUMPRODUCT(O74:O77,AF!N23:'AF'!N26)</f>
        <v>1.304457012077233</v>
      </c>
      <c r="BW83" s="786">
        <f>1000*BW75/SUMPRODUCT(P74:P77,AF!O23:'AF'!O26)</f>
        <v>1.3647535702128299</v>
      </c>
      <c r="BX83" s="786">
        <f>1000*BX75/SUMPRODUCT(Q74:Q77,AF!P23:'AF'!P26)</f>
        <v>1.5394934805056175</v>
      </c>
      <c r="BY83" s="786">
        <f>1000*BY75/SUMPRODUCT(R74:R77,AF!Q23:'AF'!Q26)</f>
        <v>1.488179977367716</v>
      </c>
      <c r="BZ83" s="786">
        <f>1000*BZ75/SUMPRODUCT(S74:S77,AF!R23:'AF'!R26)</f>
        <v>1.7862534509163968</v>
      </c>
      <c r="CA83" s="786">
        <f>1000*CA75/SUMPRODUCT(T74:T77,AF!S23:'AF'!S26)</f>
        <v>1.7356132853156252</v>
      </c>
      <c r="CB83" s="786">
        <f>1000*CB75/SUMPRODUCT(U74:U77,AF!T23:'AF'!T26)</f>
        <v>1.5265980187930983</v>
      </c>
      <c r="CC83" s="786">
        <f>1000*CC75/SUMPRODUCT(V74:V77,AF!U23:'AF'!U26)</f>
        <v>1.3242407658598228</v>
      </c>
      <c r="CD83" s="786">
        <f>1000*CD75/SUMPRODUCT(W74:W77,AF!V23:'AF'!V26)</f>
        <v>2.2800272052255446</v>
      </c>
      <c r="CE83" s="786">
        <f>1000*CE75/SUMPRODUCT(X74:X77,AF!W23:'AF'!W26)</f>
        <v>1.3696122110589324</v>
      </c>
      <c r="CF83" s="786">
        <f>1000*CF75/SUMPRODUCT(Y74:Y77,AF!X23:'AF'!X26)</f>
        <v>1.0828461761403867</v>
      </c>
      <c r="CG83" s="786">
        <f>1000*CG75/SUMPRODUCT(Z74:Z77,AF!Y23:'AF'!Y26)</f>
        <v>1.2038996686486059</v>
      </c>
      <c r="CH83" s="786">
        <f>1000*CH75/SUMPRODUCT(AA74:AA77,AF!Z23:'AF'!Z26)</f>
        <v>1.0559418434038761</v>
      </c>
      <c r="CI83" s="786">
        <f>1000*CI75/SUMPRODUCT(AB74:AB77,AF!AA23:'AF'!AA26)</f>
        <v>1.3046286204306352</v>
      </c>
      <c r="CJ83" s="786">
        <f>1000*CJ75/SUMPRODUCT(AC74:AC77,AF!AB23:'AF'!AB26)</f>
        <v>1.0075467300875378</v>
      </c>
      <c r="CK83" s="786">
        <f>1000*CK75/SUMPRODUCT(AD74:AD77,AF!AC23:'AF'!AC26)</f>
        <v>1.315754910870683</v>
      </c>
      <c r="CL83" s="786">
        <f>1000*CL75/SUMPRODUCT(AE74:AE77,AF!AD23:'AF'!AD26)</f>
        <v>0.74828744672264424</v>
      </c>
      <c r="CM83" s="1"/>
    </row>
    <row r="84" spans="1:91" s="459" customFormat="1">
      <c r="A84" s="1" t="str">
        <f>Commodities!K44</f>
        <v>T-AVI_DOM00</v>
      </c>
      <c r="B84" s="709" t="s">
        <v>871</v>
      </c>
      <c r="C84" s="1" t="str">
        <f>Commodities!B17</f>
        <v>TRAKER</v>
      </c>
      <c r="D84" s="1" t="str">
        <f>Commodities!B29</f>
        <v>TAVIDOM</v>
      </c>
      <c r="E84" s="710"/>
      <c r="F84" s="710"/>
      <c r="G84" s="710"/>
      <c r="H84" s="710"/>
      <c r="I84" s="710"/>
      <c r="J84" s="710"/>
      <c r="K84" s="710"/>
      <c r="L84" s="710"/>
      <c r="M84" s="710"/>
      <c r="N84" s="710"/>
      <c r="O84" s="710"/>
      <c r="P84" s="710"/>
      <c r="Q84" s="710"/>
      <c r="R84" s="710"/>
      <c r="S84" s="710"/>
      <c r="T84" s="710"/>
      <c r="U84" s="710"/>
      <c r="V84" s="710"/>
      <c r="W84" s="710"/>
      <c r="X84" s="710"/>
      <c r="Y84" s="710"/>
      <c r="Z84" s="710"/>
      <c r="AA84" s="710"/>
      <c r="AB84" s="710"/>
      <c r="AC84" s="710"/>
      <c r="AD84" s="710"/>
      <c r="AE84" s="710"/>
      <c r="AF84" s="451"/>
      <c r="AG84" s="714" t="s">
        <v>575</v>
      </c>
      <c r="AH84" s="656">
        <f t="shared" ref="AH84:BH84" si="106">AH70</f>
        <v>0.31718342830155838</v>
      </c>
      <c r="AI84" s="656">
        <f t="shared" si="106"/>
        <v>0</v>
      </c>
      <c r="AJ84" s="656">
        <f t="shared" si="106"/>
        <v>0.31718342830155838</v>
      </c>
      <c r="AK84" s="656">
        <f t="shared" si="106"/>
        <v>0</v>
      </c>
      <c r="AL84" s="656">
        <f t="shared" si="106"/>
        <v>0</v>
      </c>
      <c r="AM84" s="656">
        <f t="shared" si="106"/>
        <v>0</v>
      </c>
      <c r="AN84" s="656">
        <f t="shared" si="106"/>
        <v>0</v>
      </c>
      <c r="AO84" s="656">
        <f t="shared" si="106"/>
        <v>0</v>
      </c>
      <c r="AP84" s="656">
        <f t="shared" si="106"/>
        <v>0</v>
      </c>
      <c r="AQ84" s="656">
        <f t="shared" si="106"/>
        <v>0</v>
      </c>
      <c r="AR84" s="656">
        <f t="shared" si="106"/>
        <v>0</v>
      </c>
      <c r="AS84" s="656">
        <f t="shared" si="106"/>
        <v>0</v>
      </c>
      <c r="AT84" s="656">
        <f t="shared" si="106"/>
        <v>0</v>
      </c>
      <c r="AU84" s="656">
        <f t="shared" si="106"/>
        <v>0</v>
      </c>
      <c r="AV84" s="656">
        <f t="shared" si="106"/>
        <v>0</v>
      </c>
      <c r="AW84" s="656">
        <f t="shared" si="106"/>
        <v>0</v>
      </c>
      <c r="AX84" s="656">
        <f t="shared" si="106"/>
        <v>0</v>
      </c>
      <c r="AY84" s="656">
        <f t="shared" si="106"/>
        <v>0</v>
      </c>
      <c r="AZ84" s="656">
        <f t="shared" si="106"/>
        <v>0</v>
      </c>
      <c r="BA84" s="656">
        <f t="shared" si="106"/>
        <v>0</v>
      </c>
      <c r="BB84" s="656">
        <f t="shared" si="106"/>
        <v>0</v>
      </c>
      <c r="BC84" s="656">
        <f t="shared" si="106"/>
        <v>0</v>
      </c>
      <c r="BD84" s="656">
        <f t="shared" si="106"/>
        <v>0</v>
      </c>
      <c r="BE84" s="656">
        <f t="shared" si="106"/>
        <v>0</v>
      </c>
      <c r="BF84" s="656">
        <f t="shared" si="106"/>
        <v>0</v>
      </c>
      <c r="BG84" s="656">
        <f t="shared" si="106"/>
        <v>0</v>
      </c>
      <c r="BH84" s="656">
        <f t="shared" si="106"/>
        <v>0</v>
      </c>
      <c r="BI84" s="714"/>
      <c r="BJ84" s="714"/>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459" customFormat="1">
      <c r="A85" s="458" t="str">
        <f>Commodities!K45</f>
        <v>T-AVI_INT00</v>
      </c>
      <c r="B85" s="129" t="s">
        <v>871</v>
      </c>
      <c r="C85" s="458" t="str">
        <f>Commodities!B17</f>
        <v>TRAKER</v>
      </c>
      <c r="D85" s="458" t="str">
        <f>Commodities!B30</f>
        <v>TAVIINT</v>
      </c>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451"/>
      <c r="AG85" s="714" t="s">
        <v>366</v>
      </c>
      <c r="AH85" s="656">
        <f t="shared" ref="AH85:BH85" si="107">SUM(AH71:AH72)</f>
        <v>1.9196540561307294</v>
      </c>
      <c r="AI85" s="656">
        <f t="shared" si="107"/>
        <v>1.5264180732683506E-2</v>
      </c>
      <c r="AJ85" s="656">
        <f t="shared" si="107"/>
        <v>1.0041823232418055</v>
      </c>
      <c r="AK85" s="656">
        <f t="shared" si="107"/>
        <v>5.9656103241498816E-2</v>
      </c>
      <c r="AL85" s="656">
        <f t="shared" si="107"/>
        <v>2.6605339395518336E-2</v>
      </c>
      <c r="AM85" s="656">
        <f t="shared" si="107"/>
        <v>2.2708324237969767E-2</v>
      </c>
      <c r="AN85" s="656">
        <f t="shared" si="107"/>
        <v>1.0958562128275364E-2</v>
      </c>
      <c r="AO85" s="656">
        <f t="shared" si="107"/>
        <v>3.4555411184416164E-2</v>
      </c>
      <c r="AP85" s="656">
        <f t="shared" si="107"/>
        <v>5.2293734048084059E-2</v>
      </c>
      <c r="AQ85" s="656">
        <f t="shared" si="107"/>
        <v>2.0902318451850255E-2</v>
      </c>
      <c r="AR85" s="656">
        <f t="shared" si="107"/>
        <v>2.3800346442076771E-2</v>
      </c>
      <c r="AS85" s="656">
        <f t="shared" si="107"/>
        <v>4.0142339416476505E-2</v>
      </c>
      <c r="AT85" s="656">
        <f t="shared" si="107"/>
        <v>3.8185922519013003E-2</v>
      </c>
      <c r="AU85" s="656">
        <f t="shared" si="107"/>
        <v>3.1856322667660655E-2</v>
      </c>
      <c r="AV85" s="656">
        <f t="shared" si="107"/>
        <v>0.1455496955313432</v>
      </c>
      <c r="AW85" s="656">
        <f t="shared" si="107"/>
        <v>3.9602092733128702E-2</v>
      </c>
      <c r="AX85" s="656">
        <f t="shared" si="107"/>
        <v>5.2254857735882849E-2</v>
      </c>
      <c r="AY85" s="656">
        <f t="shared" si="107"/>
        <v>4.2778153383718334E-2</v>
      </c>
      <c r="AZ85" s="656">
        <f t="shared" si="107"/>
        <v>3.1148237560602809E-2</v>
      </c>
      <c r="BA85" s="656">
        <f t="shared" si="107"/>
        <v>6.9188574993234747E-2</v>
      </c>
      <c r="BB85" s="656">
        <f t="shared" si="107"/>
        <v>8.5913968839687761E-3</v>
      </c>
      <c r="BC85" s="656">
        <f t="shared" si="107"/>
        <v>3.4990557768571746E-2</v>
      </c>
      <c r="BD85" s="656">
        <f t="shared" si="107"/>
        <v>1.7305053066997901E-2</v>
      </c>
      <c r="BE85" s="656">
        <f t="shared" si="107"/>
        <v>1.7570752552455802E-2</v>
      </c>
      <c r="BF85" s="656">
        <f t="shared" si="107"/>
        <v>2.0423737643028506E-2</v>
      </c>
      <c r="BG85" s="656">
        <f t="shared" si="107"/>
        <v>4.2681364771962209E-2</v>
      </c>
      <c r="BH85" s="656">
        <f t="shared" si="107"/>
        <v>1.6458353798505406E-2</v>
      </c>
      <c r="BI85" s="714"/>
      <c r="BJ85" s="714"/>
      <c r="BK85" s="1" t="s">
        <v>1109</v>
      </c>
      <c r="BL85" s="657">
        <f>E74*AF!D23*Stock!BL83/1000</f>
        <v>2.6504335304279696E-2</v>
      </c>
      <c r="BM85" s="657">
        <f>F74*AF!E23*Stock!BM83/1000</f>
        <v>2.772902636382888E-4</v>
      </c>
      <c r="BN85" s="657">
        <f>G74*AF!F23*Stock!BN83/1000</f>
        <v>9.1555855541424706E-3</v>
      </c>
      <c r="BO85" s="657">
        <f>H74*AF!G23*Stock!BO83/1000</f>
        <v>1.3196610452444854E-3</v>
      </c>
      <c r="BP85" s="657">
        <f>I74*AF!H23*Stock!BP83/1000</f>
        <v>4.8000303905953431E-4</v>
      </c>
      <c r="BQ85" s="657">
        <f>J74*AF!I23*Stock!BQ83/1000</f>
        <v>6.8290580668716816E-4</v>
      </c>
      <c r="BR85" s="657">
        <f>K74*AF!J23*Stock!BR83/1000</f>
        <v>1.9441952420726127E-4</v>
      </c>
      <c r="BS85" s="657">
        <f>L74*AF!K23*Stock!BS83/1000</f>
        <v>4.5549775653278967E-4</v>
      </c>
      <c r="BT85" s="657">
        <f>M74*AF!L23*Stock!BT83/1000</f>
        <v>5.4162083855169502E-4</v>
      </c>
      <c r="BU85" s="657">
        <f>N74*AF!M23*Stock!BU83/1000</f>
        <v>2.8930598604766372E-4</v>
      </c>
      <c r="BV85" s="657">
        <f>O74*AF!N23*Stock!BV83/1000</f>
        <v>3.7731027737230341E-4</v>
      </c>
      <c r="BW85" s="657">
        <f>P74*AF!O23*Stock!BW83/1000</f>
        <v>7.8682683484908365E-4</v>
      </c>
      <c r="BX85" s="657">
        <f>Q74*AF!P23*Stock!BX83/1000</f>
        <v>1.4093231487549455E-3</v>
      </c>
      <c r="BY85" s="657">
        <f>R74*AF!Q23*Stock!BY83/1000</f>
        <v>4.8377754704269712E-4</v>
      </c>
      <c r="BZ85" s="657">
        <f>S74*AF!R23*Stock!BZ83/1000</f>
        <v>4.6089652835726996E-3</v>
      </c>
      <c r="CA85" s="657">
        <f>T74*AF!S23*Stock!CA83/1000</f>
        <v>7.2981410498886587E-4</v>
      </c>
      <c r="CB85" s="657">
        <f>U74*AF!T23*Stock!CB83/1000</f>
        <v>4.521752799704782E-4</v>
      </c>
      <c r="CC85" s="657">
        <f>V74*AF!U23*Stock!CC83/1000</f>
        <v>7.131413932773415E-4</v>
      </c>
      <c r="CD85" s="657">
        <f>W74*AF!V23*Stock!CD83/1000</f>
        <v>1.2864483498683827E-3</v>
      </c>
      <c r="CE85" s="657">
        <f>X74*AF!W23*Stock!CE83/1000</f>
        <v>1.2267123514058875E-3</v>
      </c>
      <c r="CF85" s="657">
        <f>Y74*AF!X23*Stock!CF83/1000</f>
        <v>4.4376119144409193E-5</v>
      </c>
      <c r="CG85" s="657">
        <f>Z74*AF!Y23*Stock!CG83/1000</f>
        <v>4.6504176205574915E-4</v>
      </c>
      <c r="CH85" s="657">
        <f>AA74*AF!Z23*Stock!CH83/1000</f>
        <v>3.0624108559846192E-4</v>
      </c>
      <c r="CI85" s="657">
        <f>AB74*AF!AA23*Stock!CI83/1000</f>
        <v>2.3236740358490042E-4</v>
      </c>
      <c r="CJ85" s="657">
        <f>AC74*AF!AB23*Stock!CJ83/1000</f>
        <v>1.4782725623844356E-4</v>
      </c>
      <c r="CK85" s="657">
        <f>AD74*AF!AC23*Stock!CK83/1000</f>
        <v>7.3867928026682115E-4</v>
      </c>
      <c r="CL85" s="657">
        <f>AE74*AF!AD23*Stock!CL83/1000</f>
        <v>1.8738314925849766E-4</v>
      </c>
      <c r="CM85" s="1"/>
    </row>
    <row r="86" spans="1:91" s="459" customFormat="1">
      <c r="A86"/>
      <c r="B86"/>
      <c r="C86"/>
      <c r="D86"/>
      <c r="E86"/>
      <c r="F86"/>
      <c r="G86"/>
      <c r="H86"/>
      <c r="I86"/>
      <c r="J86"/>
      <c r="K86"/>
      <c r="L86"/>
      <c r="M86"/>
      <c r="N86"/>
      <c r="O86"/>
      <c r="P86"/>
      <c r="Q86"/>
      <c r="R86"/>
      <c r="S86"/>
      <c r="T86"/>
      <c r="U86"/>
      <c r="V86"/>
      <c r="W86"/>
      <c r="X86"/>
      <c r="Y86"/>
      <c r="Z86"/>
      <c r="AA86"/>
      <c r="AB86"/>
      <c r="AC86"/>
      <c r="AD86"/>
      <c r="AE86"/>
      <c r="AG86" s="772" t="s">
        <v>16</v>
      </c>
      <c r="AH86" s="778">
        <f t="shared" ref="AH86:BH86" si="108">SUM(AH80:AH85)</f>
        <v>67.89085489606174</v>
      </c>
      <c r="AI86" s="778">
        <f t="shared" si="108"/>
        <v>0.93330158157706189</v>
      </c>
      <c r="AJ86" s="778">
        <f t="shared" si="108"/>
        <v>16.61717322713638</v>
      </c>
      <c r="AK86" s="778">
        <f t="shared" si="108"/>
        <v>3.2673954803797685</v>
      </c>
      <c r="AL86" s="778">
        <f t="shared" si="108"/>
        <v>1.6040418377293462</v>
      </c>
      <c r="AM86" s="778">
        <f t="shared" si="108"/>
        <v>1.194472594758214</v>
      </c>
      <c r="AN86" s="778">
        <f t="shared" si="108"/>
        <v>0.63136837226625431</v>
      </c>
      <c r="AO86" s="778">
        <f t="shared" si="108"/>
        <v>1.6378498102533947</v>
      </c>
      <c r="AP86" s="778">
        <f t="shared" si="108"/>
        <v>2.8086801289167069</v>
      </c>
      <c r="AQ86" s="778">
        <f t="shared" si="108"/>
        <v>1.1960910116296319</v>
      </c>
      <c r="AR86" s="778">
        <f t="shared" si="108"/>
        <v>1.3594031328357552</v>
      </c>
      <c r="AS86" s="778">
        <f t="shared" si="108"/>
        <v>2.3897980832150227</v>
      </c>
      <c r="AT86" s="778">
        <f t="shared" si="108"/>
        <v>2.0282651307543547</v>
      </c>
      <c r="AU86" s="778">
        <f t="shared" si="108"/>
        <v>1.8543582057124219</v>
      </c>
      <c r="AV86" s="778">
        <f t="shared" si="108"/>
        <v>7.4808562925495163</v>
      </c>
      <c r="AW86" s="778">
        <f t="shared" si="108"/>
        <v>2.5041107744856452</v>
      </c>
      <c r="AX86" s="778">
        <f t="shared" si="108"/>
        <v>2.7303850513697867</v>
      </c>
      <c r="AY86" s="778">
        <f t="shared" si="108"/>
        <v>2.6584598620014983</v>
      </c>
      <c r="AZ86" s="778">
        <f t="shared" si="108"/>
        <v>1.675149646399746</v>
      </c>
      <c r="BA86" s="778">
        <f t="shared" si="108"/>
        <v>4.1169046918989158</v>
      </c>
      <c r="BB86" s="778">
        <f t="shared" si="108"/>
        <v>0.50548408673972534</v>
      </c>
      <c r="BC86" s="778">
        <f t="shared" si="108"/>
        <v>2.1050169183289658</v>
      </c>
      <c r="BD86" s="778">
        <f t="shared" si="108"/>
        <v>1.1247538003993849</v>
      </c>
      <c r="BE86" s="778">
        <f t="shared" si="108"/>
        <v>0.92602266151868318</v>
      </c>
      <c r="BF86" s="778">
        <f t="shared" si="108"/>
        <v>1.1545598114366551</v>
      </c>
      <c r="BG86" s="778">
        <f t="shared" si="108"/>
        <v>2.3690405472313669</v>
      </c>
      <c r="BH86" s="778">
        <f t="shared" si="108"/>
        <v>1.0606044657374996</v>
      </c>
      <c r="BI86" s="714"/>
      <c r="BJ86" s="714"/>
      <c r="BK86" s="1" t="s">
        <v>1110</v>
      </c>
      <c r="BL86" s="657">
        <f>E77*AF!D26*Stock!BL83/1000</f>
        <v>1.5785214409581267</v>
      </c>
      <c r="BM86" s="657">
        <f>F77*AF!E26*Stock!BM83/1000</f>
        <v>2.5600184565226638E-2</v>
      </c>
      <c r="BN86" s="657">
        <f>G77*AF!F26*Stock!BN83/1000</f>
        <v>0.28352893998854062</v>
      </c>
      <c r="BO86" s="657">
        <f>H77*AF!G26*Stock!BO83/1000</f>
        <v>7.638095885725936E-2</v>
      </c>
      <c r="BP86" s="657">
        <f>I77*AF!H26*Stock!BP83/1000</f>
        <v>6.7985288794648754E-2</v>
      </c>
      <c r="BQ86" s="657">
        <f>J77*AF!I26*Stock!BQ83/1000</f>
        <v>3.7616696479405784E-2</v>
      </c>
      <c r="BR86" s="657">
        <f>K77*AF!J26*Stock!BR83/1000</f>
        <v>1.6903953818278118E-2</v>
      </c>
      <c r="BS86" s="657">
        <f>L77*AF!K26*Stock!BS83/1000</f>
        <v>4.6234664191019736E-2</v>
      </c>
      <c r="BT86" s="657">
        <f>M77*AF!L26*Stock!BT83/1000</f>
        <v>8.4222229809052959E-2</v>
      </c>
      <c r="BU86" s="657">
        <f>N77*AF!M26*Stock!BU83/1000</f>
        <v>2.2832132283731495E-2</v>
      </c>
      <c r="BV86" s="657">
        <f>O77*AF!N26*Stock!BV83/1000</f>
        <v>1.9920796111159433E-2</v>
      </c>
      <c r="BW86" s="657">
        <f>P77*AF!O26*Stock!BW83/1000</f>
        <v>0.10769785617022197</v>
      </c>
      <c r="BX86" s="657">
        <f>Q77*AF!P26*Stock!BX83/1000</f>
        <v>2.9660786617587764E-2</v>
      </c>
      <c r="BY86" s="657">
        <f>R77*AF!Q26*Stock!BY83/1000</f>
        <v>2.8755780255801264E-2</v>
      </c>
      <c r="BZ86" s="657">
        <f>S77*AF!R26*Stock!BZ83/1000</f>
        <v>0.23425103879907888</v>
      </c>
      <c r="CA86" s="657">
        <f>T77*AF!S26*Stock!CA83/1000</f>
        <v>4.2975131780324284E-2</v>
      </c>
      <c r="CB86" s="657">
        <f>U77*AF!T26*Stock!CB83/1000</f>
        <v>7.8110531738466257E-2</v>
      </c>
      <c r="CC86" s="657">
        <f>V77*AF!U26*Stock!CC83/1000</f>
        <v>6.325239328731358E-2</v>
      </c>
      <c r="CD86" s="657">
        <f>W77*AF!V26*Stock!CD83/1000</f>
        <v>4.088472507548041E-2</v>
      </c>
      <c r="CE86" s="657">
        <f>X77*AF!W26*Stock!CE83/1000</f>
        <v>5.9763394516016866E-2</v>
      </c>
      <c r="CF86" s="657">
        <f>Y77*AF!X26*Stock!CF83/1000</f>
        <v>7.6775959580705705E-3</v>
      </c>
      <c r="CG86" s="657">
        <f>Z77*AF!Y26*Stock!CG83/1000</f>
        <v>2.5500382772985414E-2</v>
      </c>
      <c r="CH86" s="657">
        <f>AA77*AF!Z26*Stock!CH83/1000</f>
        <v>1.674334543475069E-2</v>
      </c>
      <c r="CI86" s="657">
        <f>AB77*AF!AA26*Stock!CI83/1000</f>
        <v>1.4159082232388868E-2</v>
      </c>
      <c r="CJ86" s="657">
        <f>AC77*AF!AB26*Stock!CJ83/1000</f>
        <v>3.0320849333104537E-2</v>
      </c>
      <c r="CK86" s="657">
        <f>AD77*AF!AC26*Stock!CK83/1000</f>
        <v>4.4833032833007651E-2</v>
      </c>
      <c r="CL86" s="657">
        <f>AE77*AF!AD26*Stock!CL83/1000</f>
        <v>4.4243686561091525E-2</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BI87" s="714"/>
      <c r="BJ87" s="714"/>
      <c r="BK87" s="21" t="s">
        <v>1111</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459" customFormat="1" ht="15.6">
      <c r="A88"/>
      <c r="B88"/>
      <c r="C88"/>
      <c r="D88"/>
      <c r="E88"/>
      <c r="F88"/>
      <c r="G88"/>
      <c r="H88"/>
      <c r="I88"/>
      <c r="J88"/>
      <c r="K88"/>
      <c r="L88"/>
      <c r="M88"/>
      <c r="N88"/>
      <c r="O88"/>
      <c r="P88"/>
      <c r="Q88"/>
      <c r="R88"/>
      <c r="S88"/>
      <c r="T88"/>
      <c r="U88"/>
      <c r="V88"/>
      <c r="W88"/>
      <c r="X88"/>
      <c r="Y88"/>
      <c r="Z88"/>
      <c r="AA88"/>
      <c r="AB88"/>
      <c r="AC88"/>
      <c r="AD88"/>
      <c r="AE88"/>
      <c r="AG88" s="714" t="s">
        <v>1098</v>
      </c>
      <c r="AH88" s="401"/>
      <c r="AI88" s="40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714"/>
      <c r="BJ88" s="714"/>
      <c r="BK88" s="21" t="s">
        <v>1112</v>
      </c>
      <c r="BL88" s="796">
        <f>BL87-Demands!C7</f>
        <v>-10.020525223737593</v>
      </c>
      <c r="BM88" s="796">
        <f>BM87-Demands!D7</f>
        <v>-0.15206352116318461</v>
      </c>
      <c r="BN88" s="796">
        <f>BN87-Demands!E7</f>
        <v>-2.3650062674894516</v>
      </c>
      <c r="BO88" s="796">
        <f>BO87-Demands!F7</f>
        <v>-0.40458342228534239</v>
      </c>
      <c r="BP88" s="796">
        <f>BP87-Demands!G7</f>
        <v>-0.24168437644218332</v>
      </c>
      <c r="BQ88" s="796">
        <f>BQ87-Demands!H7</f>
        <v>-0.18260507790380109</v>
      </c>
      <c r="BR88" s="796">
        <f>BR87-Demands!I7</f>
        <v>-8.9505603107702197E-2</v>
      </c>
      <c r="BS88" s="796">
        <f>BS87-Demands!J7</f>
        <v>-0.23266974391184045</v>
      </c>
      <c r="BT88" s="796">
        <f>BT87-Demands!K7</f>
        <v>-0.3474874314156417</v>
      </c>
      <c r="BU88" s="796">
        <f>BU87-Demands!L7</f>
        <v>-0.1802145685815181</v>
      </c>
      <c r="BV88" s="796">
        <f>BV87-Demands!M7</f>
        <v>-0.21122967453000011</v>
      </c>
      <c r="BW88" s="796">
        <f>BW87-Demands!N7</f>
        <v>-0.35947150686919382</v>
      </c>
      <c r="BX88" s="796">
        <f>BX87-Demands!O7</f>
        <v>-0.27764031660174049</v>
      </c>
      <c r="BY88" s="796">
        <f>BY87-Demands!P7</f>
        <v>-0.27454770906457049</v>
      </c>
      <c r="BZ88" s="796">
        <f>BZ87-Demands!Q7</f>
        <v>-1.3865677011834334</v>
      </c>
      <c r="CA88" s="796">
        <f>CA87-Demands!R7</f>
        <v>-0.3985518275139987</v>
      </c>
      <c r="CB88" s="796">
        <f>CB87-Demands!S7</f>
        <v>-0.41974843133038731</v>
      </c>
      <c r="CC88" s="796">
        <f>CC87-Demands!T7</f>
        <v>-0.3439741523212404</v>
      </c>
      <c r="CD88" s="796">
        <f>CD87-Demands!U7</f>
        <v>-0.33674965434815163</v>
      </c>
      <c r="CE88" s="796">
        <f>CE87-Demands!V7</f>
        <v>-0.54407086113709324</v>
      </c>
      <c r="CF88" s="796">
        <f>CF87-Demands!W7</f>
        <v>-7.2971498112492733E-2</v>
      </c>
      <c r="CG88" s="796">
        <f>CG87-Demands!X7</f>
        <v>-0.31481837525529255</v>
      </c>
      <c r="CH88" s="796">
        <f>CH87-Demands!Y7</f>
        <v>-0.13428482325917124</v>
      </c>
      <c r="CI88" s="796">
        <f>CI87-Demands!Z7</f>
        <v>-0.15063933830818094</v>
      </c>
      <c r="CJ88" s="796">
        <f>CJ87-Demands!AA7</f>
        <v>-0.16135836701230394</v>
      </c>
      <c r="CK88" s="796">
        <f>CK87-Demands!AB7</f>
        <v>-0.35530692059300278</v>
      </c>
      <c r="CL88" s="796">
        <f>CL87-Demands!AC7</f>
        <v>-0.11015167155370553</v>
      </c>
      <c r="CM88" s="1"/>
    </row>
    <row r="89" spans="1:91" s="459" customFormat="1">
      <c r="A89"/>
      <c r="B89"/>
      <c r="C89"/>
      <c r="D89"/>
      <c r="E89"/>
      <c r="F89"/>
      <c r="G89"/>
      <c r="H89"/>
      <c r="I89"/>
      <c r="J89"/>
      <c r="K89"/>
      <c r="L89"/>
      <c r="M89"/>
      <c r="N89"/>
      <c r="O89"/>
      <c r="P89"/>
      <c r="Q89"/>
      <c r="R89"/>
      <c r="S89"/>
      <c r="T89"/>
      <c r="U89"/>
      <c r="V89"/>
      <c r="W89"/>
      <c r="X89"/>
      <c r="Y89"/>
      <c r="Z89"/>
      <c r="AA89"/>
      <c r="AB89"/>
      <c r="AC89"/>
      <c r="AD89"/>
      <c r="AE89"/>
      <c r="AG89" s="716" t="s">
        <v>359</v>
      </c>
      <c r="AH89" s="716" t="str">
        <f t="shared" ref="AH89:BH89" si="110">AH79</f>
        <v>IE</v>
      </c>
      <c r="AI89" s="716" t="str">
        <f t="shared" si="110"/>
        <v>IE-CW</v>
      </c>
      <c r="AJ89" s="716" t="str">
        <f t="shared" si="110"/>
        <v>IE-D</v>
      </c>
      <c r="AK89" s="716" t="str">
        <f t="shared" si="110"/>
        <v>IE-KE</v>
      </c>
      <c r="AL89" s="716" t="str">
        <f t="shared" si="110"/>
        <v>IE-KK</v>
      </c>
      <c r="AM89" s="716" t="str">
        <f t="shared" si="110"/>
        <v>IE-LS</v>
      </c>
      <c r="AN89" s="716" t="str">
        <f t="shared" si="110"/>
        <v>IE-LD</v>
      </c>
      <c r="AO89" s="716" t="str">
        <f t="shared" si="110"/>
        <v>IE-LH</v>
      </c>
      <c r="AP89" s="716" t="str">
        <f t="shared" si="110"/>
        <v>IE-MH</v>
      </c>
      <c r="AQ89" s="716" t="str">
        <f t="shared" si="110"/>
        <v>IE-OY</v>
      </c>
      <c r="AR89" s="716" t="str">
        <f t="shared" si="110"/>
        <v>IE-WH</v>
      </c>
      <c r="AS89" s="716" t="str">
        <f t="shared" si="110"/>
        <v>IE-WX</v>
      </c>
      <c r="AT89" s="716" t="str">
        <f t="shared" si="110"/>
        <v>IE-WW</v>
      </c>
      <c r="AU89" s="716" t="str">
        <f t="shared" si="110"/>
        <v>IE-CE</v>
      </c>
      <c r="AV89" s="716" t="str">
        <f t="shared" si="110"/>
        <v>IE-CO</v>
      </c>
      <c r="AW89" s="716" t="str">
        <f t="shared" si="110"/>
        <v>IE-KY</v>
      </c>
      <c r="AX89" s="716" t="str">
        <f t="shared" si="110"/>
        <v>IE-LK</v>
      </c>
      <c r="AY89" s="716" t="str">
        <f t="shared" si="110"/>
        <v>IE-TA</v>
      </c>
      <c r="AZ89" s="716" t="str">
        <f t="shared" si="110"/>
        <v>IE-WD</v>
      </c>
      <c r="BA89" s="716" t="str">
        <f t="shared" si="110"/>
        <v>IE-G</v>
      </c>
      <c r="BB89" s="716" t="str">
        <f t="shared" si="110"/>
        <v>IE-LM</v>
      </c>
      <c r="BC89" s="716" t="str">
        <f t="shared" si="110"/>
        <v>IE-MO</v>
      </c>
      <c r="BD89" s="716" t="str">
        <f t="shared" si="110"/>
        <v>IE-RN</v>
      </c>
      <c r="BE89" s="716" t="str">
        <f t="shared" si="110"/>
        <v>IE-SO</v>
      </c>
      <c r="BF89" s="716" t="str">
        <f t="shared" si="110"/>
        <v>IE-CN</v>
      </c>
      <c r="BG89" s="716" t="str">
        <f t="shared" si="110"/>
        <v>IE-DL</v>
      </c>
      <c r="BH89" s="716" t="str">
        <f t="shared" si="110"/>
        <v>IE-MN</v>
      </c>
      <c r="BI89" s="714"/>
      <c r="BJ89" s="714"/>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A90"/>
      <c r="B90"/>
      <c r="C90"/>
      <c r="D90"/>
      <c r="E90"/>
      <c r="F90"/>
      <c r="G90"/>
      <c r="H90"/>
      <c r="I90"/>
      <c r="J90"/>
      <c r="K90"/>
      <c r="L90"/>
      <c r="M90"/>
      <c r="N90"/>
      <c r="O90"/>
      <c r="P90"/>
      <c r="Q90"/>
      <c r="R90"/>
      <c r="S90"/>
      <c r="T90"/>
      <c r="U90"/>
      <c r="V90"/>
      <c r="W90"/>
      <c r="X90"/>
      <c r="Y90"/>
      <c r="Z90"/>
      <c r="AA90"/>
      <c r="AB90"/>
      <c r="AC90"/>
      <c r="AD90"/>
      <c r="AE90"/>
      <c r="AG90" s="714" t="s">
        <v>368</v>
      </c>
      <c r="AH90" s="656">
        <f>E52*AF!D6*ACT2FLO!D10/1000</f>
        <v>0.12080775131999999</v>
      </c>
      <c r="AI90" s="782">
        <f>F52*AF!E6*ACT2FLO!E10/1000</f>
        <v>1.4846309999999997E-3</v>
      </c>
      <c r="AJ90" s="782">
        <f>G52*AF!F6*ACT2FLO!F10/1000</f>
        <v>3.7417542080000005E-2</v>
      </c>
      <c r="AK90" s="782">
        <f>H52*AF!G6*ACT2FLO!G10/1000</f>
        <v>7.27459392E-3</v>
      </c>
      <c r="AL90" s="782">
        <f>I52*AF!H6*ACT2FLO!H10/1000</f>
        <v>2.3125440000000001E-3</v>
      </c>
      <c r="AM90" s="782">
        <f>J52*AF!I6*ACT2FLO!I10/1000</f>
        <v>1.3902300000000001E-3</v>
      </c>
      <c r="AN90" s="782">
        <f>K52*AF!J6*ACT2FLO!J10/1000</f>
        <v>1.1028841800000001E-3</v>
      </c>
      <c r="AO90" s="782">
        <f>L52*AF!K6*ACT2FLO!K10/1000</f>
        <v>2.3580899999999998E-3</v>
      </c>
      <c r="AP90" s="782">
        <f>M52*AF!L6*ACT2FLO!L10/1000</f>
        <v>5.5006175999999995E-3</v>
      </c>
      <c r="AQ90" s="782">
        <f>N52*AF!M6*ACT2FLO!M10/1000</f>
        <v>2.2033113600000002E-3</v>
      </c>
      <c r="AR90" s="782">
        <f>O52*AF!N6*ACT2FLO!N10/1000</f>
        <v>2.2064723999999998E-3</v>
      </c>
      <c r="AS90" s="782">
        <f>P52*AF!O6*ACT2FLO!O10/1000</f>
        <v>4.4015862000000008E-3</v>
      </c>
      <c r="AT90" s="782">
        <f>Q52*AF!P6*ACT2FLO!P10/1000</f>
        <v>4.438224000000001E-3</v>
      </c>
      <c r="AU90" s="782">
        <f>R52*AF!Q6*ACT2FLO!Q10/1000</f>
        <v>3.32484768E-3</v>
      </c>
      <c r="AV90" s="782">
        <f>S52*AF!R6*ACT2FLO!R10/1000</f>
        <v>1.656012288E-2</v>
      </c>
      <c r="AW90" s="782">
        <f>T52*AF!S6*ACT2FLO!S10/1000</f>
        <v>3.3015455999999997E-3</v>
      </c>
      <c r="AX90" s="782">
        <f>U52*AF!T6*ACT2FLO!T10/1000</f>
        <v>4.4223300000000012E-3</v>
      </c>
      <c r="AY90" s="782">
        <f>V52*AF!U6*ACT2FLO!U10/1000</f>
        <v>4.4125564799999996E-3</v>
      </c>
      <c r="AZ90" s="782">
        <f>W52*AF!V6*ACT2FLO!V10/1000</f>
        <v>3.423864E-3</v>
      </c>
      <c r="BA90" s="782">
        <f>X52*AF!W6*ACT2FLO!W10/1000</f>
        <v>4.4106249599999998E-3</v>
      </c>
      <c r="BB90" s="782">
        <f>Y52*AF!X6*ACT2FLO!X10/1000</f>
        <v>1.1030799999999998E-3</v>
      </c>
      <c r="BC90" s="782">
        <f>Z52*AF!Y6*ACT2FLO!Y10/1000</f>
        <v>2.2034825999999999E-3</v>
      </c>
      <c r="BD90" s="782">
        <f>AA52*AF!Z6*ACT2FLO!Z10/1000</f>
        <v>1.1029253499999999E-3</v>
      </c>
      <c r="BE90" s="782">
        <f>AB52*AF!AA6*ACT2FLO!AA10/1000</f>
        <v>1.101568E-3</v>
      </c>
      <c r="BF90" s="782">
        <f>AC52*AF!AB6*ACT2FLO!AB10/1000</f>
        <v>1.2145280000000001E-3</v>
      </c>
      <c r="BG90" s="782">
        <f>AD52*AF!AC6*ACT2FLO!AC10/1000</f>
        <v>2.2200998400000007E-3</v>
      </c>
      <c r="BH90" s="782">
        <f>AE52*AF!AD6*ACT2FLO!AD10/1000</f>
        <v>1.1045496000000002E-3</v>
      </c>
      <c r="BI90" s="714"/>
      <c r="BJ90" s="714"/>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B91" s="28"/>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G91" s="714" t="s">
        <v>367</v>
      </c>
      <c r="AH91" s="656">
        <f>SUMPRODUCT(E54:E62,AF!D7:'AF'!D15,ACT2FLO!D11:'ACT2FLO'!D19)/1000</f>
        <v>53.686270312489995</v>
      </c>
      <c r="AI91" s="656">
        <f>SUMPRODUCT(F54:F62,AF!E7:'AF'!E15,ACT2FLO!E11:'ACT2FLO'!E19)/1000</f>
        <v>0.79389207150000007</v>
      </c>
      <c r="AJ91" s="656">
        <f>SUMPRODUCT(G54:G62,AF!F7:'AF'!F15,ACT2FLO!F11:'ACT2FLO'!F19)/1000</f>
        <v>11.361664315170001</v>
      </c>
      <c r="AK91" s="656">
        <f>SUMPRODUCT(H54:H62,AF!G7:'AF'!G15,ACT2FLO!G11:'ACT2FLO'!G19)/1000</f>
        <v>2.7289881356100003</v>
      </c>
      <c r="AL91" s="656">
        <f>SUMPRODUCT(I54:I62,AF!H7:'AF'!H15,ACT2FLO!H11:'ACT2FLO'!H19)/1000</f>
        <v>1.2418699672799998</v>
      </c>
      <c r="AM91" s="656">
        <f>SUMPRODUCT(J54:J62,AF!I7:'AF'!I15,ACT2FLO!I11:'ACT2FLO'!I19)/1000</f>
        <v>1.0055031755399999</v>
      </c>
      <c r="AN91" s="656">
        <f>SUMPRODUCT(K54:K62,AF!J7:'AF'!J15,ACT2FLO!J11:'ACT2FLO'!J19)/1000</f>
        <v>0.50747016177000004</v>
      </c>
      <c r="AO91" s="656">
        <f>SUMPRODUCT(L54:L62,AF!K7:'AF'!K15,ACT2FLO!K11:'ACT2FLO'!K19)/1000</f>
        <v>1.3513276326200001</v>
      </c>
      <c r="AP91" s="656">
        <f>SUMPRODUCT(M54:M62,AF!L7:'AF'!L15,ACT2FLO!L11:'ACT2FLO'!L19)/1000</f>
        <v>2.4156898369399995</v>
      </c>
      <c r="AQ91" s="656">
        <f>SUMPRODUCT(N54:N62,AF!M7:'AF'!M15,ACT2FLO!M11:'ACT2FLO'!M19)/1000</f>
        <v>0.98618770499999997</v>
      </c>
      <c r="AR91" s="656">
        <f>SUMPRODUCT(O54:O62,AF!N7:'AF'!N15,ACT2FLO!N11:'ACT2FLO'!N19)/1000</f>
        <v>1.1736379745699999</v>
      </c>
      <c r="AS91" s="656">
        <f>SUMPRODUCT(P54:P62,AF!O7:'AF'!O15,ACT2FLO!O11:'ACT2FLO'!O19)/1000</f>
        <v>2.0736752655000004</v>
      </c>
      <c r="AT91" s="656">
        <f>SUMPRODUCT(Q54:Q62,AF!P7:'AF'!P15,ACT2FLO!P11:'ACT2FLO'!P19)/1000</f>
        <v>1.7329645650000001</v>
      </c>
      <c r="AU91" s="656">
        <f>SUMPRODUCT(R54:R62,AF!Q7:'AF'!Q15,ACT2FLO!Q11:'ACT2FLO'!Q19)/1000</f>
        <v>1.6069746525000002</v>
      </c>
      <c r="AV91" s="656">
        <f>SUMPRODUCT(S54:S62,AF!R7:'AF'!R15,ACT2FLO!R11:'ACT2FLO'!R19)/1000</f>
        <v>6.4146100647400006</v>
      </c>
      <c r="AW91" s="656">
        <f>SUMPRODUCT(T54:T62,AF!S7:'AF'!S15,ACT2FLO!S11:'ACT2FLO'!S19)/1000</f>
        <v>1.91890350456</v>
      </c>
      <c r="AX91" s="656">
        <f>SUMPRODUCT(U54:U62,AF!T7:'AF'!T15,ACT2FLO!T11:'ACT2FLO'!T19)/1000</f>
        <v>2.3660353382000001</v>
      </c>
      <c r="AY91" s="656">
        <f>SUMPRODUCT(V54:V62,AF!U7:'AF'!U15,ACT2FLO!U11:'ACT2FLO'!U19)/1000</f>
        <v>2.2627250354999995</v>
      </c>
      <c r="AZ91" s="656">
        <f>SUMPRODUCT(W54:W62,AF!V7:'AF'!V15,ACT2FLO!V11:'ACT2FLO'!V19)/1000</f>
        <v>1.46920245782</v>
      </c>
      <c r="BA91" s="656">
        <f>SUMPRODUCT(X54:X62,AF!W7:'AF'!W15,ACT2FLO!W11:'ACT2FLO'!W19)/1000</f>
        <v>3.0906007461000007</v>
      </c>
      <c r="BB91" s="656">
        <f>SUMPRODUCT(Y54:Y62,AF!X7:'AF'!X15,ACT2FLO!X11:'ACT2FLO'!X19)/1000</f>
        <v>0.42603023589000005</v>
      </c>
      <c r="BC91" s="656">
        <f>SUMPRODUCT(Z54:Z62,AF!Y7:'AF'!Y15,ACT2FLO!Y11:'ACT2FLO'!Y19)/1000</f>
        <v>1.7009462821399999</v>
      </c>
      <c r="BD91" s="656">
        <f>SUMPRODUCT(AA54:AA62,AF!Z7:'AF'!Z15,ACT2FLO!Z11:'ACT2FLO'!Z19)/1000</f>
        <v>0.98890925265000007</v>
      </c>
      <c r="BE91" s="656">
        <f>SUMPRODUCT(AB54:AB62,AF!AA7:'AF'!AA15,ACT2FLO!AA11:'ACT2FLO'!AA19)/1000</f>
        <v>0.78838670099999986</v>
      </c>
      <c r="BF91" s="656">
        <f>SUMPRODUCT(AC54:AC62,AF!AB7:'AF'!AB15,ACT2FLO!AB11:'ACT2FLO'!AB19)/1000</f>
        <v>0.92036744699999995</v>
      </c>
      <c r="BG91" s="656">
        <f>SUMPRODUCT(AD54:AD62,AF!AC7:'AF'!AC15,ACT2FLO!AC11:'ACT2FLO'!AC19)/1000</f>
        <v>1.7521084019999997</v>
      </c>
      <c r="BH91" s="656">
        <f>SUMPRODUCT(AE54:AE62,AF!AD7:'AF'!AD15,ACT2FLO!AD11:'ACT2FLO'!AD19)/1000</f>
        <v>0.73913487552000012</v>
      </c>
      <c r="BI91" s="714"/>
      <c r="BJ91" s="714"/>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B92"/>
      <c r="D92" s="672" t="s">
        <v>881</v>
      </c>
      <c r="AD92"/>
      <c r="AE92"/>
      <c r="AG92" s="714" t="s">
        <v>364</v>
      </c>
      <c r="AH92" s="656">
        <f>SUMPRODUCT(E64:E66,AF!D16:'AF'!D18,ACT2FLO!D20:'ACT2FLO'!D22)/1000</f>
        <v>1.2543753112499998</v>
      </c>
      <c r="AI92" s="656">
        <f>SUMPRODUCT(F64:F66,AF!E16:'AF'!E18,ACT2FLO!E20:'ACT2FLO'!E22)/1000</f>
        <v>7.4797020132752147E-3</v>
      </c>
      <c r="AJ92" s="656">
        <f>SUMPRODUCT(G64:G66,AF!F16:'AF'!F18,ACT2FLO!F20:'ACT2FLO'!F22)/1000</f>
        <v>0.64080593498319915</v>
      </c>
      <c r="AK92" s="656">
        <f>SUMPRODUCT(H64:H66,AF!G16:'AF'!G18,ACT2FLO!G20:'ACT2FLO'!G22)/1000</f>
        <v>5.2329469143760854E-2</v>
      </c>
      <c r="AL92" s="656">
        <f>SUMPRODUCT(I64:I66,AF!H16:'AF'!H18,ACT2FLO!H20:'ACT2FLO'!H22)/1000</f>
        <v>1.3446998252194246E-2</v>
      </c>
      <c r="AM92" s="656">
        <f>SUMPRODUCT(J64:J66,AF!I16:'AF'!I18,ACT2FLO!I20:'ACT2FLO'!I22)/1000</f>
        <v>1.3418521536475285E-2</v>
      </c>
      <c r="AN92" s="656">
        <f>SUMPRODUCT(K64:K66,AF!J16:'AF'!J18,ACT2FLO!J20:'ACT2FLO'!J22)/1000</f>
        <v>5.9582319264010648E-3</v>
      </c>
      <c r="AO92" s="656">
        <f>SUMPRODUCT(L64:L66,AF!K16:'AF'!K18,ACT2FLO!K20:'ACT2FLO'!K22)/1000</f>
        <v>3.7234919667432517E-2</v>
      </c>
      <c r="AP92" s="656">
        <f>SUMPRODUCT(M64:M66,AF!L16:'AF'!L18,ACT2FLO!L20:'ACT2FLO'!L22)/1000</f>
        <v>6.2808340338219124E-2</v>
      </c>
      <c r="AQ92" s="656">
        <f>SUMPRODUCT(N64:N66,AF!M16:'AF'!M18,ACT2FLO!M20:'ACT2FLO'!M22)/1000</f>
        <v>8.9508905454396236E-3</v>
      </c>
      <c r="AR92" s="656">
        <f>SUMPRODUCT(O64:O66,AF!N16:'AF'!N18,ACT2FLO!N20:'ACT2FLO'!N22)/1000</f>
        <v>1.7896975599379999E-2</v>
      </c>
      <c r="AS92" s="656">
        <f>SUMPRODUCT(P64:P66,AF!O16:'AF'!O18,ACT2FLO!O20:'ACT2FLO'!O22)/1000</f>
        <v>1.6423834722673992E-2</v>
      </c>
      <c r="AT92" s="656">
        <f>SUMPRODUCT(Q64:Q66,AF!P16:'AF'!P18,ACT2FLO!P20:'ACT2FLO'!P22)/1000</f>
        <v>2.0927617814480833E-2</v>
      </c>
      <c r="AU92" s="656">
        <f>SUMPRODUCT(R64:R66,AF!Q16:'AF'!Q18,ACT2FLO!Q20:'ACT2FLO'!Q22)/1000</f>
        <v>2.0933819186262734E-2</v>
      </c>
      <c r="AV92" s="656">
        <f>SUMPRODUCT(S64:S66,AF!R16:'AF'!R18,ACT2FLO!R20:'ACT2FLO'!R22)/1000</f>
        <v>0.10417930199823515</v>
      </c>
      <c r="AW92" s="656">
        <f>SUMPRODUCT(T64:T66,AF!S16:'AF'!S18,ACT2FLO!S20:'ACT2FLO'!S22)/1000</f>
        <v>2.6806516875903567E-2</v>
      </c>
      <c r="AX92" s="656">
        <f>SUMPRODUCT(U64:U66,AF!T16:'AF'!T18,ACT2FLO!T20:'ACT2FLO'!T22)/1000</f>
        <v>4.0281191836487901E-2</v>
      </c>
      <c r="AY92" s="656">
        <f>SUMPRODUCT(V64:V66,AF!U16:'AF'!U18,ACT2FLO!U20:'ACT2FLO'!U22)/1000</f>
        <v>1.4939604425173397E-2</v>
      </c>
      <c r="AZ92" s="656">
        <f>SUMPRODUCT(W64:W66,AF!V16:'AF'!V18,ACT2FLO!V20:'ACT2FLO'!V22)/1000</f>
        <v>1.6378197072605814E-2</v>
      </c>
      <c r="BA92" s="656">
        <f>SUMPRODUCT(X64:X66,AF!W16:'AF'!W18,ACT2FLO!W20:'ACT2FLO'!W22)/1000</f>
        <v>5.6783957560384464E-2</v>
      </c>
      <c r="BB92" s="656">
        <f>SUMPRODUCT(Y64:Y66,AF!X16:'AF'!X18,ACT2FLO!X20:'ACT2FLO'!X22)/1000</f>
        <v>4.4690880000000004E-3</v>
      </c>
      <c r="BC92" s="656">
        <f>SUMPRODUCT(Z64:Z66,AF!Y16:'AF'!Y18,ACT2FLO!Y20:'ACT2FLO'!Y22)/1000</f>
        <v>1.6453766276645451E-2</v>
      </c>
      <c r="BD92" s="656">
        <f>SUMPRODUCT(AA64:AA66,AF!Z16:'AF'!Z18,ACT2FLO!Z20:'ACT2FLO'!Z22)/1000</f>
        <v>7.4841635621511644E-3</v>
      </c>
      <c r="BE92" s="656">
        <f>SUMPRODUCT(AB64:AB66,AF!AA16:'AF'!AA18,ACT2FLO!AA20:'ACT2FLO'!AA22)/1000</f>
        <v>8.9581520008502283E-3</v>
      </c>
      <c r="BF92" s="656">
        <f>SUMPRODUCT(AC64:AC66,AF!AB16:'AF'!AB18,ACT2FLO!AB20:'ACT2FLO'!AB22)/1000</f>
        <v>1.0450608893784052E-2</v>
      </c>
      <c r="BG92" s="656">
        <f>SUMPRODUCT(AD64:AD66,AF!AC16:'AF'!AC18,ACT2FLO!AC20:'ACT2FLO'!AC22)/1000</f>
        <v>2.2350054092676572E-2</v>
      </c>
      <c r="BH92" s="656">
        <f>SUMPRODUCT(AE64:AE66,AF!AD16:'AF'!AD18,ACT2FLO!AD20:'ACT2FLO'!AD22)/1000</f>
        <v>4.4756231886609113E-3</v>
      </c>
      <c r="BI92" s="714"/>
      <c r="BJ92" s="714"/>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s="459" customFormat="1" ht="1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714" t="s">
        <v>588</v>
      </c>
      <c r="AH93" s="656">
        <f>E68*AF!D19*ACT2FLO!D23/1000</f>
        <v>9.8168961157500032</v>
      </c>
      <c r="AI93" s="656">
        <f>F68*AF!E19*ACT2FLO!E23/1000</f>
        <v>0.10903126255999998</v>
      </c>
      <c r="AJ93" s="656">
        <f>G68*AF!F19*ACT2FLO!F23/1000</f>
        <v>3.54364143966</v>
      </c>
      <c r="AK93" s="656">
        <f>H68*AF!G19*ACT2FLO!G23/1000</f>
        <v>0.46332705951000003</v>
      </c>
      <c r="AL93" s="656">
        <f>I68*AF!H19*ACT2FLO!H23/1000</f>
        <v>0.29982190479999998</v>
      </c>
      <c r="AM93" s="656">
        <f>J68*AF!I19*ACT2FLO!I23/1000</f>
        <v>0.13627332180000001</v>
      </c>
      <c r="AN93" s="656">
        <f>K68*AF!J19*ACT2FLO!J23/1000</f>
        <v>8.1756879749999997E-2</v>
      </c>
      <c r="AO93" s="656">
        <f>L68*AF!K19*ACT2FLO!K23/1000</f>
        <v>0.21800543100000006</v>
      </c>
      <c r="AP93" s="656">
        <f>M68*AF!L19*ACT2FLO!L23/1000</f>
        <v>0.29977326056000003</v>
      </c>
      <c r="AQ93" s="656">
        <f>N68*AF!M19*ACT2FLO!M23/1000</f>
        <v>0.19081360257000002</v>
      </c>
      <c r="AR93" s="656">
        <f>O68*AF!N19*ACT2FLO!N23/1000</f>
        <v>0.13625459040000004</v>
      </c>
      <c r="AS93" s="656">
        <f>P68*AF!O19*ACT2FLO!O23/1000</f>
        <v>0.27250399559999999</v>
      </c>
      <c r="AT93" s="656">
        <f>Q68*AF!P19*ACT2FLO!P23/1000</f>
        <v>0.24530833403999999</v>
      </c>
      <c r="AU93" s="656">
        <f>R68*AF!Q19*ACT2FLO!Q23/1000</f>
        <v>0.19077463342000001</v>
      </c>
      <c r="AV93" s="656">
        <f>S68*AF!R19*ACT2FLO!R23/1000</f>
        <v>0.7904570848200001</v>
      </c>
      <c r="AW93" s="656">
        <f>T68*AF!S19*ACT2FLO!S23/1000</f>
        <v>0.49052369408000007</v>
      </c>
      <c r="AX93" s="656">
        <f>U68*AF!T19*ACT2FLO!T23/1000</f>
        <v>0.29977464448000007</v>
      </c>
      <c r="AY93" s="656">
        <f>V68*AF!U19*ACT2FLO!U23/1000</f>
        <v>0.35430468128000009</v>
      </c>
      <c r="AZ93" s="656">
        <f>W68*AF!V19*ACT2FLO!V23/1000</f>
        <v>0.16353595372000002</v>
      </c>
      <c r="BA93" s="656">
        <f>X68*AF!W19*ACT2FLO!W23/1000</f>
        <v>0.57232764288000015</v>
      </c>
      <c r="BB93" s="656">
        <f>Y68*AF!X19*ACT2FLO!X23/1000</f>
        <v>5.4500252399999997E-2</v>
      </c>
      <c r="BC93" s="656">
        <f>Z68*AF!Y19*ACT2FLO!Y23/1000</f>
        <v>0.35426603212000002</v>
      </c>
      <c r="BD93" s="656">
        <f>AA68*AF!Z19*ACT2FLO!Z23/1000</f>
        <v>0.109029186</v>
      </c>
      <c r="BE93" s="656">
        <f>AB68*AF!AA19*ACT2FLO!AA23/1000</f>
        <v>0.10900232448000001</v>
      </c>
      <c r="BF93" s="656">
        <f>AC68*AF!AB19*ACT2FLO!AB23/1000</f>
        <v>0.19278325334000002</v>
      </c>
      <c r="BG93" s="656">
        <f>AD68*AF!AC19*ACT2FLO!AC23/1000</f>
        <v>0.52188717500000004</v>
      </c>
      <c r="BH93" s="656">
        <f>AE68*AF!AD19*ACT2FLO!AD23/1000</f>
        <v>0.27255499050000004</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4" t="s">
        <v>666</v>
      </c>
      <c r="B94" s="455"/>
      <c r="C94" s="454"/>
      <c r="D94" s="454"/>
      <c r="E94" s="454"/>
      <c r="F94" s="454"/>
      <c r="G94" s="454"/>
      <c r="H94" s="454"/>
      <c r="I94" s="454"/>
      <c r="J94" s="454"/>
      <c r="K94" s="454"/>
      <c r="L94" s="454"/>
      <c r="M94" s="454"/>
      <c r="N94" s="454"/>
      <c r="O94" s="454"/>
      <c r="P94" s="454"/>
      <c r="Q94" s="454"/>
      <c r="R94" s="454"/>
      <c r="S94" s="454"/>
      <c r="T94" s="454"/>
      <c r="U94" s="454"/>
      <c r="V94" s="454"/>
      <c r="W94" s="454"/>
      <c r="X94" s="454"/>
      <c r="Y94" s="454"/>
      <c r="Z94" s="454"/>
      <c r="AA94" s="454"/>
      <c r="AB94" s="454"/>
      <c r="AC94" s="454"/>
      <c r="AD94" s="454"/>
      <c r="AE94" s="454"/>
      <c r="AG94" s="714" t="s">
        <v>575</v>
      </c>
      <c r="AH94" s="656">
        <f>E70*AF!D20*ACT2FLO!D24/1000</f>
        <v>0.31722651729000001</v>
      </c>
      <c r="AI94" s="656">
        <f>F70*AF!E20*ACT2FLO!E24/1000</f>
        <v>0</v>
      </c>
      <c r="AJ94" s="656">
        <f>G70*AF!F20*ACT2FLO!F24/1000</f>
        <v>0.31722651729000001</v>
      </c>
      <c r="AK94" s="656">
        <f>H70*AF!G20*ACT2FLO!G24/1000</f>
        <v>0</v>
      </c>
      <c r="AL94" s="656">
        <f>I70*AF!H20*ACT2FLO!H24/1000</f>
        <v>0</v>
      </c>
      <c r="AM94" s="656">
        <f>J70*AF!I20*ACT2FLO!I24/1000</f>
        <v>0</v>
      </c>
      <c r="AN94" s="656">
        <f>K70*AF!J20*ACT2FLO!J24/1000</f>
        <v>0</v>
      </c>
      <c r="AO94" s="656">
        <f>L70*AF!K20*ACT2FLO!K24/1000</f>
        <v>0</v>
      </c>
      <c r="AP94" s="656">
        <f>M70*AF!L20*ACT2FLO!L24/1000</f>
        <v>0</v>
      </c>
      <c r="AQ94" s="656">
        <f>N70*AF!M20*ACT2FLO!M24/1000</f>
        <v>0</v>
      </c>
      <c r="AR94" s="656">
        <f>O70*AF!N20*ACT2FLO!N24/1000</f>
        <v>0</v>
      </c>
      <c r="AS94" s="656">
        <f>P70*AF!O20*ACT2FLO!O24/1000</f>
        <v>0</v>
      </c>
      <c r="AT94" s="656">
        <f>Q70*AF!P20*ACT2FLO!P24/1000</f>
        <v>0</v>
      </c>
      <c r="AU94" s="656">
        <f>R70*AF!Q20*ACT2FLO!Q24/1000</f>
        <v>0</v>
      </c>
      <c r="AV94" s="656">
        <f>S70*AF!R20*ACT2FLO!R24/1000</f>
        <v>0</v>
      </c>
      <c r="AW94" s="656">
        <f>T70*AF!S20*ACT2FLO!S24/1000</f>
        <v>0</v>
      </c>
      <c r="AX94" s="656">
        <f>U70*AF!T20*ACT2FLO!T24/1000</f>
        <v>0</v>
      </c>
      <c r="AY94" s="656">
        <f>V70*AF!U20*ACT2FLO!U24/1000</f>
        <v>0</v>
      </c>
      <c r="AZ94" s="656">
        <f>W70*AF!V20*ACT2FLO!V24/1000</f>
        <v>0</v>
      </c>
      <c r="BA94" s="656">
        <f>X70*AF!W20*ACT2FLO!W24/1000</f>
        <v>0</v>
      </c>
      <c r="BB94" s="656">
        <f>Y70*AF!X20*ACT2FLO!X24/1000</f>
        <v>0</v>
      </c>
      <c r="BC94" s="656">
        <f>Z70*AF!Y20*ACT2FLO!Y24/1000</f>
        <v>0</v>
      </c>
      <c r="BD94" s="656">
        <f>AA70*AF!Z20*ACT2FLO!Z24/1000</f>
        <v>0</v>
      </c>
      <c r="BE94" s="656">
        <f>AB70*AF!AA20*ACT2FLO!AA24/1000</f>
        <v>0</v>
      </c>
      <c r="BF94" s="656">
        <f>AC70*AF!AB20*ACT2FLO!AB24/1000</f>
        <v>0</v>
      </c>
      <c r="BG94" s="656">
        <f>AD70*AF!AC20*ACT2FLO!AC24/1000</f>
        <v>0</v>
      </c>
      <c r="BH94" s="656">
        <f>AE70*AF!AD20*ACT2FLO!AD24/1000</f>
        <v>0</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459" customFormat="1">
      <c r="A95" s="127" t="str">
        <f>Commodities!K8</f>
        <v>T-WLK_WLK</v>
      </c>
      <c r="B95" s="28" t="s">
        <v>869</v>
      </c>
      <c r="C95" s="127" t="str">
        <f>Commodities!B6</f>
        <v>TRAWLK</v>
      </c>
      <c r="D95" s="127" t="str">
        <f>Commodities!B22</f>
        <v>TRAPS</v>
      </c>
      <c r="E95" s="722">
        <v>4700</v>
      </c>
      <c r="F95" s="722">
        <f>$E$95*Demands!C185</f>
        <v>56.192353206149228</v>
      </c>
      <c r="G95" s="722">
        <f>$E$95*Demands!D185</f>
        <v>1329.8544372845527</v>
      </c>
      <c r="H95" s="722">
        <f>$E$95*Demands!E185</f>
        <v>219.6132817709026</v>
      </c>
      <c r="I95" s="722">
        <f>$E$95*Demands!F185</f>
        <v>97.94280182239514</v>
      </c>
      <c r="J95" s="722">
        <f>$E$95*Demands!G185</f>
        <v>83.596637031919158</v>
      </c>
      <c r="K95" s="722">
        <f>$E$95*Demands!H185</f>
        <v>40.341987855598568</v>
      </c>
      <c r="L95" s="722">
        <f>$E$95*Demands!I185</f>
        <v>127.20957019991108</v>
      </c>
      <c r="M95" s="722">
        <f>$E$95*Demands!J185</f>
        <v>192.51003545879593</v>
      </c>
      <c r="N95" s="722">
        <f>$E$95*Demands!K185</f>
        <v>76.948149517048407</v>
      </c>
      <c r="O95" s="722">
        <f>$E$95*Demands!L185</f>
        <v>87.616721599625293</v>
      </c>
      <c r="P95" s="722">
        <f>$E$95*Demands!M185</f>
        <v>147.77684793668016</v>
      </c>
      <c r="Q95" s="722">
        <f>$E$95*Demands!N185</f>
        <v>140.57464879831736</v>
      </c>
      <c r="R95" s="722">
        <f>$E$95*Demands!O185</f>
        <v>117.27335823254116</v>
      </c>
      <c r="S95" s="722">
        <f>$E$95*Demands!P185</f>
        <v>535.81519005683663</v>
      </c>
      <c r="T95" s="722">
        <f>$E$95*Demands!Q185</f>
        <v>145.78802633001976</v>
      </c>
      <c r="U95" s="722">
        <f>$E$95*Demands!R185</f>
        <v>192.36691926377571</v>
      </c>
      <c r="V95" s="722">
        <f>$E$95*Demands!S185</f>
        <v>157.48012595905166</v>
      </c>
      <c r="W95" s="722">
        <f>$E$95*Demands!T185</f>
        <v>114.66666946668995</v>
      </c>
      <c r="X95" s="722">
        <f>$E$95*Demands!U185</f>
        <v>254.70537278986262</v>
      </c>
      <c r="Y95" s="722">
        <f>$E$95*Demands!V185</f>
        <v>31.627692091228937</v>
      </c>
      <c r="Z95" s="722">
        <f>$E$95*Demands!W185</f>
        <v>128.81148457589612</v>
      </c>
      <c r="AA95" s="722">
        <f>$E$95*Demands!X185</f>
        <v>63.705459940590451</v>
      </c>
      <c r="AB95" s="722">
        <f>$E$95*Demands!Y185</f>
        <v>64.683585107935599</v>
      </c>
      <c r="AC95" s="722">
        <f>$E$95*Demands!Z185</f>
        <v>75.186339805937322</v>
      </c>
      <c r="AD95" s="722">
        <f>$E$95*Demands!AA185</f>
        <v>157.12381598386332</v>
      </c>
      <c r="AE95" s="722">
        <f>$E$95*Demands!AB185</f>
        <v>60.588487913874033</v>
      </c>
      <c r="AG95" s="714" t="s">
        <v>366</v>
      </c>
      <c r="AH95" s="656">
        <f>SUMPRODUCT(E71:E72,AF!D21:'AF'!D22,ACT2FLO!D25:'ACT2FLO'!D26)/1000</f>
        <v>2.2810873993599996</v>
      </c>
      <c r="AI95" s="656">
        <f>SUMPRODUCT(F71:F72,AF!E21:'AF'!E22,ACT2FLO!E25:'ACT2FLO'!E26)/1000</f>
        <v>2.7273274924122255E-2</v>
      </c>
      <c r="AJ95" s="656">
        <f>SUMPRODUCT(G71:G72,AF!F21:'AF'!F22,ACT2FLO!F25:'ACT2FLO'!F26)/1000</f>
        <v>0.6454765761280199</v>
      </c>
      <c r="AK95" s="656">
        <f>SUMPRODUCT(H71:H72,AF!G21:'AF'!G22,ACT2FLO!G25:'ACT2FLO'!G26)/1000</f>
        <v>0.10659054246674803</v>
      </c>
      <c r="AL95" s="656">
        <f>SUMPRODUCT(I71:I72,AF!H21:'AF'!H22,ACT2FLO!H25:'ACT2FLO'!H26)/1000</f>
        <v>4.7537090164942383E-2</v>
      </c>
      <c r="AM95" s="656">
        <f>SUMPRODUCT(J71:J72,AF!I21:'AF'!I22,ACT2FLO!I25:'ACT2FLO'!I26)/1000</f>
        <v>4.0574098332192478E-2</v>
      </c>
      <c r="AN95" s="656">
        <f>SUMPRODUCT(K71:K72,AF!J21:'AF'!J22,ACT2FLO!J25:'ACT2FLO'!J26)/1000</f>
        <v>1.9580210882696007E-2</v>
      </c>
      <c r="AO95" s="656">
        <f>SUMPRODUCT(L71:L72,AF!K21:'AF'!K22,ACT2FLO!K25:'ACT2FLO'!K26)/1000</f>
        <v>6.1741880933755586E-2</v>
      </c>
      <c r="AP95" s="656">
        <f>SUMPRODUCT(M71:M72,AF!L21:'AF'!L22,ACT2FLO!L25:'ACT2FLO'!L26)/1000</f>
        <v>9.3435829310414192E-2</v>
      </c>
      <c r="AQ95" s="656">
        <f>SUMPRODUCT(N71:N72,AF!M21:'AF'!M22,ACT2FLO!M25:'ACT2FLO'!M26)/1000</f>
        <v>3.7347217493843447E-2</v>
      </c>
      <c r="AR95" s="656">
        <f>SUMPRODUCT(O71:O72,AF!N21:'AF'!N22,ACT2FLO!N25:'ACT2FLO'!N26)/1000</f>
        <v>4.2525269005380673E-2</v>
      </c>
      <c r="AS95" s="656">
        <f>SUMPRODUCT(P71:P72,AF!O21:'AF'!O22,ACT2FLO!O25:'ACT2FLO'!O26)/1000</f>
        <v>7.1724324952389382E-2</v>
      </c>
      <c r="AT95" s="656">
        <f>SUMPRODUCT(Q71:Q72,AF!P21:'AF'!P22,ACT2FLO!P25:'ACT2FLO'!P26)/1000</f>
        <v>6.8228697060846485E-2</v>
      </c>
      <c r="AU95" s="656">
        <f>SUMPRODUCT(R71:R72,AF!Q21:'AF'!Q22,ACT2FLO!Q25:'ACT2FLO'!Q26)/1000</f>
        <v>5.6919284526442668E-2</v>
      </c>
      <c r="AV95" s="656">
        <f>SUMPRODUCT(S71:S72,AF!R21:'AF'!R22,ACT2FLO!R25:'ACT2FLO'!R26)/1000</f>
        <v>0.26006091849062746</v>
      </c>
      <c r="AW95" s="656">
        <f>SUMPRODUCT(T71:T72,AF!S21:'AF'!S22,ACT2FLO!S25:'ACT2FLO'!S26)/1000</f>
        <v>7.0759039190917708E-2</v>
      </c>
      <c r="AX95" s="656">
        <f>SUMPRODUCT(U71:U72,AF!T21:'AF'!T22,ACT2FLO!T25:'ACT2FLO'!T26)/1000</f>
        <v>9.3366367059588687E-2</v>
      </c>
      <c r="AY95" s="656">
        <f>SUMPRODUCT(V71:V72,AF!U21:'AF'!U22,ACT2FLO!U25:'ACT2FLO'!U26)/1000</f>
        <v>7.6433865558358738E-2</v>
      </c>
      <c r="AZ95" s="656">
        <f>SUMPRODUCT(W71:W72,AF!V21:'AF'!V22,ACT2FLO!V25:'ACT2FLO'!V26)/1000</f>
        <v>5.565411346140707E-2</v>
      </c>
      <c r="BA95" s="656">
        <f>SUMPRODUCT(X71:X72,AF!W21:'AF'!W22,ACT2FLO!W25:'ACT2FLO'!W26)/1000</f>
        <v>0.12362268636916218</v>
      </c>
      <c r="BB95" s="656">
        <f>SUMPRODUCT(Y71:Y72,AF!X21:'AF'!X22,ACT2FLO!X25:'ACT2FLO'!X26)/1000</f>
        <v>1.5350678382431211E-2</v>
      </c>
      <c r="BC95" s="656">
        <f>SUMPRODUCT(Z71:Z72,AF!Y21:'AF'!Y22,ACT2FLO!Y25:'ACT2FLO'!Y26)/1000</f>
        <v>6.251937909299557E-2</v>
      </c>
      <c r="BD95" s="656">
        <f>SUMPRODUCT(AA71:AA72,AF!Z21:'AF'!Z22,ACT2FLO!Z25:'ACT2FLO'!Z26)/1000</f>
        <v>3.0919803567458496E-2</v>
      </c>
      <c r="BE95" s="656">
        <f>SUMPRODUCT(AB71:AB72,AF!AA21:'AF'!AA22,ACT2FLO!AA25:'ACT2FLO'!AA26)/1000</f>
        <v>3.1394542123100402E-2</v>
      </c>
      <c r="BF95" s="656">
        <f>SUMPRODUCT(AC71:AC72,AF!AB21:'AF'!AB22,ACT2FLO!AB25:'ACT2FLO'!AB26)/1000</f>
        <v>3.6492113233681178E-2</v>
      </c>
      <c r="BG95" s="656">
        <f>SUMPRODUCT(AD71:AD72,AF!AC21:'AF'!AC22,ACT2FLO!AC25:'ACT2FLO'!AC26)/1000</f>
        <v>7.6260928506303491E-2</v>
      </c>
      <c r="BH95" s="656">
        <f>SUMPRODUCT(AE71:AE72,AF!AD21:'AF'!AD22,ACT2FLO!AD25:'ACT2FLO'!AD26)/1000</f>
        <v>2.9406963649479534E-2</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459" customFormat="1">
      <c r="A96" s="651" t="str">
        <f>Commodities!K9</f>
        <v>T-CYC_CYC</v>
      </c>
      <c r="B96" s="129" t="s">
        <v>869</v>
      </c>
      <c r="C96" s="651" t="str">
        <f>Commodities!B7</f>
        <v>TRACYC</v>
      </c>
      <c r="D96" s="651" t="str">
        <f>Commodities!B22</f>
        <v>TRAPS</v>
      </c>
      <c r="E96" s="723">
        <v>2000</v>
      </c>
      <c r="F96" s="723">
        <f>$E$96*Demands!C185</f>
        <v>23.91163966219116</v>
      </c>
      <c r="G96" s="723">
        <f>$E$96*Demands!D185</f>
        <v>565.89550522746924</v>
      </c>
      <c r="H96" s="723">
        <f>$E$96*Demands!E185</f>
        <v>93.452460328043657</v>
      </c>
      <c r="I96" s="723">
        <f>$E$96*Demands!F185</f>
        <v>41.677788009529849</v>
      </c>
      <c r="J96" s="723">
        <f>$E$96*Demands!G185</f>
        <v>35.573037034859212</v>
      </c>
      <c r="K96" s="723">
        <f>$E$96*Demands!H185</f>
        <v>17.166803342807903</v>
      </c>
      <c r="L96" s="723">
        <f>$E$96*Demands!I185</f>
        <v>54.131731999962163</v>
      </c>
      <c r="M96" s="723">
        <f>$E$96*Demands!J185</f>
        <v>81.919164025019541</v>
      </c>
      <c r="N96" s="723">
        <f>$E$96*Demands!K185</f>
        <v>32.743893411509958</v>
      </c>
      <c r="O96" s="723">
        <f>$E$96*Demands!L185</f>
        <v>37.283711318989482</v>
      </c>
      <c r="P96" s="723">
        <f>$E$96*Demands!M185</f>
        <v>62.883765079438369</v>
      </c>
      <c r="Q96" s="723">
        <f>$E$96*Demands!N185</f>
        <v>59.818999488645687</v>
      </c>
      <c r="R96" s="723">
        <f>$E$96*Demands!O185</f>
        <v>49.903556694698366</v>
      </c>
      <c r="S96" s="723">
        <f>$E$96*Demands!P185</f>
        <v>228.00646385397303</v>
      </c>
      <c r="T96" s="723">
        <f>$E$96*Demands!Q185</f>
        <v>62.037458012774366</v>
      </c>
      <c r="U96" s="723">
        <f>$E$96*Demands!R185</f>
        <v>81.858263516500301</v>
      </c>
      <c r="V96" s="723">
        <f>$E$96*Demands!S185</f>
        <v>67.012819557043258</v>
      </c>
      <c r="W96" s="723">
        <f>$E$96*Demands!T185</f>
        <v>48.794327432634027</v>
      </c>
      <c r="X96" s="723">
        <f>$E$96*Demands!U185</f>
        <v>108.38526501696282</v>
      </c>
      <c r="Y96" s="723">
        <f>$E$96*Demands!V185</f>
        <v>13.458592379246356</v>
      </c>
      <c r="Z96" s="723">
        <f>$E$96*Demands!W185</f>
        <v>54.813397691870691</v>
      </c>
      <c r="AA96" s="723">
        <f>$E$96*Demands!X185</f>
        <v>27.108706357698065</v>
      </c>
      <c r="AB96" s="723">
        <f>$E$96*Demands!Y185</f>
        <v>27.524929833164087</v>
      </c>
      <c r="AC96" s="723">
        <f>$E$96*Demands!Z185</f>
        <v>31.99418715146269</v>
      </c>
      <c r="AD96" s="723">
        <f>$E$96*Demands!AA185</f>
        <v>66.861198291005678</v>
      </c>
      <c r="AE96" s="723">
        <f>$E$96*Demands!AB185</f>
        <v>25.782335282499588</v>
      </c>
      <c r="AG96" s="773" t="s">
        <v>16</v>
      </c>
      <c r="AH96" s="778">
        <f t="shared" ref="AH96" si="111">SUM(AH90:AH95)</f>
        <v>67.476663407459995</v>
      </c>
      <c r="AI96" s="778">
        <f t="shared" ref="AI96" si="112">SUM(AI90:AI95)</f>
        <v>0.93916094199739741</v>
      </c>
      <c r="AJ96" s="778">
        <f t="shared" ref="AJ96" si="113">SUM(AJ90:AJ95)</f>
        <v>16.54623232531122</v>
      </c>
      <c r="AK96" s="778">
        <f t="shared" ref="AK96" si="114">SUM(AK90:AK95)</f>
        <v>3.3585098006505096</v>
      </c>
      <c r="AL96" s="778">
        <f t="shared" ref="AL96" si="115">SUM(AL90:AL95)</f>
        <v>1.6049885044971364</v>
      </c>
      <c r="AM96" s="778">
        <f t="shared" ref="AM96" si="116">SUM(AM90:AM95)</f>
        <v>1.1971593472086677</v>
      </c>
      <c r="AN96" s="778">
        <f t="shared" ref="AN96" si="117">SUM(AN90:AN95)</f>
        <v>0.61586836850909721</v>
      </c>
      <c r="AO96" s="778">
        <f t="shared" ref="AO96" si="118">SUM(AO90:AO95)</f>
        <v>1.6706679542211882</v>
      </c>
      <c r="AP96" s="778">
        <f t="shared" ref="AP96" si="119">SUM(AP90:AP95)</f>
        <v>2.8772078847486324</v>
      </c>
      <c r="AQ96" s="778">
        <f t="shared" ref="AQ96" si="120">SUM(AQ90:AQ95)</f>
        <v>1.2255027269692831</v>
      </c>
      <c r="AR96" s="778">
        <f t="shared" ref="AR96" si="121">SUM(AR90:AR95)</f>
        <v>1.3725212819747608</v>
      </c>
      <c r="AS96" s="778">
        <f t="shared" ref="AS96" si="122">SUM(AS90:AS95)</f>
        <v>2.4387290069750645</v>
      </c>
      <c r="AT96" s="778">
        <f t="shared" ref="AT96" si="123">SUM(AT90:AT95)</f>
        <v>2.0718674379153272</v>
      </c>
      <c r="AU96" s="778">
        <f t="shared" ref="AU96" si="124">SUM(AU90:AU95)</f>
        <v>1.8789272373127055</v>
      </c>
      <c r="AV96" s="778">
        <f t="shared" ref="AV96" si="125">SUM(AV90:AV95)</f>
        <v>7.5858674929288634</v>
      </c>
      <c r="AW96" s="778">
        <f t="shared" ref="AW96" si="126">SUM(AW90:AW95)</f>
        <v>2.5102943003068217</v>
      </c>
      <c r="AX96" s="778">
        <f t="shared" ref="AX96" si="127">SUM(AX90:AX95)</f>
        <v>2.8038798715760769</v>
      </c>
      <c r="AY96" s="778">
        <f t="shared" ref="AY96" si="128">SUM(AY90:AY95)</f>
        <v>2.7128157432435316</v>
      </c>
      <c r="AZ96" s="778">
        <f t="shared" ref="AZ96" si="129">SUM(AZ90:AZ95)</f>
        <v>1.7081945860740129</v>
      </c>
      <c r="BA96" s="778">
        <f t="shared" ref="BA96" si="130">SUM(BA90:BA95)</f>
        <v>3.8477456578695475</v>
      </c>
      <c r="BB96" s="778">
        <f t="shared" ref="BB96" si="131">SUM(BB90:BB95)</f>
        <v>0.50145333467243125</v>
      </c>
      <c r="BC96" s="778">
        <f t="shared" ref="BC96" si="132">SUM(BC90:BC95)</f>
        <v>2.1363889422296412</v>
      </c>
      <c r="BD96" s="778">
        <f t="shared" ref="BD96" si="133">SUM(BD90:BD95)</f>
        <v>1.1374453311296098</v>
      </c>
      <c r="BE96" s="778">
        <f t="shared" ref="BE96" si="134">SUM(BE90:BE95)</f>
        <v>0.93884328760395064</v>
      </c>
      <c r="BF96" s="778">
        <f t="shared" ref="BF96" si="135">SUM(BF90:BF95)</f>
        <v>1.161307950467465</v>
      </c>
      <c r="BG96" s="778">
        <f t="shared" ref="BG96" si="136">SUM(BG90:BG95)</f>
        <v>2.3748266594389795</v>
      </c>
      <c r="BH96" s="778">
        <f t="shared" ref="BH96" si="137">SUM(BH90:BH95)</f>
        <v>1.0466770024581407</v>
      </c>
    </row>
    <row r="97" spans="1:61" s="459" customFormat="1">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c r="AC97" s="656"/>
      <c r="AD97" s="656"/>
    </row>
    <row r="98" spans="1:61" s="459" customFormat="1">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c r="AC98" s="656"/>
      <c r="AD98" s="656"/>
    </row>
    <row r="99" spans="1:61" s="459" customFormat="1">
      <c r="A99" s="453" t="s">
        <v>750</v>
      </c>
      <c r="B99" s="453"/>
      <c r="AG99" s="714" t="s">
        <v>1100</v>
      </c>
    </row>
    <row r="100" spans="1:61" s="459" customFormat="1" ht="15" thickBot="1">
      <c r="A100" s="41" t="s">
        <v>70</v>
      </c>
      <c r="B100" s="670" t="s">
        <v>171</v>
      </c>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c r="AC100" s="656"/>
      <c r="AD100" s="656"/>
      <c r="AG100" s="716" t="s">
        <v>359</v>
      </c>
      <c r="AH100" s="716" t="str">
        <f>AH89</f>
        <v>IE</v>
      </c>
      <c r="AI100" s="716" t="str">
        <f t="shared" ref="AI100:BH100" si="138">AI89</f>
        <v>IE-CW</v>
      </c>
      <c r="AJ100" s="716" t="str">
        <f t="shared" si="138"/>
        <v>IE-D</v>
      </c>
      <c r="AK100" s="716" t="str">
        <f t="shared" si="138"/>
        <v>IE-KE</v>
      </c>
      <c r="AL100" s="716" t="str">
        <f t="shared" si="138"/>
        <v>IE-KK</v>
      </c>
      <c r="AM100" s="716" t="str">
        <f t="shared" si="138"/>
        <v>IE-LS</v>
      </c>
      <c r="AN100" s="716" t="str">
        <f t="shared" si="138"/>
        <v>IE-LD</v>
      </c>
      <c r="AO100" s="716" t="str">
        <f t="shared" si="138"/>
        <v>IE-LH</v>
      </c>
      <c r="AP100" s="716" t="str">
        <f t="shared" si="138"/>
        <v>IE-MH</v>
      </c>
      <c r="AQ100" s="716" t="str">
        <f t="shared" si="138"/>
        <v>IE-OY</v>
      </c>
      <c r="AR100" s="716" t="str">
        <f t="shared" si="138"/>
        <v>IE-WH</v>
      </c>
      <c r="AS100" s="716" t="str">
        <f t="shared" si="138"/>
        <v>IE-WX</v>
      </c>
      <c r="AT100" s="716" t="str">
        <f t="shared" si="138"/>
        <v>IE-WW</v>
      </c>
      <c r="AU100" s="716" t="str">
        <f t="shared" si="138"/>
        <v>IE-CE</v>
      </c>
      <c r="AV100" s="716" t="str">
        <f t="shared" si="138"/>
        <v>IE-CO</v>
      </c>
      <c r="AW100" s="716" t="str">
        <f t="shared" si="138"/>
        <v>IE-KY</v>
      </c>
      <c r="AX100" s="716" t="str">
        <f t="shared" si="138"/>
        <v>IE-LK</v>
      </c>
      <c r="AY100" s="716" t="str">
        <f t="shared" si="138"/>
        <v>IE-TA</v>
      </c>
      <c r="AZ100" s="716" t="str">
        <f t="shared" si="138"/>
        <v>IE-WD</v>
      </c>
      <c r="BA100" s="716" t="str">
        <f t="shared" si="138"/>
        <v>IE-G</v>
      </c>
      <c r="BB100" s="716" t="str">
        <f t="shared" si="138"/>
        <v>IE-LM</v>
      </c>
      <c r="BC100" s="716" t="str">
        <f t="shared" si="138"/>
        <v>IE-MO</v>
      </c>
      <c r="BD100" s="716" t="str">
        <f t="shared" si="138"/>
        <v>IE-RN</v>
      </c>
      <c r="BE100" s="716" t="str">
        <f t="shared" si="138"/>
        <v>IE-SO</v>
      </c>
      <c r="BF100" s="716" t="str">
        <f t="shared" si="138"/>
        <v>IE-CN</v>
      </c>
      <c r="BG100" s="716" t="str">
        <f t="shared" si="138"/>
        <v>IE-DL</v>
      </c>
      <c r="BH100" s="716" t="str">
        <f t="shared" si="138"/>
        <v>IE-MN</v>
      </c>
    </row>
    <row r="101" spans="1:61" s="459" customFormat="1" ht="15.6">
      <c r="A101" s="455" t="s">
        <v>666</v>
      </c>
      <c r="B101" s="573"/>
      <c r="AG101" s="714" t="s">
        <v>368</v>
      </c>
      <c r="AH101" s="783">
        <f t="shared" ref="AH101:BH101" si="139">AH90-AH116-AH129-AH142</f>
        <v>9.0775131999996928E-4</v>
      </c>
      <c r="AI101" s="783">
        <f t="shared" si="139"/>
        <v>3.8463099999999943E-4</v>
      </c>
      <c r="AJ101" s="793">
        <f t="shared" si="139"/>
        <v>1.7542079999995075E-5</v>
      </c>
      <c r="AK101" s="783">
        <f t="shared" si="139"/>
        <v>6.745939199999983E-4</v>
      </c>
      <c r="AL101" s="783">
        <f t="shared" si="139"/>
        <v>1.1254399999999958E-4</v>
      </c>
      <c r="AM101" s="783">
        <f t="shared" si="139"/>
        <v>2.9022999999999994E-4</v>
      </c>
      <c r="AN101" s="783">
        <f t="shared" si="139"/>
        <v>2.8841799999998041E-6</v>
      </c>
      <c r="AO101" s="783">
        <f t="shared" si="139"/>
        <v>1.5808999999999919E-4</v>
      </c>
      <c r="AP101" s="783">
        <f t="shared" si="139"/>
        <v>6.1759999999983634E-7</v>
      </c>
      <c r="AQ101" s="783">
        <f t="shared" si="139"/>
        <v>3.3113599999996281E-6</v>
      </c>
      <c r="AR101" s="783">
        <f t="shared" si="139"/>
        <v>6.4723999999992572E-6</v>
      </c>
      <c r="AS101" s="783">
        <f t="shared" si="139"/>
        <v>1.5862000000001035E-6</v>
      </c>
      <c r="AT101" s="783">
        <f t="shared" si="139"/>
        <v>3.8223999999999897E-5</v>
      </c>
      <c r="AU101" s="783">
        <f t="shared" si="139"/>
        <v>2.4847679999999601E-5</v>
      </c>
      <c r="AV101" s="783">
        <f t="shared" si="139"/>
        <v>6.0122879999999213E-5</v>
      </c>
      <c r="AW101" s="783">
        <f t="shared" si="139"/>
        <v>1.5455999999992691E-6</v>
      </c>
      <c r="AX101" s="783">
        <f t="shared" si="139"/>
        <v>2.2330000000000527E-5</v>
      </c>
      <c r="AY101" s="783">
        <f t="shared" si="139"/>
        <v>1.2556479999998888E-5</v>
      </c>
      <c r="AZ101" s="783">
        <f t="shared" si="139"/>
        <v>1.2386399999999957E-4</v>
      </c>
      <c r="BA101" s="783">
        <f t="shared" si="139"/>
        <v>1.0624959999998643E-5</v>
      </c>
      <c r="BB101" s="783">
        <f t="shared" si="139"/>
        <v>3.0799999999995978E-6</v>
      </c>
      <c r="BC101" s="783">
        <f t="shared" si="139"/>
        <v>3.4825999999993015E-6</v>
      </c>
      <c r="BD101" s="783">
        <f t="shared" si="139"/>
        <v>2.9253499999997703E-6</v>
      </c>
      <c r="BE101" s="783">
        <f t="shared" si="139"/>
        <v>1.5679999999998603E-6</v>
      </c>
      <c r="BF101" s="783">
        <f t="shared" si="139"/>
        <v>1.1452799999999981E-4</v>
      </c>
      <c r="BG101" s="783">
        <f t="shared" si="139"/>
        <v>2.0099840000000098E-5</v>
      </c>
      <c r="BH101" s="783">
        <f t="shared" si="139"/>
        <v>4.5495999999999471E-6</v>
      </c>
    </row>
    <row r="102" spans="1:61" s="459" customFormat="1">
      <c r="A102" s="127" t="str">
        <f>A95</f>
        <v>T-WLK_WLK</v>
      </c>
      <c r="B102" s="671">
        <v>100</v>
      </c>
      <c r="AG102" s="714" t="s">
        <v>367</v>
      </c>
      <c r="AH102" s="783">
        <f t="shared" ref="AH102:BH102" si="140">AH91-AH117-AH130-AH143</f>
        <v>8.1717555973064293E-3</v>
      </c>
      <c r="AI102" s="783">
        <f t="shared" si="140"/>
        <v>4.6179759223747285E-3</v>
      </c>
      <c r="AJ102" s="793">
        <f t="shared" si="140"/>
        <v>5.9646149028802498E-3</v>
      </c>
      <c r="AK102" s="783">
        <f t="shared" si="140"/>
        <v>1.3527164057488772E-2</v>
      </c>
      <c r="AL102" s="783">
        <f t="shared" si="140"/>
        <v>7.976437898721267E-3</v>
      </c>
      <c r="AM102" s="783">
        <f t="shared" si="140"/>
        <v>1.3794206747033133E-3</v>
      </c>
      <c r="AN102" s="783">
        <f t="shared" si="140"/>
        <v>1.862440074430205E-4</v>
      </c>
      <c r="AO102" s="783">
        <f t="shared" si="140"/>
        <v>5.533239026392911E-3</v>
      </c>
      <c r="AP102" s="783">
        <f t="shared" si="140"/>
        <v>1.0567262136346733E-2</v>
      </c>
      <c r="AQ102" s="783">
        <f t="shared" si="140"/>
        <v>2.9521114543379356E-3</v>
      </c>
      <c r="AR102" s="783">
        <f t="shared" si="140"/>
        <v>2.4089291476256935E-3</v>
      </c>
      <c r="AS102" s="783">
        <f t="shared" si="140"/>
        <v>7.2393063789962797E-3</v>
      </c>
      <c r="AT102" s="783">
        <f t="shared" si="140"/>
        <v>7.3918699315089764E-4</v>
      </c>
      <c r="AU102" s="783">
        <f t="shared" si="140"/>
        <v>9.0303115479455354E-3</v>
      </c>
      <c r="AV102" s="783">
        <f t="shared" si="140"/>
        <v>1.9445396121482439E-3</v>
      </c>
      <c r="AW102" s="783">
        <f t="shared" si="140"/>
        <v>1.2112778381917932E-2</v>
      </c>
      <c r="AX102" s="783">
        <f t="shared" si="140"/>
        <v>8.6571321269408585E-3</v>
      </c>
      <c r="AY102" s="783">
        <f t="shared" si="140"/>
        <v>5.3116014566211289E-3</v>
      </c>
      <c r="AZ102" s="783">
        <f t="shared" si="140"/>
        <v>1.0631193542468553E-3</v>
      </c>
      <c r="BA102" s="783">
        <f t="shared" si="140"/>
        <v>2.1368938397272608E-3</v>
      </c>
      <c r="BB102" s="783">
        <f t="shared" si="140"/>
        <v>8.0695188315077493E-4</v>
      </c>
      <c r="BC102" s="783">
        <f t="shared" si="140"/>
        <v>6.0211922039269394E-3</v>
      </c>
      <c r="BD102" s="783">
        <f t="shared" si="140"/>
        <v>2.6896360586760037E-3</v>
      </c>
      <c r="BE102" s="783">
        <f t="shared" si="140"/>
        <v>5.0806515136984642E-3</v>
      </c>
      <c r="BF102" s="783">
        <f t="shared" si="140"/>
        <v>5.7643835045663172E-3</v>
      </c>
      <c r="BG102" s="783">
        <f t="shared" si="140"/>
        <v>1.0930954856164465E-2</v>
      </c>
      <c r="BH102" s="783">
        <f t="shared" si="140"/>
        <v>5.0652062871235359E-3</v>
      </c>
    </row>
    <row r="103" spans="1:61" s="459" customFormat="1">
      <c r="A103" s="127" t="str">
        <f>A96</f>
        <v>T-CYC_CYC</v>
      </c>
      <c r="B103" s="671">
        <v>100</v>
      </c>
      <c r="AG103" s="714" t="s">
        <v>364</v>
      </c>
      <c r="AH103" s="783">
        <f>AH92-AH118-AH131-AH144</f>
        <v>1.0856320719175305E-3</v>
      </c>
      <c r="AI103" s="783">
        <f t="shared" ref="AI103:BH103" si="141">AI92-AI118-AI131-AI144</f>
        <v>1.9644399119964594E-5</v>
      </c>
      <c r="AJ103" s="793">
        <f t="shared" si="141"/>
        <v>-7.5901983415244123E-4</v>
      </c>
      <c r="AK103" s="783">
        <f t="shared" si="141"/>
        <v>1.090658446741069E-4</v>
      </c>
      <c r="AL103" s="783">
        <f t="shared" si="141"/>
        <v>1.8894546714797768E-5</v>
      </c>
      <c r="AM103" s="783">
        <f t="shared" si="141"/>
        <v>-9.5821690041632615E-6</v>
      </c>
      <c r="AN103" s="783">
        <f t="shared" si="141"/>
        <v>-9.8141649231351779E-6</v>
      </c>
      <c r="AO103" s="783">
        <f t="shared" si="141"/>
        <v>-6.5368403343734824E-5</v>
      </c>
      <c r="AP103" s="783">
        <f t="shared" si="141"/>
        <v>1.4385637931503895E-4</v>
      </c>
      <c r="AQ103" s="783">
        <f t="shared" si="141"/>
        <v>-1.1785915466763427E-6</v>
      </c>
      <c r="AR103" s="783">
        <f t="shared" si="141"/>
        <v>-7.1626745926011912E-6</v>
      </c>
      <c r="AS103" s="783">
        <f t="shared" si="141"/>
        <v>1.1707971532442726E-5</v>
      </c>
      <c r="AT103" s="783">
        <f t="shared" si="141"/>
        <v>3.9456494846131299E-5</v>
      </c>
      <c r="AU103" s="783">
        <f t="shared" si="141"/>
        <v>4.5657866628035122E-5</v>
      </c>
      <c r="AV103" s="783">
        <f t="shared" si="141"/>
        <v>-2.6150459993834127E-4</v>
      </c>
      <c r="AW103" s="783">
        <f t="shared" si="141"/>
        <v>-4.9690535055332309E-5</v>
      </c>
      <c r="AX103" s="783">
        <f t="shared" si="141"/>
        <v>-3.1192799504458496E-6</v>
      </c>
      <c r="AY103" s="783">
        <f t="shared" si="141"/>
        <v>1.9489196862897649E-5</v>
      </c>
      <c r="AZ103" s="783">
        <f t="shared" si="141"/>
        <v>-3.3929678535733927E-5</v>
      </c>
      <c r="BA103" s="783">
        <f t="shared" si="141"/>
        <v>8.7519692804570101E-5</v>
      </c>
      <c r="BB103" s="783">
        <f t="shared" si="141"/>
        <v>-6.9465684931497695E-6</v>
      </c>
      <c r="BC103" s="783">
        <f t="shared" si="141"/>
        <v>4.1639525503902979E-5</v>
      </c>
      <c r="BD103" s="783">
        <f t="shared" si="141"/>
        <v>2.4105947995914367E-5</v>
      </c>
      <c r="BE103" s="783">
        <f t="shared" si="141"/>
        <v>6.0828638639284435E-6</v>
      </c>
      <c r="BF103" s="783">
        <f t="shared" si="141"/>
        <v>6.5282339667027851E-6</v>
      </c>
      <c r="BG103" s="783">
        <f t="shared" si="141"/>
        <v>-3.0118749789180381E-5</v>
      </c>
      <c r="BH103" s="783">
        <f t="shared" si="141"/>
        <v>-4.1137983223821922E-7</v>
      </c>
    </row>
    <row r="104" spans="1:61" s="459" customFormat="1" ht="15.6">
      <c r="A104" s="455" t="str">
        <f t="shared" ref="A104:A131" si="142">A51</f>
        <v>*Two-wheelers</v>
      </c>
      <c r="B104" s="573"/>
      <c r="AG104" s="714" t="s">
        <v>588</v>
      </c>
      <c r="AH104" s="783">
        <f>AH93-AH119-AH132-AH145</f>
        <v>8.3756831917281005E-4</v>
      </c>
      <c r="AI104" s="783">
        <f t="shared" ref="AI104:BH104" si="143">AI93-AI119-AI132-AI145</f>
        <v>3.1262559999981065E-5</v>
      </c>
      <c r="AJ104" s="793">
        <f t="shared" si="143"/>
        <v>1.141439660000243E-3</v>
      </c>
      <c r="AK104" s="783">
        <f t="shared" si="143"/>
        <v>7.7059510000004883E-5</v>
      </c>
      <c r="AL104" s="783">
        <f t="shared" si="143"/>
        <v>7.190479999999444E-5</v>
      </c>
      <c r="AM104" s="783">
        <f t="shared" si="143"/>
        <v>2.3321799999996562E-5</v>
      </c>
      <c r="AN104" s="783">
        <f t="shared" si="143"/>
        <v>6.8797500000147838E-6</v>
      </c>
      <c r="AO104" s="783">
        <f t="shared" si="143"/>
        <v>5.4310000000695746E-6</v>
      </c>
      <c r="AP104" s="783">
        <f t="shared" si="143"/>
        <v>2.3260560000015751E-5</v>
      </c>
      <c r="AQ104" s="783">
        <f t="shared" si="143"/>
        <v>6.3602570000015346E-5</v>
      </c>
      <c r="AR104" s="783">
        <f t="shared" si="143"/>
        <v>4.590400000024919E-6</v>
      </c>
      <c r="AS104" s="783">
        <f t="shared" si="143"/>
        <v>3.9955999999868874E-6</v>
      </c>
      <c r="AT104" s="783">
        <f t="shared" si="143"/>
        <v>5.8334039999968779E-5</v>
      </c>
      <c r="AU104" s="783">
        <f t="shared" si="143"/>
        <v>2.4633420000003126E-5</v>
      </c>
      <c r="AV104" s="783">
        <f t="shared" si="143"/>
        <v>2.0708482000003636E-4</v>
      </c>
      <c r="AW104" s="783">
        <f t="shared" si="143"/>
        <v>2.3694080000025153E-5</v>
      </c>
      <c r="AX104" s="783">
        <f t="shared" si="143"/>
        <v>2.4644480000057811E-5</v>
      </c>
      <c r="AY104" s="783">
        <f t="shared" si="143"/>
        <v>5.4681280000107302E-5</v>
      </c>
      <c r="AZ104" s="783">
        <f t="shared" si="143"/>
        <v>3.5953720000009293E-5</v>
      </c>
      <c r="BA104" s="783">
        <f t="shared" si="143"/>
        <v>7.7642880000117209E-5</v>
      </c>
      <c r="BB104" s="783">
        <f t="shared" si="143"/>
        <v>2.5240000000106844E-7</v>
      </c>
      <c r="BC104" s="783">
        <f t="shared" si="143"/>
        <v>1.6032120000009087E-5</v>
      </c>
      <c r="BD104" s="783">
        <f t="shared" si="143"/>
        <v>2.9186000000007428E-5</v>
      </c>
      <c r="BE104" s="783">
        <f t="shared" si="143"/>
        <v>2.324480000016893E-6</v>
      </c>
      <c r="BF104" s="783">
        <f t="shared" si="143"/>
        <v>0.14722297666015732</v>
      </c>
      <c r="BG104" s="783">
        <f t="shared" si="143"/>
        <v>0.50688890424901156</v>
      </c>
      <c r="BH104" s="783">
        <f t="shared" si="143"/>
        <v>5.499050000003225E-5</v>
      </c>
    </row>
    <row r="105" spans="1:61" s="459" customFormat="1">
      <c r="A105" s="127" t="str">
        <f t="shared" si="142"/>
        <v>T-MOT-ICE_GSL00</v>
      </c>
      <c r="B105" s="671">
        <v>10</v>
      </c>
      <c r="AG105" s="714" t="s">
        <v>575</v>
      </c>
      <c r="AH105" s="783">
        <f>AH94-AH120-AH133-AH146</f>
        <v>4.0280289999999885E-5</v>
      </c>
      <c r="AI105" s="783">
        <f t="shared" ref="AI105:BH105" si="144">AI94-AI120-AI133-AI146</f>
        <v>0</v>
      </c>
      <c r="AJ105" s="793">
        <f t="shared" si="144"/>
        <v>4.0280289999999885E-5</v>
      </c>
      <c r="AK105" s="783">
        <f t="shared" si="144"/>
        <v>0</v>
      </c>
      <c r="AL105" s="783">
        <f t="shared" si="144"/>
        <v>0</v>
      </c>
      <c r="AM105" s="783">
        <f t="shared" si="144"/>
        <v>0</v>
      </c>
      <c r="AN105" s="783">
        <f t="shared" si="144"/>
        <v>0</v>
      </c>
      <c r="AO105" s="783">
        <f t="shared" si="144"/>
        <v>0</v>
      </c>
      <c r="AP105" s="783">
        <f t="shared" si="144"/>
        <v>0</v>
      </c>
      <c r="AQ105" s="783">
        <f t="shared" si="144"/>
        <v>0</v>
      </c>
      <c r="AR105" s="783">
        <f t="shared" si="144"/>
        <v>0</v>
      </c>
      <c r="AS105" s="783">
        <f t="shared" si="144"/>
        <v>0</v>
      </c>
      <c r="AT105" s="783">
        <f t="shared" si="144"/>
        <v>0</v>
      </c>
      <c r="AU105" s="783">
        <f t="shared" si="144"/>
        <v>0</v>
      </c>
      <c r="AV105" s="783">
        <f t="shared" si="144"/>
        <v>0</v>
      </c>
      <c r="AW105" s="783">
        <f t="shared" si="144"/>
        <v>0</v>
      </c>
      <c r="AX105" s="783">
        <f t="shared" si="144"/>
        <v>0</v>
      </c>
      <c r="AY105" s="783">
        <f t="shared" si="144"/>
        <v>0</v>
      </c>
      <c r="AZ105" s="783">
        <f t="shared" si="144"/>
        <v>0</v>
      </c>
      <c r="BA105" s="783">
        <f t="shared" si="144"/>
        <v>0</v>
      </c>
      <c r="BB105" s="783">
        <f t="shared" si="144"/>
        <v>0</v>
      </c>
      <c r="BC105" s="783">
        <f t="shared" si="144"/>
        <v>0</v>
      </c>
      <c r="BD105" s="783">
        <f t="shared" si="144"/>
        <v>0</v>
      </c>
      <c r="BE105" s="783">
        <f t="shared" si="144"/>
        <v>0</v>
      </c>
      <c r="BF105" s="783">
        <f t="shared" si="144"/>
        <v>0</v>
      </c>
      <c r="BG105" s="783">
        <f t="shared" si="144"/>
        <v>0</v>
      </c>
      <c r="BH105" s="783">
        <f t="shared" si="144"/>
        <v>0</v>
      </c>
    </row>
    <row r="106" spans="1:61" s="459" customFormat="1" ht="15.6">
      <c r="A106" s="455" t="str">
        <f t="shared" si="142"/>
        <v>*Private cars</v>
      </c>
      <c r="B106" s="573"/>
      <c r="AG106" s="458" t="s">
        <v>366</v>
      </c>
      <c r="AH106" s="784">
        <f>AH95-AH121-AH134-AH147</f>
        <v>4.3993599994074373E-6</v>
      </c>
      <c r="AI106" s="784">
        <f t="shared" ref="AI106:BH106" si="145">AI95-AI121-AI134-AI147</f>
        <v>1.0575563472552119E-6</v>
      </c>
      <c r="AJ106" s="794">
        <f t="shared" si="145"/>
        <v>4.9267752624371219E-5</v>
      </c>
      <c r="AK106" s="784">
        <f t="shared" si="145"/>
        <v>4.13318551061026E-6</v>
      </c>
      <c r="AL106" s="784">
        <f t="shared" si="145"/>
        <v>1.8433118711830287E-6</v>
      </c>
      <c r="AM106" s="784">
        <f t="shared" si="145"/>
        <v>1.5733128985936928E-6</v>
      </c>
      <c r="AN106" s="784">
        <f t="shared" si="145"/>
        <v>7.592478848683637E-7</v>
      </c>
      <c r="AO106" s="784">
        <f t="shared" si="145"/>
        <v>2.3941209207345437E-6</v>
      </c>
      <c r="AP106" s="784">
        <f t="shared" si="145"/>
        <v>3.6230945723580987E-6</v>
      </c>
      <c r="AQ106" s="784">
        <f t="shared" si="145"/>
        <v>1.4481864397536404E-6</v>
      </c>
      <c r="AR106" s="784">
        <f t="shared" si="145"/>
        <v>1.6489720534237917E-6</v>
      </c>
      <c r="AS106" s="784">
        <f t="shared" si="145"/>
        <v>2.78120303912055E-6</v>
      </c>
      <c r="AT106" s="784">
        <f t="shared" si="145"/>
        <v>2.6456555673043392E-6</v>
      </c>
      <c r="AU106" s="784">
        <f t="shared" si="145"/>
        <v>2.2071185363514711E-6</v>
      </c>
      <c r="AV106" s="784">
        <f t="shared" si="145"/>
        <v>1.0084196921278377E-5</v>
      </c>
      <c r="AW106" s="784">
        <f t="shared" si="145"/>
        <v>2.7437728409990259E-6</v>
      </c>
      <c r="AX106" s="784">
        <f t="shared" si="145"/>
        <v>3.6204010841478507E-6</v>
      </c>
      <c r="AY106" s="784">
        <f t="shared" si="145"/>
        <v>2.9638215392757683E-6</v>
      </c>
      <c r="AZ106" s="784">
        <f t="shared" si="145"/>
        <v>2.1580598995041278E-6</v>
      </c>
      <c r="BA106" s="784">
        <f t="shared" si="145"/>
        <v>4.7936288178757058E-6</v>
      </c>
      <c r="BB106" s="784">
        <f t="shared" si="145"/>
        <v>5.952423170040716E-7</v>
      </c>
      <c r="BC106" s="784">
        <f t="shared" si="145"/>
        <v>2.4242694128401299E-6</v>
      </c>
      <c r="BD106" s="784">
        <f t="shared" si="145"/>
        <v>1.1989551900078166E-6</v>
      </c>
      <c r="BE106" s="784">
        <f t="shared" si="145"/>
        <v>1.2173637886844779E-6</v>
      </c>
      <c r="BF106" s="784">
        <f t="shared" si="145"/>
        <v>1.4150286712019677E-6</v>
      </c>
      <c r="BG106" s="784">
        <f t="shared" si="145"/>
        <v>2.9571156824476086E-6</v>
      </c>
      <c r="BH106" s="784">
        <f t="shared" si="145"/>
        <v>1.1402928745234131E-6</v>
      </c>
    </row>
    <row r="107" spans="1:61" s="459" customFormat="1">
      <c r="A107" s="127" t="str">
        <f t="shared" si="142"/>
        <v>T-CAR-ICE_GSL00</v>
      </c>
      <c r="B107" s="671">
        <v>15</v>
      </c>
      <c r="AG107" s="714"/>
      <c r="AH107" s="714"/>
      <c r="AI107" s="714"/>
      <c r="AJ107" s="714"/>
      <c r="AK107" s="714"/>
      <c r="AL107" s="714"/>
      <c r="AM107" s="714"/>
      <c r="AN107" s="714"/>
      <c r="AO107" s="714"/>
      <c r="AP107" s="714"/>
      <c r="AQ107" s="714"/>
      <c r="AR107" s="714"/>
      <c r="AS107" s="714"/>
      <c r="AT107" s="714"/>
      <c r="AU107" s="714"/>
      <c r="AV107" s="714"/>
      <c r="AW107" s="714"/>
      <c r="AX107" s="714"/>
      <c r="AY107" s="714"/>
      <c r="AZ107" s="714"/>
      <c r="BA107" s="714"/>
      <c r="BB107" s="714"/>
      <c r="BC107" s="714"/>
      <c r="BD107" s="714"/>
      <c r="BE107" s="714"/>
      <c r="BF107" s="714"/>
      <c r="BG107" s="714"/>
      <c r="BH107" s="714"/>
      <c r="BI107" s="714"/>
    </row>
    <row r="108" spans="1:61" s="459" customFormat="1">
      <c r="A108" s="127" t="str">
        <f t="shared" si="142"/>
        <v>T-CAR-ICE_DST00</v>
      </c>
      <c r="B108" s="671">
        <v>15</v>
      </c>
      <c r="AG108" s="714"/>
      <c r="AH108" s="714"/>
      <c r="AI108" s="714"/>
      <c r="AJ108" s="714"/>
      <c r="AK108" s="714"/>
      <c r="AL108" s="714"/>
      <c r="AM108" s="714"/>
      <c r="AN108" s="714"/>
      <c r="AO108" s="714"/>
      <c r="AP108" s="714"/>
      <c r="AQ108" s="714"/>
      <c r="AR108" s="714"/>
      <c r="AS108" s="714"/>
      <c r="AT108" s="714"/>
      <c r="AU108" s="714"/>
      <c r="AV108" s="714"/>
      <c r="AW108" s="714"/>
      <c r="AX108" s="714"/>
      <c r="AY108" s="714"/>
      <c r="AZ108" s="714"/>
      <c r="BA108" s="714"/>
      <c r="BB108" s="714"/>
      <c r="BC108" s="714"/>
      <c r="BD108" s="714"/>
      <c r="BE108" s="714"/>
      <c r="BF108" s="714"/>
      <c r="BG108" s="714"/>
      <c r="BH108" s="714"/>
      <c r="BI108" s="714"/>
    </row>
    <row r="109" spans="1:61" s="459" customFormat="1">
      <c r="A109" s="127" t="str">
        <f t="shared" si="142"/>
        <v>T-CAR-ICE_DF00</v>
      </c>
      <c r="B109" s="671">
        <v>15</v>
      </c>
      <c r="AH109" s="714"/>
      <c r="AI109" s="714"/>
      <c r="AJ109" s="714"/>
      <c r="AK109" s="714"/>
      <c r="AL109" s="714"/>
      <c r="AM109" s="714"/>
      <c r="AN109" s="714"/>
      <c r="AO109" s="714"/>
      <c r="AP109" s="714"/>
      <c r="AQ109" s="714"/>
      <c r="AR109" s="714"/>
      <c r="AS109" s="714"/>
      <c r="AT109" s="714"/>
      <c r="AU109" s="714"/>
      <c r="AV109" s="714"/>
      <c r="AW109" s="714"/>
      <c r="AX109" s="714"/>
      <c r="AY109" s="714"/>
      <c r="AZ109" s="714"/>
      <c r="BA109" s="714"/>
      <c r="BB109" s="714"/>
      <c r="BC109" s="714"/>
      <c r="BD109" s="714"/>
      <c r="BE109" s="714"/>
      <c r="BF109" s="714"/>
      <c r="BG109" s="714"/>
      <c r="BH109" s="714"/>
      <c r="BI109" s="714"/>
    </row>
    <row r="110" spans="1:61" s="459" customFormat="1">
      <c r="A110" s="127" t="str">
        <f t="shared" si="142"/>
        <v>T-CAR-ICE_E8500</v>
      </c>
      <c r="B110" s="671">
        <v>15</v>
      </c>
    </row>
    <row r="111" spans="1:61" s="459" customFormat="1">
      <c r="A111" s="127" t="str">
        <f t="shared" si="142"/>
        <v>T-CAR-HEV_GSL00</v>
      </c>
      <c r="B111" s="671">
        <v>15</v>
      </c>
    </row>
    <row r="112" spans="1:61" s="459" customFormat="1">
      <c r="A112" s="127" t="str">
        <f t="shared" si="142"/>
        <v>T-CAR-HEV_DST00</v>
      </c>
      <c r="B112" s="671">
        <v>15</v>
      </c>
    </row>
    <row r="113" spans="1:60" s="459" customFormat="1">
      <c r="A113" s="127" t="str">
        <f t="shared" si="142"/>
        <v>T-CAR-PHEV_GSL00</v>
      </c>
      <c r="B113" s="671">
        <v>15</v>
      </c>
    </row>
    <row r="114" spans="1:60" s="459" customFormat="1">
      <c r="A114" s="127" t="str">
        <f t="shared" si="142"/>
        <v>T-CAR-PHEV_DST00</v>
      </c>
      <c r="B114" s="671">
        <v>15</v>
      </c>
      <c r="AG114" s="714" t="s">
        <v>1095</v>
      </c>
    </row>
    <row r="115" spans="1:60" s="459" customFormat="1">
      <c r="A115" s="127" t="str">
        <f t="shared" si="142"/>
        <v>T-CAR-BEV_ELC00</v>
      </c>
      <c r="B115" s="671">
        <v>15</v>
      </c>
      <c r="AG115" s="716" t="s">
        <v>359</v>
      </c>
      <c r="AH115" s="716" t="str">
        <f t="shared" ref="AH115:BH115" si="146">AH79</f>
        <v>IE</v>
      </c>
      <c r="AI115" s="716" t="str">
        <f t="shared" si="146"/>
        <v>IE-CW</v>
      </c>
      <c r="AJ115" s="716" t="str">
        <f t="shared" si="146"/>
        <v>IE-D</v>
      </c>
      <c r="AK115" s="716" t="str">
        <f t="shared" si="146"/>
        <v>IE-KE</v>
      </c>
      <c r="AL115" s="716" t="str">
        <f t="shared" si="146"/>
        <v>IE-KK</v>
      </c>
      <c r="AM115" s="716" t="str">
        <f t="shared" si="146"/>
        <v>IE-LS</v>
      </c>
      <c r="AN115" s="716" t="str">
        <f t="shared" si="146"/>
        <v>IE-LD</v>
      </c>
      <c r="AO115" s="716" t="str">
        <f t="shared" si="146"/>
        <v>IE-LH</v>
      </c>
      <c r="AP115" s="716" t="str">
        <f t="shared" si="146"/>
        <v>IE-MH</v>
      </c>
      <c r="AQ115" s="716" t="str">
        <f t="shared" si="146"/>
        <v>IE-OY</v>
      </c>
      <c r="AR115" s="716" t="str">
        <f t="shared" si="146"/>
        <v>IE-WH</v>
      </c>
      <c r="AS115" s="716" t="str">
        <f t="shared" si="146"/>
        <v>IE-WX</v>
      </c>
      <c r="AT115" s="716" t="str">
        <f t="shared" si="146"/>
        <v>IE-WW</v>
      </c>
      <c r="AU115" s="716" t="str">
        <f t="shared" si="146"/>
        <v>IE-CE</v>
      </c>
      <c r="AV115" s="716" t="str">
        <f t="shared" si="146"/>
        <v>IE-CO</v>
      </c>
      <c r="AW115" s="716" t="str">
        <f t="shared" si="146"/>
        <v>IE-KY</v>
      </c>
      <c r="AX115" s="716" t="str">
        <f t="shared" si="146"/>
        <v>IE-LK</v>
      </c>
      <c r="AY115" s="716" t="str">
        <f t="shared" si="146"/>
        <v>IE-TA</v>
      </c>
      <c r="AZ115" s="716" t="str">
        <f t="shared" si="146"/>
        <v>IE-WD</v>
      </c>
      <c r="BA115" s="716" t="str">
        <f t="shared" si="146"/>
        <v>IE-G</v>
      </c>
      <c r="BB115" s="716" t="str">
        <f t="shared" si="146"/>
        <v>IE-LM</v>
      </c>
      <c r="BC115" s="716" t="str">
        <f t="shared" si="146"/>
        <v>IE-MO</v>
      </c>
      <c r="BD115" s="716" t="str">
        <f t="shared" si="146"/>
        <v>IE-RN</v>
      </c>
      <c r="BE115" s="716" t="str">
        <f t="shared" si="146"/>
        <v>IE-SO</v>
      </c>
      <c r="BF115" s="716" t="str">
        <f t="shared" si="146"/>
        <v>IE-CN</v>
      </c>
      <c r="BG115" s="716" t="str">
        <f t="shared" si="146"/>
        <v>IE-DL</v>
      </c>
      <c r="BH115" s="716" t="str">
        <f t="shared" si="146"/>
        <v>IE-MN</v>
      </c>
    </row>
    <row r="116" spans="1:60" s="459" customFormat="1" ht="15.6">
      <c r="A116" s="455" t="str">
        <f t="shared" si="142"/>
        <v>*Small sevice vehicle</v>
      </c>
      <c r="B116" s="573"/>
      <c r="AG116" s="714" t="s">
        <v>368</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459" customFormat="1">
      <c r="A117" s="127" t="str">
        <f t="shared" si="142"/>
        <v>T-TAX-ICE_GSL00</v>
      </c>
      <c r="B117" s="671">
        <v>10</v>
      </c>
      <c r="AG117" s="714" t="s">
        <v>367</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459" customFormat="1">
      <c r="A118" s="127" t="str">
        <f t="shared" si="142"/>
        <v>T-TAX-ICE_DST00</v>
      </c>
      <c r="B118" s="671">
        <v>10</v>
      </c>
      <c r="AG118" s="714" t="s">
        <v>364</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459" customFormat="1">
      <c r="A119" s="127" t="str">
        <f t="shared" si="142"/>
        <v>T-TAX-HEV_GSL00</v>
      </c>
      <c r="B119" s="671">
        <v>10</v>
      </c>
      <c r="AG119" s="714" t="s">
        <v>588</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459" customFormat="1" ht="15.6">
      <c r="A120" s="455" t="str">
        <f t="shared" si="142"/>
        <v>*Large sevice vehicle</v>
      </c>
      <c r="B120" s="638"/>
      <c r="AG120" s="714" t="s">
        <v>575</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459" customFormat="1">
      <c r="A121" s="127" t="str">
        <f t="shared" si="142"/>
        <v>T-BUS-ICE_DST00</v>
      </c>
      <c r="B121" s="491">
        <v>15</v>
      </c>
      <c r="AG121" s="714" t="s">
        <v>366</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459" customFormat="1" ht="15.6">
      <c r="A122" s="455" t="str">
        <f t="shared" si="142"/>
        <v>*Rail</v>
      </c>
      <c r="B122" s="638"/>
      <c r="AG122" s="772" t="s">
        <v>16</v>
      </c>
      <c r="AH122" s="778">
        <f t="shared" ref="AH122:BH122" si="147">SUM(AH116:AH121)</f>
        <v>9.0579199372469734</v>
      </c>
      <c r="AI122" s="778">
        <f t="shared" si="147"/>
        <v>0.1250173903291093</v>
      </c>
      <c r="AJ122" s="778">
        <f t="shared" si="147"/>
        <v>2.2578796214259493</v>
      </c>
      <c r="AK122" s="778">
        <f t="shared" si="147"/>
        <v>0.44641260943468231</v>
      </c>
      <c r="AL122" s="778">
        <f t="shared" si="147"/>
        <v>0.21172033298934936</v>
      </c>
      <c r="AM122" s="778">
        <f t="shared" si="147"/>
        <v>0.15945777945817216</v>
      </c>
      <c r="AN122" s="778">
        <f t="shared" si="147"/>
        <v>8.2067060412220116E-2</v>
      </c>
      <c r="AO122" s="778">
        <f t="shared" si="147"/>
        <v>0.221840938880425</v>
      </c>
      <c r="AP122" s="778">
        <f t="shared" si="147"/>
        <v>0.38490438203956606</v>
      </c>
      <c r="AQ122" s="778">
        <f t="shared" si="147"/>
        <v>0.16254011832421078</v>
      </c>
      <c r="AR122" s="778">
        <f t="shared" si="147"/>
        <v>0.18377321042832961</v>
      </c>
      <c r="AS122" s="778">
        <f t="shared" si="147"/>
        <v>0.32536156106320419</v>
      </c>
      <c r="AT122" s="778">
        <f t="shared" si="147"/>
        <v>0.27626604276303141</v>
      </c>
      <c r="AU122" s="778">
        <f t="shared" si="147"/>
        <v>0.25069330465526313</v>
      </c>
      <c r="AV122" s="778">
        <f t="shared" si="147"/>
        <v>1.0134900097492325</v>
      </c>
      <c r="AW122" s="778">
        <f t="shared" si="147"/>
        <v>0.33167680292763357</v>
      </c>
      <c r="AX122" s="778">
        <f t="shared" si="147"/>
        <v>0.37382311688544145</v>
      </c>
      <c r="AY122" s="778">
        <f t="shared" si="147"/>
        <v>0.36173920782796343</v>
      </c>
      <c r="AZ122" s="778">
        <f t="shared" si="147"/>
        <v>0.22839629867832109</v>
      </c>
      <c r="BA122" s="778">
        <f t="shared" si="147"/>
        <v>0.51233224603153271</v>
      </c>
      <c r="BB122" s="778">
        <f t="shared" si="147"/>
        <v>6.6996230924596181E-2</v>
      </c>
      <c r="BC122" s="778">
        <f t="shared" si="147"/>
        <v>0.28326513066178971</v>
      </c>
      <c r="BD122" s="778">
        <f t="shared" si="147"/>
        <v>0.15248077881166913</v>
      </c>
      <c r="BE122" s="778">
        <f t="shared" si="147"/>
        <v>0.12446935910671386</v>
      </c>
      <c r="BF122" s="778">
        <f t="shared" si="147"/>
        <v>0.13527846230146151</v>
      </c>
      <c r="BG122" s="778">
        <f t="shared" si="147"/>
        <v>0.24922565747082737</v>
      </c>
      <c r="BH122" s="778">
        <f t="shared" si="147"/>
        <v>0.13681228366627909</v>
      </c>
    </row>
    <row r="123" spans="1:60" s="459" customFormat="1">
      <c r="A123" s="127" t="str">
        <f t="shared" si="142"/>
        <v>T-LPT-EV_ELC00</v>
      </c>
      <c r="B123" s="491">
        <v>30</v>
      </c>
    </row>
    <row r="124" spans="1:60" s="459" customFormat="1">
      <c r="A124" s="127" t="str">
        <f t="shared" si="142"/>
        <v>T-HPT-EV_ELC00</v>
      </c>
      <c r="B124" s="491">
        <v>30</v>
      </c>
    </row>
    <row r="125" spans="1:60" s="459" customFormat="1">
      <c r="A125" s="127" t="str">
        <f t="shared" si="142"/>
        <v>T-HPT-ICE_DST00</v>
      </c>
      <c r="B125" s="491">
        <v>30</v>
      </c>
    </row>
    <row r="126" spans="1:60" s="459" customFormat="1" ht="15.6">
      <c r="A126" s="455" t="str">
        <f t="shared" si="142"/>
        <v>*Goods vehicle</v>
      </c>
      <c r="B126" s="638"/>
      <c r="AF126"/>
    </row>
    <row r="127" spans="1:60" s="459" customFormat="1">
      <c r="A127" s="127" t="str">
        <f t="shared" si="142"/>
        <v>T-LGT-ICE_GSL00</v>
      </c>
      <c r="B127" s="491">
        <v>20</v>
      </c>
      <c r="AF127"/>
      <c r="AG127" s="714" t="s">
        <v>1093</v>
      </c>
      <c r="AH127" s="714"/>
      <c r="AI127" s="714"/>
      <c r="AJ127" s="714"/>
      <c r="AK127" s="714"/>
      <c r="AL127" s="714"/>
      <c r="AM127" s="714"/>
      <c r="AN127" s="714"/>
      <c r="AO127" s="714"/>
      <c r="AP127" s="714"/>
      <c r="AQ127" s="714"/>
      <c r="AR127" s="714"/>
      <c r="AS127" s="714"/>
      <c r="AT127" s="714"/>
      <c r="AU127" s="714"/>
      <c r="AV127" s="714"/>
      <c r="AW127" s="714"/>
      <c r="AX127" s="714"/>
      <c r="AY127" s="714"/>
      <c r="AZ127" s="714"/>
      <c r="BA127" s="714"/>
      <c r="BB127" s="714"/>
      <c r="BC127" s="714"/>
      <c r="BD127" s="714"/>
      <c r="BE127" s="714"/>
      <c r="BF127" s="714"/>
      <c r="BG127" s="714"/>
      <c r="BH127" s="714"/>
    </row>
    <row r="128" spans="1:60" s="459" customFormat="1">
      <c r="A128" s="127" t="str">
        <f t="shared" si="142"/>
        <v>T-LGT-ICE_DST00</v>
      </c>
      <c r="B128" s="491">
        <v>20</v>
      </c>
      <c r="AF128"/>
      <c r="AG128" s="716" t="s">
        <v>359</v>
      </c>
      <c r="AH128" s="716" t="str">
        <f>AH115</f>
        <v>IE</v>
      </c>
      <c r="AI128" s="716" t="str">
        <f t="shared" ref="AI128:BH128" si="148">AI115</f>
        <v>IE-CW</v>
      </c>
      <c r="AJ128" s="716" t="str">
        <f t="shared" si="148"/>
        <v>IE-D</v>
      </c>
      <c r="AK128" s="716" t="str">
        <f t="shared" si="148"/>
        <v>IE-KE</v>
      </c>
      <c r="AL128" s="716" t="str">
        <f t="shared" si="148"/>
        <v>IE-KK</v>
      </c>
      <c r="AM128" s="716" t="str">
        <f t="shared" si="148"/>
        <v>IE-LS</v>
      </c>
      <c r="AN128" s="716" t="str">
        <f t="shared" si="148"/>
        <v>IE-LD</v>
      </c>
      <c r="AO128" s="716" t="str">
        <f t="shared" si="148"/>
        <v>IE-LH</v>
      </c>
      <c r="AP128" s="716" t="str">
        <f t="shared" si="148"/>
        <v>IE-MH</v>
      </c>
      <c r="AQ128" s="716" t="str">
        <f t="shared" si="148"/>
        <v>IE-OY</v>
      </c>
      <c r="AR128" s="716" t="str">
        <f t="shared" si="148"/>
        <v>IE-WH</v>
      </c>
      <c r="AS128" s="716" t="str">
        <f t="shared" si="148"/>
        <v>IE-WX</v>
      </c>
      <c r="AT128" s="716" t="str">
        <f t="shared" si="148"/>
        <v>IE-WW</v>
      </c>
      <c r="AU128" s="716" t="str">
        <f t="shared" si="148"/>
        <v>IE-CE</v>
      </c>
      <c r="AV128" s="716" t="str">
        <f t="shared" si="148"/>
        <v>IE-CO</v>
      </c>
      <c r="AW128" s="716" t="str">
        <f t="shared" si="148"/>
        <v>IE-KY</v>
      </c>
      <c r="AX128" s="716" t="str">
        <f t="shared" si="148"/>
        <v>IE-LK</v>
      </c>
      <c r="AY128" s="716" t="str">
        <f t="shared" si="148"/>
        <v>IE-TA</v>
      </c>
      <c r="AZ128" s="716" t="str">
        <f t="shared" si="148"/>
        <v>IE-WD</v>
      </c>
      <c r="BA128" s="716" t="str">
        <f t="shared" si="148"/>
        <v>IE-G</v>
      </c>
      <c r="BB128" s="716" t="str">
        <f t="shared" si="148"/>
        <v>IE-LM</v>
      </c>
      <c r="BC128" s="716" t="str">
        <f t="shared" si="148"/>
        <v>IE-MO</v>
      </c>
      <c r="BD128" s="716" t="str">
        <f t="shared" si="148"/>
        <v>IE-RN</v>
      </c>
      <c r="BE128" s="716" t="str">
        <f t="shared" si="148"/>
        <v>IE-SO</v>
      </c>
      <c r="BF128" s="716" t="str">
        <f t="shared" si="148"/>
        <v>IE-CN</v>
      </c>
      <c r="BG128" s="716" t="str">
        <f t="shared" si="148"/>
        <v>IE-DL</v>
      </c>
      <c r="BH128" s="716" t="str">
        <f t="shared" si="148"/>
        <v>IE-MN</v>
      </c>
    </row>
    <row r="129" spans="1:60" s="459" customFormat="1">
      <c r="A129" s="127" t="str">
        <f t="shared" si="142"/>
        <v>T-MGT-ICE_DST00</v>
      </c>
      <c r="B129" s="491">
        <v>20</v>
      </c>
      <c r="AF129"/>
      <c r="AG129" s="714" t="s">
        <v>368</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459" customFormat="1">
      <c r="A130" s="127" t="str">
        <f t="shared" si="142"/>
        <v>T-HGT-ICE_DST00</v>
      </c>
      <c r="B130" s="491">
        <v>20</v>
      </c>
      <c r="AF130"/>
      <c r="AG130" s="714" t="s">
        <v>367</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459" customFormat="1">
      <c r="A131" s="651" t="str">
        <f t="shared" si="142"/>
        <v>T-GTR-ICE_DST00</v>
      </c>
      <c r="B131" s="652">
        <v>30</v>
      </c>
      <c r="AF131"/>
      <c r="AG131" s="714" t="s">
        <v>364</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459" customFormat="1">
      <c r="AF132"/>
      <c r="AG132" s="714" t="s">
        <v>588</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459" customFormat="1">
      <c r="AF133"/>
      <c r="AG133" s="714" t="s">
        <v>575</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459" customFormat="1">
      <c r="AF134"/>
      <c r="AG134" s="714" t="s">
        <v>366</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459" customFormat="1">
      <c r="AF135"/>
      <c r="AG135" s="772" t="s">
        <v>16</v>
      </c>
      <c r="AH135" s="778">
        <f t="shared" ref="AH135:BH135" si="149">SUM(AH129:AH134)</f>
        <v>31.276118540280983</v>
      </c>
      <c r="AI135" s="778">
        <f t="shared" si="149"/>
        <v>0.43519149385547129</v>
      </c>
      <c r="AJ135" s="778">
        <f t="shared" si="149"/>
        <v>7.621153644998925</v>
      </c>
      <c r="AK135" s="778">
        <f t="shared" si="149"/>
        <v>1.5519093827676476</v>
      </c>
      <c r="AL135" s="778">
        <f t="shared" si="149"/>
        <v>0.73703191607760732</v>
      </c>
      <c r="AM135" s="778">
        <f t="shared" si="149"/>
        <v>0.55451713599955721</v>
      </c>
      <c r="AN135" s="778">
        <f t="shared" si="149"/>
        <v>0.28568437258778689</v>
      </c>
      <c r="AO135" s="778">
        <f t="shared" si="149"/>
        <v>0.76950577172521428</v>
      </c>
      <c r="AP135" s="778">
        <f t="shared" si="149"/>
        <v>1.3359499798250476</v>
      </c>
      <c r="AQ135" s="778">
        <f t="shared" si="149"/>
        <v>0.56616320344762305</v>
      </c>
      <c r="AR135" s="778">
        <f t="shared" si="149"/>
        <v>0.63911185847443019</v>
      </c>
      <c r="AS135" s="778">
        <f t="shared" si="149"/>
        <v>1.1334816009734383</v>
      </c>
      <c r="AT135" s="778">
        <f t="shared" si="149"/>
        <v>0.96185938421931261</v>
      </c>
      <c r="AU135" s="778">
        <f t="shared" si="149"/>
        <v>0.87235861089184219</v>
      </c>
      <c r="AV135" s="778">
        <f t="shared" si="149"/>
        <v>3.5254749048173282</v>
      </c>
      <c r="AW135" s="778">
        <f t="shared" si="149"/>
        <v>1.1538869884003555</v>
      </c>
      <c r="AX135" s="778">
        <f t="shared" si="149"/>
        <v>1.2995736671311429</v>
      </c>
      <c r="AY135" s="778">
        <f t="shared" si="149"/>
        <v>1.2604324784412986</v>
      </c>
      <c r="AZ135" s="778">
        <f t="shared" si="149"/>
        <v>0.79517788054022265</v>
      </c>
      <c r="BA135" s="778">
        <f t="shared" si="149"/>
        <v>1.7803554187858515</v>
      </c>
      <c r="BB135" s="778">
        <f t="shared" si="149"/>
        <v>0.23333731031609195</v>
      </c>
      <c r="BC135" s="778">
        <f t="shared" si="149"/>
        <v>0.98601597898071303</v>
      </c>
      <c r="BD135" s="778">
        <f t="shared" si="149"/>
        <v>0.53090140271719211</v>
      </c>
      <c r="BE135" s="778">
        <f t="shared" si="149"/>
        <v>0.43310682655274857</v>
      </c>
      <c r="BF135" s="778">
        <f t="shared" si="149"/>
        <v>0.47060177269376963</v>
      </c>
      <c r="BG135" s="778">
        <f t="shared" si="149"/>
        <v>0.86668930093951158</v>
      </c>
      <c r="BH135" s="778">
        <f t="shared" si="149"/>
        <v>0.47664625412085693</v>
      </c>
    </row>
    <row r="136" spans="1:60" s="459" customFormat="1">
      <c r="AF136"/>
    </row>
    <row r="137" spans="1:60" s="459" customFormat="1">
      <c r="AF137"/>
    </row>
    <row r="138" spans="1:60" s="459" customFormat="1">
      <c r="AF138"/>
    </row>
    <row r="139" spans="1:60" s="714" customFormat="1" ht="21">
      <c r="A139" s="23" t="s">
        <v>490</v>
      </c>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row>
    <row r="140" spans="1:60" s="459"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714" t="s">
        <v>1094</v>
      </c>
      <c r="AH140" s="714"/>
      <c r="AI140" s="714"/>
      <c r="AJ140" s="714"/>
      <c r="AK140" s="714"/>
      <c r="AL140" s="714"/>
      <c r="AM140" s="714"/>
      <c r="AN140" s="714"/>
      <c r="AO140" s="714"/>
      <c r="AP140" s="714"/>
      <c r="AQ140" s="714"/>
      <c r="AR140" s="714"/>
      <c r="AS140" s="714"/>
      <c r="AT140" s="714"/>
      <c r="AU140" s="714"/>
      <c r="AV140" s="714"/>
      <c r="AW140" s="714"/>
      <c r="AX140" s="714"/>
      <c r="AY140" s="714"/>
      <c r="AZ140" s="714"/>
      <c r="BA140" s="714"/>
      <c r="BB140" s="714"/>
      <c r="BC140" s="714"/>
      <c r="BD140" s="714"/>
      <c r="BE140" s="714"/>
      <c r="BF140" s="714"/>
      <c r="BG140" s="714"/>
      <c r="BH140" s="714"/>
    </row>
    <row r="141" spans="1:60" s="714" customFormat="1" ht="21">
      <c r="A141" s="459"/>
      <c r="B141" s="459"/>
      <c r="C141" s="23" t="s">
        <v>982</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459"/>
      <c r="AF141"/>
      <c r="AG141" s="716" t="s">
        <v>359</v>
      </c>
      <c r="AH141" s="716" t="str">
        <f>AH128</f>
        <v>IE</v>
      </c>
      <c r="AI141" s="716" t="str">
        <f t="shared" ref="AI141:BH141" si="150">AI128</f>
        <v>IE-CW</v>
      </c>
      <c r="AJ141" s="716" t="str">
        <f t="shared" si="150"/>
        <v>IE-D</v>
      </c>
      <c r="AK141" s="716" t="str">
        <f t="shared" si="150"/>
        <v>IE-KE</v>
      </c>
      <c r="AL141" s="716" t="str">
        <f t="shared" si="150"/>
        <v>IE-KK</v>
      </c>
      <c r="AM141" s="716" t="str">
        <f t="shared" si="150"/>
        <v>IE-LS</v>
      </c>
      <c r="AN141" s="716" t="str">
        <f t="shared" si="150"/>
        <v>IE-LD</v>
      </c>
      <c r="AO141" s="716" t="str">
        <f t="shared" si="150"/>
        <v>IE-LH</v>
      </c>
      <c r="AP141" s="716" t="str">
        <f t="shared" si="150"/>
        <v>IE-MH</v>
      </c>
      <c r="AQ141" s="716" t="str">
        <f t="shared" si="150"/>
        <v>IE-OY</v>
      </c>
      <c r="AR141" s="716" t="str">
        <f t="shared" si="150"/>
        <v>IE-WH</v>
      </c>
      <c r="AS141" s="716" t="str">
        <f t="shared" si="150"/>
        <v>IE-WX</v>
      </c>
      <c r="AT141" s="716" t="str">
        <f t="shared" si="150"/>
        <v>IE-WW</v>
      </c>
      <c r="AU141" s="716" t="str">
        <f t="shared" si="150"/>
        <v>IE-CE</v>
      </c>
      <c r="AV141" s="716" t="str">
        <f t="shared" si="150"/>
        <v>IE-CO</v>
      </c>
      <c r="AW141" s="716" t="str">
        <f t="shared" si="150"/>
        <v>IE-KY</v>
      </c>
      <c r="AX141" s="716" t="str">
        <f t="shared" si="150"/>
        <v>IE-LK</v>
      </c>
      <c r="AY141" s="716" t="str">
        <f t="shared" si="150"/>
        <v>IE-TA</v>
      </c>
      <c r="AZ141" s="716" t="str">
        <f t="shared" si="150"/>
        <v>IE-WD</v>
      </c>
      <c r="BA141" s="716" t="str">
        <f t="shared" si="150"/>
        <v>IE-G</v>
      </c>
      <c r="BB141" s="716" t="str">
        <f t="shared" si="150"/>
        <v>IE-LM</v>
      </c>
      <c r="BC141" s="716" t="str">
        <f t="shared" si="150"/>
        <v>IE-MO</v>
      </c>
      <c r="BD141" s="716" t="str">
        <f t="shared" si="150"/>
        <v>IE-RN</v>
      </c>
      <c r="BE141" s="716" t="str">
        <f t="shared" si="150"/>
        <v>IE-SO</v>
      </c>
      <c r="BF141" s="716" t="str">
        <f t="shared" si="150"/>
        <v>IE-CN</v>
      </c>
      <c r="BG141" s="716" t="str">
        <f t="shared" si="150"/>
        <v>IE-DL</v>
      </c>
      <c r="BH141" s="716" t="str">
        <f t="shared" si="150"/>
        <v>IE-MN</v>
      </c>
    </row>
    <row r="142" spans="1:60" s="459" customFormat="1">
      <c r="A142" s="427" t="s">
        <v>70</v>
      </c>
      <c r="B142" s="427" t="s">
        <v>77</v>
      </c>
      <c r="C142" s="427" t="s">
        <v>65</v>
      </c>
      <c r="D142" s="427" t="str">
        <f>Regions!C3</f>
        <v>IE</v>
      </c>
      <c r="E142" s="427" t="str">
        <f>Regions!E3</f>
        <v>IE-CW</v>
      </c>
      <c r="F142" s="427" t="str">
        <f>Regions!F3</f>
        <v>IE-D</v>
      </c>
      <c r="G142" s="427" t="str">
        <f>Regions!G3</f>
        <v>IE-KE</v>
      </c>
      <c r="H142" s="427" t="str">
        <f>Regions!H3</f>
        <v>IE-KK</v>
      </c>
      <c r="I142" s="427" t="str">
        <f>Regions!I3</f>
        <v>IE-LS</v>
      </c>
      <c r="J142" s="427" t="str">
        <f>Regions!J3</f>
        <v>IE-LD</v>
      </c>
      <c r="K142" s="427" t="str">
        <f>Regions!K3</f>
        <v>IE-LH</v>
      </c>
      <c r="L142" s="427" t="str">
        <f>Regions!L3</f>
        <v>IE-MH</v>
      </c>
      <c r="M142" s="427" t="str">
        <f>Regions!M3</f>
        <v>IE-OY</v>
      </c>
      <c r="N142" s="427" t="str">
        <f>Regions!N3</f>
        <v>IE-WH</v>
      </c>
      <c r="O142" s="427" t="str">
        <f>Regions!O3</f>
        <v>IE-WX</v>
      </c>
      <c r="P142" s="427" t="str">
        <f>Regions!P3</f>
        <v>IE-WW</v>
      </c>
      <c r="Q142" s="427" t="str">
        <f>Regions!Q3</f>
        <v>IE-CE</v>
      </c>
      <c r="R142" s="427" t="str">
        <f>Regions!R3</f>
        <v>IE-CO</v>
      </c>
      <c r="S142" s="427" t="str">
        <f>Regions!S3</f>
        <v>IE-KY</v>
      </c>
      <c r="T142" s="427" t="str">
        <f>Regions!T3</f>
        <v>IE-LK</v>
      </c>
      <c r="U142" s="427" t="str">
        <f>Regions!U3</f>
        <v>IE-TA</v>
      </c>
      <c r="V142" s="427" t="str">
        <f>Regions!V3</f>
        <v>IE-WD</v>
      </c>
      <c r="W142" s="427" t="str">
        <f>Regions!W3</f>
        <v>IE-G</v>
      </c>
      <c r="X142" s="427" t="str">
        <f>Regions!X3</f>
        <v>IE-LM</v>
      </c>
      <c r="Y142" s="427" t="str">
        <f>Regions!Y3</f>
        <v>IE-MO</v>
      </c>
      <c r="Z142" s="427" t="str">
        <f>Regions!Z3</f>
        <v>IE-RN</v>
      </c>
      <c r="AA142" s="427" t="str">
        <f>Regions!AA3</f>
        <v>IE-SO</v>
      </c>
      <c r="AB142" s="427" t="str">
        <f>Regions!AB3</f>
        <v>IE-CN</v>
      </c>
      <c r="AC142" s="427" t="str">
        <f>Regions!AC3</f>
        <v>IE-DL</v>
      </c>
      <c r="AD142" s="427" t="str">
        <f>Regions!AD3</f>
        <v>IE-MN</v>
      </c>
      <c r="AF142"/>
      <c r="AG142" s="714" t="s">
        <v>368</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714" customFormat="1">
      <c r="A143" s="471" t="str">
        <f>Commodities!K19</f>
        <v>T-CAR-PHEV_GSL00</v>
      </c>
      <c r="B143" s="471" t="str">
        <f>Commodities!B14</f>
        <v>TRAELC</v>
      </c>
      <c r="C143" s="28" t="s">
        <v>1014</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E143" s="459"/>
      <c r="AF143"/>
      <c r="AG143" s="714" t="s">
        <v>367</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459" customFormat="1">
      <c r="A144" s="471"/>
      <c r="B144" s="471" t="str">
        <f>B143</f>
        <v>TRAELC</v>
      </c>
      <c r="C144" s="28" t="s">
        <v>1015</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4"/>
      <c r="AF144"/>
      <c r="AG144" s="714" t="s">
        <v>364</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459" customFormat="1">
      <c r="A145" s="471" t="str">
        <f>Commodities!K20</f>
        <v>T-CAR-PHEV_DST00</v>
      </c>
      <c r="B145" s="471" t="str">
        <f>Commodities!B14</f>
        <v>TRAELC</v>
      </c>
      <c r="C145" s="28" t="s">
        <v>1014</v>
      </c>
      <c r="D145" s="472">
        <v>0.4</v>
      </c>
      <c r="E145" s="472">
        <v>0.4</v>
      </c>
      <c r="F145" s="472">
        <v>0.4</v>
      </c>
      <c r="G145" s="472">
        <v>0.4</v>
      </c>
      <c r="H145" s="472">
        <v>0.4</v>
      </c>
      <c r="I145" s="472">
        <v>0.4</v>
      </c>
      <c r="J145" s="472">
        <v>0.4</v>
      </c>
      <c r="K145" s="472">
        <v>0.4</v>
      </c>
      <c r="L145" s="472">
        <v>0.4</v>
      </c>
      <c r="M145" s="472">
        <v>0.4</v>
      </c>
      <c r="N145" s="472">
        <v>0.4</v>
      </c>
      <c r="O145" s="472">
        <v>0.4</v>
      </c>
      <c r="P145" s="472">
        <v>0.4</v>
      </c>
      <c r="Q145" s="472">
        <v>0.4</v>
      </c>
      <c r="R145" s="472">
        <v>0.4</v>
      </c>
      <c r="S145" s="472">
        <v>0.4</v>
      </c>
      <c r="T145" s="472">
        <v>0.4</v>
      </c>
      <c r="U145" s="472">
        <v>0.4</v>
      </c>
      <c r="V145" s="472">
        <v>0.4</v>
      </c>
      <c r="W145" s="472">
        <v>0.4</v>
      </c>
      <c r="X145" s="472">
        <v>0.4</v>
      </c>
      <c r="Y145" s="472">
        <v>0.4</v>
      </c>
      <c r="Z145" s="472">
        <v>0.4</v>
      </c>
      <c r="AA145" s="472">
        <v>0.4</v>
      </c>
      <c r="AB145" s="472">
        <v>0.4</v>
      </c>
      <c r="AC145" s="472">
        <v>0.4</v>
      </c>
      <c r="AD145" s="472">
        <v>0.4</v>
      </c>
      <c r="AF145"/>
      <c r="AG145" s="714" t="s">
        <v>588</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459" customFormat="1">
      <c r="A146" s="471"/>
      <c r="B146" s="471" t="str">
        <f>B145</f>
        <v>TRAELC</v>
      </c>
      <c r="C146" s="28" t="s">
        <v>1015</v>
      </c>
      <c r="D146" s="472">
        <v>0.3</v>
      </c>
      <c r="E146" s="472">
        <v>0.3</v>
      </c>
      <c r="F146" s="472">
        <v>0.3</v>
      </c>
      <c r="G146" s="472">
        <v>0.3</v>
      </c>
      <c r="H146" s="472">
        <v>0.3</v>
      </c>
      <c r="I146" s="472">
        <v>0.3</v>
      </c>
      <c r="J146" s="472">
        <v>0.3</v>
      </c>
      <c r="K146" s="472">
        <v>0.3</v>
      </c>
      <c r="L146" s="472">
        <v>0.3</v>
      </c>
      <c r="M146" s="472">
        <v>0.3</v>
      </c>
      <c r="N146" s="472">
        <v>0.3</v>
      </c>
      <c r="O146" s="472">
        <v>0.3</v>
      </c>
      <c r="P146" s="472">
        <v>0.3</v>
      </c>
      <c r="Q146" s="472">
        <v>0.3</v>
      </c>
      <c r="R146" s="472">
        <v>0.3</v>
      </c>
      <c r="S146" s="472">
        <v>0.3</v>
      </c>
      <c r="T146" s="472">
        <v>0.3</v>
      </c>
      <c r="U146" s="472">
        <v>0.3</v>
      </c>
      <c r="V146" s="472">
        <v>0.3</v>
      </c>
      <c r="W146" s="472">
        <v>0.3</v>
      </c>
      <c r="X146" s="472">
        <v>0.3</v>
      </c>
      <c r="Y146" s="472">
        <v>0.3</v>
      </c>
      <c r="Z146" s="472">
        <v>0.3</v>
      </c>
      <c r="AA146" s="472">
        <v>0.3</v>
      </c>
      <c r="AB146" s="472">
        <v>0.3</v>
      </c>
      <c r="AC146" s="472">
        <v>0.3</v>
      </c>
      <c r="AD146" s="472">
        <v>0.3</v>
      </c>
      <c r="AE146" s="714"/>
      <c r="AF146"/>
      <c r="AG146" s="714" t="s">
        <v>575</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459" customFormat="1">
      <c r="A147" s="471" t="str">
        <f>Commodities!K15</f>
        <v>T-CAR-ICE_DF00</v>
      </c>
      <c r="B147" s="471" t="str">
        <f>Commodities!B12</f>
        <v>TRACNG</v>
      </c>
      <c r="C147" s="28" t="s">
        <v>1014</v>
      </c>
      <c r="D147" s="472">
        <v>0.5</v>
      </c>
      <c r="E147" s="472">
        <v>0.5</v>
      </c>
      <c r="F147" s="472">
        <v>0.5</v>
      </c>
      <c r="G147" s="472">
        <v>0.5</v>
      </c>
      <c r="H147" s="472">
        <v>0.5</v>
      </c>
      <c r="I147" s="472">
        <v>0.5</v>
      </c>
      <c r="J147" s="472">
        <v>0.5</v>
      </c>
      <c r="K147" s="472">
        <v>0.5</v>
      </c>
      <c r="L147" s="472">
        <v>0.5</v>
      </c>
      <c r="M147" s="472">
        <v>0.5</v>
      </c>
      <c r="N147" s="472">
        <v>0.5</v>
      </c>
      <c r="O147" s="472">
        <v>0.5</v>
      </c>
      <c r="P147" s="472">
        <v>0.5</v>
      </c>
      <c r="Q147" s="472">
        <v>0.5</v>
      </c>
      <c r="R147" s="472">
        <v>0.5</v>
      </c>
      <c r="S147" s="472">
        <v>0.5</v>
      </c>
      <c r="T147" s="472">
        <v>0.5</v>
      </c>
      <c r="U147" s="472">
        <v>0.5</v>
      </c>
      <c r="V147" s="472">
        <v>0.5</v>
      </c>
      <c r="W147" s="472">
        <v>0.5</v>
      </c>
      <c r="X147" s="472">
        <v>0.5</v>
      </c>
      <c r="Y147" s="472">
        <v>0.5</v>
      </c>
      <c r="Z147" s="472">
        <v>0.5</v>
      </c>
      <c r="AA147" s="472">
        <v>0.5</v>
      </c>
      <c r="AB147" s="472">
        <v>0.5</v>
      </c>
      <c r="AC147" s="472">
        <v>0.5</v>
      </c>
      <c r="AD147" s="472">
        <v>0.5</v>
      </c>
      <c r="AF147"/>
      <c r="AG147" s="714" t="s">
        <v>366</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459" customFormat="1">
      <c r="A148" s="471"/>
      <c r="B148" s="471" t="str">
        <f>B147</f>
        <v>TRACNG</v>
      </c>
      <c r="C148" s="28" t="s">
        <v>1015</v>
      </c>
      <c r="D148" s="472">
        <v>0.4</v>
      </c>
      <c r="E148" s="472">
        <v>0.4</v>
      </c>
      <c r="F148" s="472">
        <v>0.4</v>
      </c>
      <c r="G148" s="472">
        <v>0.4</v>
      </c>
      <c r="H148" s="472">
        <v>0.4</v>
      </c>
      <c r="I148" s="472">
        <v>0.4</v>
      </c>
      <c r="J148" s="472">
        <v>0.4</v>
      </c>
      <c r="K148" s="472">
        <v>0.4</v>
      </c>
      <c r="L148" s="472">
        <v>0.4</v>
      </c>
      <c r="M148" s="472">
        <v>0.4</v>
      </c>
      <c r="N148" s="472">
        <v>0.4</v>
      </c>
      <c r="O148" s="472">
        <v>0.4</v>
      </c>
      <c r="P148" s="472">
        <v>0.4</v>
      </c>
      <c r="Q148" s="472">
        <v>0.4</v>
      </c>
      <c r="R148" s="472">
        <v>0.4</v>
      </c>
      <c r="S148" s="472">
        <v>0.4</v>
      </c>
      <c r="T148" s="472">
        <v>0.4</v>
      </c>
      <c r="U148" s="472">
        <v>0.4</v>
      </c>
      <c r="V148" s="472">
        <v>0.4</v>
      </c>
      <c r="W148" s="472">
        <v>0.4</v>
      </c>
      <c r="X148" s="472">
        <v>0.4</v>
      </c>
      <c r="Y148" s="472">
        <v>0.4</v>
      </c>
      <c r="Z148" s="472">
        <v>0.4</v>
      </c>
      <c r="AA148" s="472">
        <v>0.4</v>
      </c>
      <c r="AB148" s="472">
        <v>0.4</v>
      </c>
      <c r="AC148" s="472">
        <v>0.4</v>
      </c>
      <c r="AD148" s="472">
        <v>0.4</v>
      </c>
      <c r="AE148" s="714"/>
      <c r="AF148"/>
      <c r="AG148" s="772" t="s">
        <v>16</v>
      </c>
      <c r="AH148" s="778">
        <f t="shared" ref="AH148:BH148" si="151">SUM(AH142:AH147)</f>
        <v>27.131577542973641</v>
      </c>
      <c r="AI148" s="778">
        <f t="shared" si="151"/>
        <v>0.373897486374975</v>
      </c>
      <c r="AJ148" s="778">
        <f t="shared" si="151"/>
        <v>6.6607449340349936</v>
      </c>
      <c r="AK148" s="778">
        <f t="shared" si="151"/>
        <v>1.3457957919305059</v>
      </c>
      <c r="AL148" s="778">
        <f t="shared" si="151"/>
        <v>0.64805463087287241</v>
      </c>
      <c r="AM148" s="778">
        <f t="shared" si="151"/>
        <v>0.48149946813234051</v>
      </c>
      <c r="AN148" s="778">
        <f t="shared" si="151"/>
        <v>0.24792998248868528</v>
      </c>
      <c r="AO148" s="778">
        <f t="shared" si="151"/>
        <v>0.6736874578715788</v>
      </c>
      <c r="AP148" s="778">
        <f t="shared" si="151"/>
        <v>1.1456149031137848</v>
      </c>
      <c r="AQ148" s="778">
        <f t="shared" si="151"/>
        <v>0.49378011021821827</v>
      </c>
      <c r="AR148" s="778">
        <f t="shared" si="151"/>
        <v>0.54722173482691427</v>
      </c>
      <c r="AS148" s="778">
        <f t="shared" si="151"/>
        <v>0.97262646758485327</v>
      </c>
      <c r="AT148" s="778">
        <f t="shared" si="151"/>
        <v>0.83286416374941885</v>
      </c>
      <c r="AU148" s="778">
        <f t="shared" si="151"/>
        <v>0.74674766413249027</v>
      </c>
      <c r="AV148" s="778">
        <f t="shared" si="151"/>
        <v>3.0449422514531723</v>
      </c>
      <c r="AW148" s="778">
        <f t="shared" si="151"/>
        <v>1.0126394376791288</v>
      </c>
      <c r="AX148" s="778">
        <f t="shared" si="151"/>
        <v>1.1217784798314177</v>
      </c>
      <c r="AY148" s="778">
        <f t="shared" si="151"/>
        <v>1.0852427647392462</v>
      </c>
      <c r="AZ148" s="778">
        <f t="shared" si="151"/>
        <v>0.68342924139985861</v>
      </c>
      <c r="BA148" s="778">
        <f t="shared" si="151"/>
        <v>1.5527405180508134</v>
      </c>
      <c r="BB148" s="778">
        <f t="shared" si="151"/>
        <v>0.20031586047476846</v>
      </c>
      <c r="BC148" s="778">
        <f t="shared" si="151"/>
        <v>0.86102306186829447</v>
      </c>
      <c r="BD148" s="778">
        <f t="shared" si="151"/>
        <v>0.4513160972888865</v>
      </c>
      <c r="BE148" s="778">
        <f t="shared" si="151"/>
        <v>0.37617525772313692</v>
      </c>
      <c r="BF148" s="778">
        <f t="shared" si="151"/>
        <v>0.40231788404487251</v>
      </c>
      <c r="BG148" s="778">
        <f t="shared" si="151"/>
        <v>0.74109890371757148</v>
      </c>
      <c r="BH148" s="778">
        <f t="shared" si="151"/>
        <v>0.42809298937083867</v>
      </c>
    </row>
    <row r="149" spans="1:60" s="459" customFormat="1">
      <c r="A149" s="103" t="str">
        <f>Commodities!K42</f>
        <v>T-OTH_CON00</v>
      </c>
      <c r="B149" s="1" t="str">
        <f>Commodities!B12</f>
        <v>TRACNG</v>
      </c>
      <c r="C149" s="28" t="s">
        <v>1015</v>
      </c>
      <c r="D149" s="760">
        <f>'EB2018'!Z55/'EB2018'!AM55</f>
        <v>4.2308762790135471E-2</v>
      </c>
      <c r="E149" s="761">
        <f>D149</f>
        <v>4.2308762790135471E-2</v>
      </c>
      <c r="F149" s="761">
        <f t="shared" ref="F149:AD149" si="152">E149</f>
        <v>4.2308762790135471E-2</v>
      </c>
      <c r="G149" s="761">
        <f t="shared" si="152"/>
        <v>4.2308762790135471E-2</v>
      </c>
      <c r="H149" s="761">
        <f t="shared" si="152"/>
        <v>4.2308762790135471E-2</v>
      </c>
      <c r="I149" s="761">
        <f t="shared" si="152"/>
        <v>4.2308762790135471E-2</v>
      </c>
      <c r="J149" s="761">
        <f t="shared" si="152"/>
        <v>4.2308762790135471E-2</v>
      </c>
      <c r="K149" s="761">
        <f t="shared" si="152"/>
        <v>4.2308762790135471E-2</v>
      </c>
      <c r="L149" s="761">
        <f t="shared" si="152"/>
        <v>4.2308762790135471E-2</v>
      </c>
      <c r="M149" s="761">
        <f t="shared" si="152"/>
        <v>4.2308762790135471E-2</v>
      </c>
      <c r="N149" s="761">
        <f t="shared" si="152"/>
        <v>4.2308762790135471E-2</v>
      </c>
      <c r="O149" s="761">
        <f t="shared" si="152"/>
        <v>4.2308762790135471E-2</v>
      </c>
      <c r="P149" s="761">
        <f t="shared" si="152"/>
        <v>4.2308762790135471E-2</v>
      </c>
      <c r="Q149" s="761">
        <f t="shared" si="152"/>
        <v>4.2308762790135471E-2</v>
      </c>
      <c r="R149" s="761">
        <f t="shared" si="152"/>
        <v>4.2308762790135471E-2</v>
      </c>
      <c r="S149" s="761">
        <f t="shared" si="152"/>
        <v>4.2308762790135471E-2</v>
      </c>
      <c r="T149" s="761">
        <f t="shared" si="152"/>
        <v>4.2308762790135471E-2</v>
      </c>
      <c r="U149" s="761">
        <f t="shared" si="152"/>
        <v>4.2308762790135471E-2</v>
      </c>
      <c r="V149" s="761">
        <f t="shared" si="152"/>
        <v>4.2308762790135471E-2</v>
      </c>
      <c r="W149" s="761">
        <f t="shared" si="152"/>
        <v>4.2308762790135471E-2</v>
      </c>
      <c r="X149" s="761">
        <f t="shared" si="152"/>
        <v>4.2308762790135471E-2</v>
      </c>
      <c r="Y149" s="761">
        <f t="shared" si="152"/>
        <v>4.2308762790135471E-2</v>
      </c>
      <c r="Z149" s="761">
        <f t="shared" si="152"/>
        <v>4.2308762790135471E-2</v>
      </c>
      <c r="AA149" s="761">
        <f t="shared" si="152"/>
        <v>4.2308762790135471E-2</v>
      </c>
      <c r="AB149" s="761">
        <f t="shared" si="152"/>
        <v>4.2308762790135471E-2</v>
      </c>
      <c r="AC149" s="761">
        <f t="shared" si="152"/>
        <v>4.2308762790135471E-2</v>
      </c>
      <c r="AD149" s="761">
        <f t="shared" si="152"/>
        <v>4.2308762790135471E-2</v>
      </c>
      <c r="AF149"/>
    </row>
    <row r="150" spans="1:60" s="459" customFormat="1">
      <c r="A150" s="103" t="str">
        <f>Commodities!K42</f>
        <v>T-OTH_CON00</v>
      </c>
      <c r="B150" s="1" t="str">
        <f>Commodities!B19</f>
        <v>TRADSB</v>
      </c>
      <c r="C150" s="709" t="s">
        <v>1014</v>
      </c>
      <c r="D150" s="760">
        <f>('EB2018'!T55+(0.5*'EB2018'!AG55))/'EB2018'!AM55</f>
        <v>0.65951840599625633</v>
      </c>
      <c r="E150" s="761">
        <f>D150</f>
        <v>0.65951840599625633</v>
      </c>
      <c r="F150" s="761">
        <f t="shared" ref="F150:AD150" si="153">E150</f>
        <v>0.65951840599625633</v>
      </c>
      <c r="G150" s="761">
        <f t="shared" si="153"/>
        <v>0.65951840599625633</v>
      </c>
      <c r="H150" s="761">
        <f t="shared" si="153"/>
        <v>0.65951840599625633</v>
      </c>
      <c r="I150" s="761">
        <f t="shared" si="153"/>
        <v>0.65951840599625633</v>
      </c>
      <c r="J150" s="761">
        <f t="shared" si="153"/>
        <v>0.65951840599625633</v>
      </c>
      <c r="K150" s="761">
        <f t="shared" si="153"/>
        <v>0.65951840599625633</v>
      </c>
      <c r="L150" s="761">
        <f t="shared" si="153"/>
        <v>0.65951840599625633</v>
      </c>
      <c r="M150" s="761">
        <f t="shared" si="153"/>
        <v>0.65951840599625633</v>
      </c>
      <c r="N150" s="761">
        <f t="shared" si="153"/>
        <v>0.65951840599625633</v>
      </c>
      <c r="O150" s="761">
        <f t="shared" si="153"/>
        <v>0.65951840599625633</v>
      </c>
      <c r="P150" s="761">
        <f t="shared" si="153"/>
        <v>0.65951840599625633</v>
      </c>
      <c r="Q150" s="761">
        <f t="shared" si="153"/>
        <v>0.65951840599625633</v>
      </c>
      <c r="R150" s="761">
        <f t="shared" si="153"/>
        <v>0.65951840599625633</v>
      </c>
      <c r="S150" s="761">
        <f t="shared" si="153"/>
        <v>0.65951840599625633</v>
      </c>
      <c r="T150" s="761">
        <f t="shared" si="153"/>
        <v>0.65951840599625633</v>
      </c>
      <c r="U150" s="761">
        <f t="shared" si="153"/>
        <v>0.65951840599625633</v>
      </c>
      <c r="V150" s="761">
        <f t="shared" si="153"/>
        <v>0.65951840599625633</v>
      </c>
      <c r="W150" s="761">
        <f t="shared" si="153"/>
        <v>0.65951840599625633</v>
      </c>
      <c r="X150" s="761">
        <f t="shared" si="153"/>
        <v>0.65951840599625633</v>
      </c>
      <c r="Y150" s="761">
        <f t="shared" si="153"/>
        <v>0.65951840599625633</v>
      </c>
      <c r="Z150" s="761">
        <f t="shared" si="153"/>
        <v>0.65951840599625633</v>
      </c>
      <c r="AA150" s="761">
        <f t="shared" si="153"/>
        <v>0.65951840599625633</v>
      </c>
      <c r="AB150" s="761">
        <f t="shared" si="153"/>
        <v>0.65951840599625633</v>
      </c>
      <c r="AC150" s="761">
        <f t="shared" si="153"/>
        <v>0.65951840599625633</v>
      </c>
      <c r="AD150" s="761">
        <f t="shared" si="153"/>
        <v>0.65951840599625633</v>
      </c>
      <c r="AF150"/>
    </row>
    <row r="151" spans="1:60" s="714" customFormat="1">
      <c r="A151" s="763" t="str">
        <f>Commodities!K42</f>
        <v>T-OTH_CON00</v>
      </c>
      <c r="B151" s="458" t="str">
        <f>Commodities!B18</f>
        <v>TRAGSE</v>
      </c>
      <c r="C151" s="129" t="s">
        <v>1015</v>
      </c>
      <c r="D151" s="799">
        <f>1-D150-D149</f>
        <v>0.29817283121360821</v>
      </c>
      <c r="E151" s="799">
        <f t="shared" ref="E151:AD151" si="154">1-E150-E149</f>
        <v>0.29817283121360821</v>
      </c>
      <c r="F151" s="799">
        <f t="shared" si="154"/>
        <v>0.29817283121360821</v>
      </c>
      <c r="G151" s="799">
        <f t="shared" si="154"/>
        <v>0.29817283121360821</v>
      </c>
      <c r="H151" s="799">
        <f t="shared" si="154"/>
        <v>0.29817283121360821</v>
      </c>
      <c r="I151" s="799">
        <f t="shared" si="154"/>
        <v>0.29817283121360821</v>
      </c>
      <c r="J151" s="799">
        <f t="shared" si="154"/>
        <v>0.29817283121360821</v>
      </c>
      <c r="K151" s="799">
        <f t="shared" si="154"/>
        <v>0.29817283121360821</v>
      </c>
      <c r="L151" s="799">
        <f t="shared" si="154"/>
        <v>0.29817283121360821</v>
      </c>
      <c r="M151" s="799">
        <f t="shared" si="154"/>
        <v>0.29817283121360821</v>
      </c>
      <c r="N151" s="799">
        <f t="shared" si="154"/>
        <v>0.29817283121360821</v>
      </c>
      <c r="O151" s="799">
        <f t="shared" si="154"/>
        <v>0.29817283121360821</v>
      </c>
      <c r="P151" s="799">
        <f t="shared" si="154"/>
        <v>0.29817283121360821</v>
      </c>
      <c r="Q151" s="799">
        <f t="shared" si="154"/>
        <v>0.29817283121360821</v>
      </c>
      <c r="R151" s="799">
        <f t="shared" si="154"/>
        <v>0.29817283121360821</v>
      </c>
      <c r="S151" s="799">
        <f t="shared" si="154"/>
        <v>0.29817283121360821</v>
      </c>
      <c r="T151" s="799">
        <f t="shared" si="154"/>
        <v>0.29817283121360821</v>
      </c>
      <c r="U151" s="799">
        <f t="shared" si="154"/>
        <v>0.29817283121360821</v>
      </c>
      <c r="V151" s="799">
        <f t="shared" si="154"/>
        <v>0.29817283121360821</v>
      </c>
      <c r="W151" s="799">
        <f t="shared" si="154"/>
        <v>0.29817283121360821</v>
      </c>
      <c r="X151" s="799">
        <f t="shared" si="154"/>
        <v>0.29817283121360821</v>
      </c>
      <c r="Y151" s="799">
        <f t="shared" si="154"/>
        <v>0.29817283121360821</v>
      </c>
      <c r="Z151" s="799">
        <f t="shared" si="154"/>
        <v>0.29817283121360821</v>
      </c>
      <c r="AA151" s="799">
        <f t="shared" si="154"/>
        <v>0.29817283121360821</v>
      </c>
      <c r="AB151" s="799">
        <f t="shared" si="154"/>
        <v>0.29817283121360821</v>
      </c>
      <c r="AC151" s="799">
        <f t="shared" si="154"/>
        <v>0.29817283121360821</v>
      </c>
      <c r="AD151" s="799">
        <f t="shared" si="154"/>
        <v>0.29817283121360821</v>
      </c>
      <c r="AE151" s="761"/>
      <c r="AF151"/>
      <c r="AG151" s="459"/>
      <c r="AH151" s="459"/>
      <c r="AI151" s="459"/>
      <c r="AJ151" s="459"/>
      <c r="AK151" s="459"/>
      <c r="AL151" s="459"/>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row>
    <row r="152" spans="1:60" s="459" customFormat="1">
      <c r="A152" s="103"/>
      <c r="B152" s="1"/>
      <c r="C152" s="709"/>
      <c r="D152" s="760"/>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c r="AA152" s="761"/>
      <c r="AB152" s="761"/>
      <c r="AC152" s="761"/>
      <c r="AD152" s="761"/>
      <c r="AF152"/>
      <c r="AG152" s="714" t="s">
        <v>1096</v>
      </c>
      <c r="AH152" s="714"/>
      <c r="AI152" s="714"/>
      <c r="AJ152" s="714"/>
      <c r="AK152" s="714"/>
      <c r="AL152" s="714"/>
      <c r="AM152" s="714"/>
      <c r="AN152" s="714"/>
      <c r="AO152" s="714"/>
      <c r="AP152" s="714"/>
      <c r="AQ152" s="714"/>
      <c r="AR152" s="714"/>
      <c r="AS152" s="714"/>
      <c r="AT152" s="714"/>
      <c r="AU152" s="714"/>
      <c r="AV152" s="714"/>
      <c r="AW152" s="714"/>
      <c r="AX152" s="714"/>
      <c r="AY152" s="714"/>
      <c r="AZ152" s="714"/>
      <c r="BA152" s="714"/>
      <c r="BB152" s="714"/>
      <c r="BC152" s="714"/>
      <c r="BD152" s="714"/>
      <c r="BE152" s="714"/>
      <c r="BF152" s="714"/>
      <c r="BG152" s="714"/>
      <c r="BH152" s="714"/>
    </row>
    <row r="153" spans="1:60" s="714" customFormat="1" ht="21">
      <c r="A153" s="459"/>
      <c r="C153" s="23" t="s">
        <v>76</v>
      </c>
      <c r="D153" s="459"/>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c r="AA153" s="761"/>
      <c r="AB153" s="761"/>
      <c r="AC153" s="761"/>
      <c r="AD153" s="761"/>
      <c r="AE153" s="459"/>
      <c r="AF153"/>
      <c r="AG153" s="716" t="s">
        <v>359</v>
      </c>
      <c r="AH153" s="716" t="str">
        <f>AH141</f>
        <v>IE</v>
      </c>
      <c r="AI153" s="716" t="str">
        <f t="shared" ref="AI153:BH153" si="155">AI141</f>
        <v>IE-CW</v>
      </c>
      <c r="AJ153" s="716" t="str">
        <f t="shared" si="155"/>
        <v>IE-D</v>
      </c>
      <c r="AK153" s="716" t="str">
        <f t="shared" si="155"/>
        <v>IE-KE</v>
      </c>
      <c r="AL153" s="716" t="str">
        <f t="shared" si="155"/>
        <v>IE-KK</v>
      </c>
      <c r="AM153" s="716" t="str">
        <f t="shared" si="155"/>
        <v>IE-LS</v>
      </c>
      <c r="AN153" s="716" t="str">
        <f t="shared" si="155"/>
        <v>IE-LD</v>
      </c>
      <c r="AO153" s="716" t="str">
        <f t="shared" si="155"/>
        <v>IE-LH</v>
      </c>
      <c r="AP153" s="716" t="str">
        <f t="shared" si="155"/>
        <v>IE-MH</v>
      </c>
      <c r="AQ153" s="716" t="str">
        <f t="shared" si="155"/>
        <v>IE-OY</v>
      </c>
      <c r="AR153" s="716" t="str">
        <f t="shared" si="155"/>
        <v>IE-WH</v>
      </c>
      <c r="AS153" s="716" t="str">
        <f t="shared" si="155"/>
        <v>IE-WX</v>
      </c>
      <c r="AT153" s="716" t="str">
        <f t="shared" si="155"/>
        <v>IE-WW</v>
      </c>
      <c r="AU153" s="716" t="str">
        <f t="shared" si="155"/>
        <v>IE-CE</v>
      </c>
      <c r="AV153" s="716" t="str">
        <f t="shared" si="155"/>
        <v>IE-CO</v>
      </c>
      <c r="AW153" s="716" t="str">
        <f t="shared" si="155"/>
        <v>IE-KY</v>
      </c>
      <c r="AX153" s="716" t="str">
        <f t="shared" si="155"/>
        <v>IE-LK</v>
      </c>
      <c r="AY153" s="716" t="str">
        <f t="shared" si="155"/>
        <v>IE-TA</v>
      </c>
      <c r="AZ153" s="716" t="str">
        <f t="shared" si="155"/>
        <v>IE-WD</v>
      </c>
      <c r="BA153" s="716" t="str">
        <f t="shared" si="155"/>
        <v>IE-G</v>
      </c>
      <c r="BB153" s="716" t="str">
        <f t="shared" si="155"/>
        <v>IE-LM</v>
      </c>
      <c r="BC153" s="716" t="str">
        <f t="shared" si="155"/>
        <v>IE-MO</v>
      </c>
      <c r="BD153" s="716" t="str">
        <f t="shared" si="155"/>
        <v>IE-RN</v>
      </c>
      <c r="BE153" s="716" t="str">
        <f t="shared" si="155"/>
        <v>IE-SO</v>
      </c>
      <c r="BF153" s="716" t="str">
        <f t="shared" si="155"/>
        <v>IE-CN</v>
      </c>
      <c r="BG153" s="716" t="str">
        <f t="shared" si="155"/>
        <v>IE-DL</v>
      </c>
      <c r="BH153" s="716" t="str">
        <f t="shared" si="155"/>
        <v>IE-MN</v>
      </c>
    </row>
    <row r="154" spans="1:60" s="459" customFormat="1">
      <c r="A154" s="427" t="s">
        <v>70</v>
      </c>
      <c r="B154" s="427" t="s">
        <v>77</v>
      </c>
      <c r="C154" s="427" t="s">
        <v>65</v>
      </c>
      <c r="D154" s="427" t="s">
        <v>986</v>
      </c>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F154"/>
      <c r="AG154" s="714" t="s">
        <v>368</v>
      </c>
      <c r="AH154" s="10">
        <f>SUM(AI154:BH154)</f>
        <v>-2.1006370000001035E-4</v>
      </c>
      <c r="AI154" s="10">
        <f t="shared" ref="AI154:BH154" si="156">AI80-AI116-AI129-AI142</f>
        <v>5.3309409999999962E-4</v>
      </c>
      <c r="AJ154" s="10">
        <f t="shared" si="156"/>
        <v>1.4295247999999913E-3</v>
      </c>
      <c r="AK154" s="10">
        <f t="shared" si="156"/>
        <v>-9.4265600000000699E-5</v>
      </c>
      <c r="AL154" s="10">
        <f t="shared" si="156"/>
        <v>3.4379839999999946E-4</v>
      </c>
      <c r="AM154" s="10">
        <f t="shared" si="156"/>
        <v>4.2925299999999999E-4</v>
      </c>
      <c r="AN154" s="780">
        <f t="shared" si="156"/>
        <v>-4.7465330000000022E-4</v>
      </c>
      <c r="AO154" s="10">
        <f t="shared" si="156"/>
        <v>3.938989999999992E-4</v>
      </c>
      <c r="AP154" s="10">
        <f t="shared" si="156"/>
        <v>-4.5776719999999962E-4</v>
      </c>
      <c r="AQ154" s="10">
        <f t="shared" si="156"/>
        <v>-2.4544960000000022E-4</v>
      </c>
      <c r="AR154" s="10">
        <f t="shared" si="156"/>
        <v>-4.0213360000000069E-4</v>
      </c>
      <c r="AS154" s="10">
        <f t="shared" si="156"/>
        <v>1.5862000000001035E-6</v>
      </c>
      <c r="AT154" s="10">
        <f t="shared" si="156"/>
        <v>2.4956800000000036E-4</v>
      </c>
      <c r="AU154" s="10">
        <f t="shared" si="156"/>
        <v>-5.292935999999999E-4</v>
      </c>
      <c r="AV154" s="10">
        <f t="shared" si="156"/>
        <v>-3.7952639999999649E-4</v>
      </c>
      <c r="AW154" s="10">
        <f t="shared" si="156"/>
        <v>-1.6922399999999994E-4</v>
      </c>
      <c r="AX154" s="10">
        <f t="shared" si="156"/>
        <v>2.2330000000000527E-5</v>
      </c>
      <c r="AY154" s="10">
        <f t="shared" si="156"/>
        <v>-2.1567920000000037E-4</v>
      </c>
      <c r="AZ154" s="10">
        <f t="shared" si="156"/>
        <v>4.6625039999999979E-4</v>
      </c>
      <c r="BA154" s="10">
        <f t="shared" si="156"/>
        <v>-6.8136200000001694E-5</v>
      </c>
      <c r="BB154" s="10">
        <f t="shared" si="156"/>
        <v>-6.2040000000000012E-4</v>
      </c>
      <c r="BC154" s="10">
        <f t="shared" si="156"/>
        <v>-3.9117100000000027E-4</v>
      </c>
      <c r="BD154" s="10">
        <f t="shared" si="156"/>
        <v>-2.1443950000000014E-4</v>
      </c>
      <c r="BE154" s="10">
        <f t="shared" si="156"/>
        <v>6.512E-5</v>
      </c>
      <c r="BF154" s="10">
        <f t="shared" si="156"/>
        <v>2.3598079999999984E-4</v>
      </c>
      <c r="BG154" s="10">
        <f t="shared" si="156"/>
        <v>6.1212799999999998E-5</v>
      </c>
      <c r="BH154" s="10">
        <f t="shared" si="156"/>
        <v>-1.795420000000002E-4</v>
      </c>
    </row>
    <row r="155" spans="1:60" s="714" customFormat="1">
      <c r="A155" s="459" t="str">
        <f>A143</f>
        <v>T-CAR-PHEV_GSL00</v>
      </c>
      <c r="B155" s="714" t="str">
        <f>B143</f>
        <v>TRAELC</v>
      </c>
      <c r="C155" s="459" t="s">
        <v>1014</v>
      </c>
      <c r="D155" s="714">
        <v>5</v>
      </c>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459"/>
      <c r="AF155"/>
      <c r="AG155" s="714" t="s">
        <v>367</v>
      </c>
      <c r="AH155" s="10">
        <f t="shared" ref="AH155:AH159" si="157">SUM(AI155:BH155)</f>
        <v>0.12345540428824375</v>
      </c>
      <c r="AI155" s="10">
        <f t="shared" ref="AI155:BH155" si="158">AI81-AI117-AI130-AI143</f>
        <v>3.8998346384927496E-4</v>
      </c>
      <c r="AJ155" s="10">
        <f t="shared" si="158"/>
        <v>-0.27613494420699514</v>
      </c>
      <c r="AK155" s="10">
        <f t="shared" si="158"/>
        <v>-1.8982995394005719E-2</v>
      </c>
      <c r="AL155" s="10">
        <f t="shared" si="158"/>
        <v>3.5205306947200032E-2</v>
      </c>
      <c r="AM155" s="10">
        <f t="shared" si="158"/>
        <v>2.7368653688593092E-3</v>
      </c>
      <c r="AN155" s="10">
        <f t="shared" si="158"/>
        <v>2.2192535981343048E-2</v>
      </c>
      <c r="AO155" s="10">
        <f t="shared" si="158"/>
        <v>-1.0564990289604781E-2</v>
      </c>
      <c r="AP155" s="10">
        <f t="shared" si="158"/>
        <v>-1.8210606392831008E-2</v>
      </c>
      <c r="AQ155" s="10">
        <f t="shared" si="158"/>
        <v>-2.2999805227897907E-3</v>
      </c>
      <c r="AR155" s="10">
        <f t="shared" si="158"/>
        <v>3.993358396776836E-3</v>
      </c>
      <c r="AS155" s="10">
        <f t="shared" si="158"/>
        <v>-3.8043652971792019E-3</v>
      </c>
      <c r="AT155" s="10">
        <f t="shared" si="158"/>
        <v>-8.4899782482507069E-3</v>
      </c>
      <c r="AU155" s="10">
        <f t="shared" si="158"/>
        <v>4.7212466622714722E-4</v>
      </c>
      <c r="AV155" s="10">
        <f t="shared" si="158"/>
        <v>1.0604361489668701E-2</v>
      </c>
      <c r="AW155" s="10">
        <f t="shared" si="158"/>
        <v>2.7686395446515411E-2</v>
      </c>
      <c r="AX155" s="10">
        <f t="shared" si="158"/>
        <v>-1.9529207384409997E-2</v>
      </c>
      <c r="AY155" s="10">
        <f t="shared" si="158"/>
        <v>-6.7388834005140952E-3</v>
      </c>
      <c r="AZ155" s="10">
        <f t="shared" si="158"/>
        <v>3.0465651846757202E-3</v>
      </c>
      <c r="BA155" s="10">
        <f t="shared" si="158"/>
        <v>0.32724868525931194</v>
      </c>
      <c r="BB155" s="10">
        <f t="shared" si="158"/>
        <v>7.1862541035659921E-3</v>
      </c>
      <c r="BC155" s="10">
        <f t="shared" si="158"/>
        <v>8.3174957481649825E-3</v>
      </c>
      <c r="BD155" s="10">
        <f t="shared" si="158"/>
        <v>4.0246787026639863E-3</v>
      </c>
      <c r="BE155" s="10">
        <f t="shared" si="158"/>
        <v>8.8197873953682615E-4</v>
      </c>
      <c r="BF155" s="10">
        <f t="shared" si="158"/>
        <v>8.6282727963016281E-4</v>
      </c>
      <c r="BG155" s="10">
        <f t="shared" si="158"/>
        <v>1.5998362115630105E-3</v>
      </c>
      <c r="BH155" s="10">
        <f t="shared" si="158"/>
        <v>3.1762102435271833E-2</v>
      </c>
    </row>
    <row r="156" spans="1:60" s="459" customFormat="1">
      <c r="A156" s="714"/>
      <c r="B156" s="714" t="str">
        <f>B155</f>
        <v>TRAELC</v>
      </c>
      <c r="C156" s="714" t="s">
        <v>1015</v>
      </c>
      <c r="D156" s="714">
        <v>5</v>
      </c>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c r="AA156" s="761"/>
      <c r="AB156" s="761"/>
      <c r="AC156" s="761"/>
      <c r="AD156" s="761"/>
      <c r="AE156" s="714"/>
      <c r="AF156"/>
      <c r="AG156" s="714" t="s">
        <v>364</v>
      </c>
      <c r="AH156" s="10">
        <f t="shared" si="157"/>
        <v>2.7904121704018336E-3</v>
      </c>
      <c r="AI156" s="10">
        <f t="shared" ref="AI156:BH156" si="159">AI82-AI118-AI131-AI144</f>
        <v>1.1918590887485597E-3</v>
      </c>
      <c r="AJ156" s="10">
        <f t="shared" si="159"/>
        <v>-7.8285844604120136E-6</v>
      </c>
      <c r="AK156" s="10">
        <f t="shared" si="159"/>
        <v>-1.5969446932317943E-4</v>
      </c>
      <c r="AL156" s="10">
        <f t="shared" si="159"/>
        <v>-5.1810100130308782E-5</v>
      </c>
      <c r="AM156" s="10">
        <f t="shared" si="159"/>
        <v>5.7187608060896202E-4</v>
      </c>
      <c r="AN156" s="10">
        <f t="shared" si="159"/>
        <v>-8.1217647245308095E-5</v>
      </c>
      <c r="AO156" s="10">
        <f t="shared" si="159"/>
        <v>-7.558963058003753E-4</v>
      </c>
      <c r="AP156" s="10">
        <f t="shared" si="159"/>
        <v>6.6850769889666498E-4</v>
      </c>
      <c r="AQ156" s="10">
        <f t="shared" si="159"/>
        <v>4.5266286792323539E-4</v>
      </c>
      <c r="AR156" s="10">
        <f t="shared" si="159"/>
        <v>-3.3710209944540128E-4</v>
      </c>
      <c r="AS156" s="10">
        <f t="shared" si="159"/>
        <v>-9.0229247642055477E-4</v>
      </c>
      <c r="AT156" s="10">
        <f t="shared" si="159"/>
        <v>-3.4298659289144599E-4</v>
      </c>
      <c r="AU156" s="10">
        <f t="shared" si="159"/>
        <v>-5.9711793155221675E-5</v>
      </c>
      <c r="AV156" s="10">
        <f t="shared" si="159"/>
        <v>-1.4366429752186646E-4</v>
      </c>
      <c r="AW156" s="10">
        <f t="shared" si="159"/>
        <v>1.6534471696013752E-4</v>
      </c>
      <c r="AX156" s="10">
        <f t="shared" si="159"/>
        <v>-1.2589876711837696E-3</v>
      </c>
      <c r="AY156" s="10">
        <f t="shared" si="159"/>
        <v>3.478699466056721E-4</v>
      </c>
      <c r="AZ156" s="10">
        <f t="shared" si="159"/>
        <v>1.163479537572793E-3</v>
      </c>
      <c r="BA156" s="10">
        <f t="shared" si="159"/>
        <v>9.4865971851556229E-4</v>
      </c>
      <c r="BB156" s="10">
        <f t="shared" si="159"/>
        <v>-3.0857782315191792E-4</v>
      </c>
      <c r="BC156" s="10">
        <f t="shared" si="159"/>
        <v>1.7778212501445758E-4</v>
      </c>
      <c r="BD156" s="10">
        <f t="shared" si="159"/>
        <v>1.885589242438656E-4</v>
      </c>
      <c r="BE156" s="10">
        <f t="shared" si="159"/>
        <v>9.4877460340283062E-4</v>
      </c>
      <c r="BF156" s="10">
        <f t="shared" si="159"/>
        <v>3.0956105874546018E-4</v>
      </c>
      <c r="BG156" s="10">
        <f t="shared" si="159"/>
        <v>-2.9761153845911641E-4</v>
      </c>
      <c r="BH156" s="10">
        <f t="shared" si="159"/>
        <v>3.6285720235251047E-4</v>
      </c>
    </row>
    <row r="157" spans="1:60" s="459" customFormat="1">
      <c r="A157" s="714" t="str">
        <f>A145</f>
        <v>T-CAR-PHEV_DST00</v>
      </c>
      <c r="B157" s="714" t="str">
        <f>B145</f>
        <v>TRAELC</v>
      </c>
      <c r="C157" s="714" t="s">
        <v>1014</v>
      </c>
      <c r="D157" s="714">
        <v>5</v>
      </c>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c r="AA157" s="761"/>
      <c r="AB157" s="761"/>
      <c r="AC157" s="761"/>
      <c r="AD157" s="761"/>
      <c r="AF157"/>
      <c r="AG157" s="714" t="s">
        <v>588</v>
      </c>
      <c r="AH157" s="10">
        <f>SUM(AI157:BH157)</f>
        <v>0.70332718656916882</v>
      </c>
      <c r="AI157" s="10">
        <f t="shared" ref="AI157:BH157" si="160">AI83-AI119-AI132-AI145</f>
        <v>9.0883109999999878E-3</v>
      </c>
      <c r="AJ157" s="10">
        <f t="shared" si="160"/>
        <v>-6.6439314999999777E-3</v>
      </c>
      <c r="AK157" s="10">
        <f t="shared" si="160"/>
        <v>-1.0555042250000007E-2</v>
      </c>
      <c r="AL157" s="10">
        <f t="shared" si="160"/>
        <v>-7.3324300000000286E-3</v>
      </c>
      <c r="AM157" s="10">
        <f t="shared" si="160"/>
        <v>1.3124417499999999E-2</v>
      </c>
      <c r="AN157" s="10">
        <f t="shared" si="160"/>
        <v>2.6711812500000084E-3</v>
      </c>
      <c r="AO157" s="10">
        <f t="shared" si="160"/>
        <v>1.092670500000005E-2</v>
      </c>
      <c r="AP157" s="10">
        <f t="shared" si="160"/>
        <v>1.3492019999999938E-3</v>
      </c>
      <c r="AQ157" s="10">
        <f t="shared" si="160"/>
        <v>-7.8562022499999995E-3</v>
      </c>
      <c r="AR157" s="10">
        <f t="shared" si="160"/>
        <v>4.7654800000000094E-3</v>
      </c>
      <c r="AS157" s="10">
        <f t="shared" si="160"/>
        <v>-5.3872705000000271E-3</v>
      </c>
      <c r="AT157" s="10">
        <f t="shared" si="160"/>
        <v>-4.100934250000049E-3</v>
      </c>
      <c r="AU157" s="10">
        <f t="shared" si="160"/>
        <v>9.7362614999999819E-3</v>
      </c>
      <c r="AV157" s="10">
        <f t="shared" si="160"/>
        <v>1.3690945000000565E-3</v>
      </c>
      <c r="AW157" s="10">
        <f t="shared" si="160"/>
        <v>9.3792320000000151E-3</v>
      </c>
      <c r="AX157" s="10">
        <f t="shared" si="160"/>
        <v>-2.9164584999999965E-3</v>
      </c>
      <c r="AY157" s="10">
        <f t="shared" si="160"/>
        <v>-8.6951479999999581E-3</v>
      </c>
      <c r="AZ157" s="10">
        <f t="shared" si="160"/>
        <v>-1.2026351500000004E-2</v>
      </c>
      <c r="BA157" s="10">
        <f t="shared" si="160"/>
        <v>-2.2233820000000515E-3</v>
      </c>
      <c r="BB157" s="10">
        <f t="shared" si="160"/>
        <v>5.3360950000000025E-3</v>
      </c>
      <c r="BC157" s="10">
        <f t="shared" si="160"/>
        <v>-5.8649630000000008E-3</v>
      </c>
      <c r="BD157" s="10">
        <f t="shared" si="160"/>
        <v>-3.2972500000000987E-4</v>
      </c>
      <c r="BE157" s="10">
        <f t="shared" si="160"/>
        <v>4.1979170000000163E-3</v>
      </c>
      <c r="BF157" s="10">
        <f t="shared" si="160"/>
        <v>0.16102028382015729</v>
      </c>
      <c r="BG157" s="10">
        <f t="shared" si="160"/>
        <v>0.54423985424901145</v>
      </c>
      <c r="BH157" s="10">
        <f t="shared" si="160"/>
        <v>5.499050000003225E-5</v>
      </c>
    </row>
    <row r="158" spans="1:60" s="459" customFormat="1">
      <c r="A158" s="714"/>
      <c r="B158" s="714" t="str">
        <f>B157</f>
        <v>TRAELC</v>
      </c>
      <c r="C158" s="714" t="s">
        <v>1015</v>
      </c>
      <c r="D158" s="714">
        <v>5</v>
      </c>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c r="AA158" s="761"/>
      <c r="AB158" s="761"/>
      <c r="AC158" s="761"/>
      <c r="AD158" s="761"/>
      <c r="AE158" s="714"/>
      <c r="AF158"/>
      <c r="AG158" s="714" t="s">
        <v>575</v>
      </c>
      <c r="AH158" s="780">
        <f t="shared" si="157"/>
        <v>-2.8086984416308969E-6</v>
      </c>
      <c r="AI158" s="779">
        <f t="shared" ref="AI158:BH158" si="161">AI84-AI120-AI133-AI146</f>
        <v>0</v>
      </c>
      <c r="AJ158" s="779">
        <f t="shared" si="161"/>
        <v>-2.8086984416308969E-6</v>
      </c>
      <c r="AK158" s="779">
        <f t="shared" si="161"/>
        <v>0</v>
      </c>
      <c r="AL158" s="779">
        <f t="shared" si="161"/>
        <v>0</v>
      </c>
      <c r="AM158" s="779">
        <f t="shared" si="161"/>
        <v>0</v>
      </c>
      <c r="AN158" s="779">
        <f t="shared" si="161"/>
        <v>0</v>
      </c>
      <c r="AO158" s="779">
        <f t="shared" si="161"/>
        <v>0</v>
      </c>
      <c r="AP158" s="779">
        <f t="shared" si="161"/>
        <v>0</v>
      </c>
      <c r="AQ158" s="779">
        <f t="shared" si="161"/>
        <v>0</v>
      </c>
      <c r="AR158" s="779">
        <f t="shared" si="161"/>
        <v>0</v>
      </c>
      <c r="AS158" s="779">
        <f t="shared" si="161"/>
        <v>0</v>
      </c>
      <c r="AT158" s="779">
        <f t="shared" si="161"/>
        <v>0</v>
      </c>
      <c r="AU158" s="779">
        <f t="shared" si="161"/>
        <v>0</v>
      </c>
      <c r="AV158" s="779">
        <f t="shared" si="161"/>
        <v>0</v>
      </c>
      <c r="AW158" s="779">
        <f t="shared" si="161"/>
        <v>0</v>
      </c>
      <c r="AX158" s="779">
        <f t="shared" si="161"/>
        <v>0</v>
      </c>
      <c r="AY158" s="779">
        <f t="shared" si="161"/>
        <v>0</v>
      </c>
      <c r="AZ158" s="779">
        <f t="shared" si="161"/>
        <v>0</v>
      </c>
      <c r="BA158" s="779">
        <f t="shared" si="161"/>
        <v>0</v>
      </c>
      <c r="BB158" s="779">
        <f t="shared" si="161"/>
        <v>0</v>
      </c>
      <c r="BC158" s="779">
        <f t="shared" si="161"/>
        <v>0</v>
      </c>
      <c r="BD158" s="779">
        <f t="shared" si="161"/>
        <v>0</v>
      </c>
      <c r="BE158" s="779">
        <f t="shared" si="161"/>
        <v>0</v>
      </c>
      <c r="BF158" s="779">
        <f t="shared" si="161"/>
        <v>0</v>
      </c>
      <c r="BG158" s="779">
        <f t="shared" si="161"/>
        <v>0</v>
      </c>
      <c r="BH158" s="779">
        <f t="shared" si="161"/>
        <v>0</v>
      </c>
    </row>
    <row r="159" spans="1:60" s="459" customFormat="1">
      <c r="A159" s="714" t="str">
        <f>A147</f>
        <v>T-CAR-ICE_DF00</v>
      </c>
      <c r="B159" s="714" t="str">
        <f>B147</f>
        <v>TRACNG</v>
      </c>
      <c r="C159" s="714" t="s">
        <v>1014</v>
      </c>
      <c r="D159" s="714">
        <v>5</v>
      </c>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c r="AA159" s="761"/>
      <c r="AB159" s="761"/>
      <c r="AC159" s="761"/>
      <c r="AD159" s="761"/>
      <c r="AF159"/>
      <c r="AG159" s="714" t="s">
        <v>366</v>
      </c>
      <c r="AH159" s="10">
        <f t="shared" si="157"/>
        <v>-0.36142894386926988</v>
      </c>
      <c r="AI159" s="10">
        <f t="shared" ref="AI159:BH159" si="162">AI85-AI121-AI134-AI147</f>
        <v>-1.2008036635091493E-2</v>
      </c>
      <c r="AJ159" s="10">
        <f t="shared" si="162"/>
        <v>0.35875501486640993</v>
      </c>
      <c r="AK159" s="10">
        <f t="shared" si="162"/>
        <v>-4.6930306039738599E-2</v>
      </c>
      <c r="AL159" s="10">
        <f t="shared" si="162"/>
        <v>-2.0929907457552865E-2</v>
      </c>
      <c r="AM159" s="10">
        <f t="shared" si="162"/>
        <v>-1.7864200781324117E-2</v>
      </c>
      <c r="AN159" s="10">
        <f t="shared" si="162"/>
        <v>-8.6208895065357748E-3</v>
      </c>
      <c r="AO159" s="10">
        <f t="shared" si="162"/>
        <v>-2.7184075628418687E-2</v>
      </c>
      <c r="AP159" s="10">
        <f t="shared" si="162"/>
        <v>-4.1138472167757775E-2</v>
      </c>
      <c r="AQ159" s="10">
        <f t="shared" si="162"/>
        <v>-1.6443450855553439E-2</v>
      </c>
      <c r="AR159" s="10">
        <f t="shared" si="162"/>
        <v>-1.8723273591250478E-2</v>
      </c>
      <c r="AS159" s="10">
        <f t="shared" si="162"/>
        <v>-3.1579204332873756E-2</v>
      </c>
      <c r="AT159" s="10">
        <f t="shared" si="162"/>
        <v>-3.0040128886266178E-2</v>
      </c>
      <c r="AU159" s="10">
        <f t="shared" si="162"/>
        <v>-2.5060754740245661E-2</v>
      </c>
      <c r="AV159" s="10">
        <f t="shared" si="162"/>
        <v>-0.11450113876236298</v>
      </c>
      <c r="AW159" s="10">
        <f t="shared" si="162"/>
        <v>-3.1154202684948007E-2</v>
      </c>
      <c r="AX159" s="10">
        <f t="shared" si="162"/>
        <v>-4.110788892262169E-2</v>
      </c>
      <c r="AY159" s="10">
        <f t="shared" si="162"/>
        <v>-3.3652748353101128E-2</v>
      </c>
      <c r="AZ159" s="10">
        <f t="shared" si="162"/>
        <v>-2.4503717840904757E-2</v>
      </c>
      <c r="BA159" s="10">
        <f t="shared" si="162"/>
        <v>-5.442931774710956E-2</v>
      </c>
      <c r="BB159" s="10">
        <f t="shared" si="162"/>
        <v>-6.7586862561454311E-3</v>
      </c>
      <c r="BC159" s="10">
        <f t="shared" si="162"/>
        <v>-2.7526397055010983E-2</v>
      </c>
      <c r="BD159" s="10">
        <f t="shared" si="162"/>
        <v>-1.3613551545270587E-2</v>
      </c>
      <c r="BE159" s="10">
        <f t="shared" si="162"/>
        <v>-1.3822572206855916E-2</v>
      </c>
      <c r="BF159" s="10">
        <f t="shared" si="162"/>
        <v>-1.606696056198147E-2</v>
      </c>
      <c r="BG159" s="10">
        <f t="shared" si="162"/>
        <v>-3.3576606618658834E-2</v>
      </c>
      <c r="BH159" s="10">
        <f t="shared" si="162"/>
        <v>-1.2947469558099604E-2</v>
      </c>
    </row>
    <row r="160" spans="1:60" s="459" customFormat="1">
      <c r="A160" s="714"/>
      <c r="B160" s="714" t="str">
        <f>B159</f>
        <v>TRACNG</v>
      </c>
      <c r="C160" s="714" t="s">
        <v>1015</v>
      </c>
      <c r="D160" s="714">
        <v>5</v>
      </c>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c r="AA160" s="761"/>
      <c r="AB160" s="761"/>
      <c r="AC160" s="761"/>
      <c r="AD160" s="761"/>
      <c r="AE160" s="714"/>
      <c r="AF160"/>
      <c r="AG160" s="772" t="s">
        <v>16</v>
      </c>
      <c r="AH160" s="781">
        <f t="shared" ref="AH160:BH160" si="163">SUM(AH154:AH159)</f>
        <v>0.46793118676010287</v>
      </c>
      <c r="AI160" s="781">
        <f t="shared" si="163"/>
        <v>-8.0478898249367048E-4</v>
      </c>
      <c r="AJ160" s="781">
        <f t="shared" si="163"/>
        <v>7.7395026676512768E-2</v>
      </c>
      <c r="AK160" s="781">
        <f t="shared" si="163"/>
        <v>-7.6722303753067503E-2</v>
      </c>
      <c r="AL160" s="781">
        <f t="shared" si="163"/>
        <v>7.2349577895168306E-3</v>
      </c>
      <c r="AM160" s="781">
        <f t="shared" si="163"/>
        <v>-1.0017888318558481E-3</v>
      </c>
      <c r="AN160" s="781">
        <f t="shared" si="163"/>
        <v>1.5686956777561975E-2</v>
      </c>
      <c r="AO160" s="781">
        <f t="shared" si="163"/>
        <v>-2.7184358223823792E-2</v>
      </c>
      <c r="AP160" s="781">
        <f t="shared" si="163"/>
        <v>-5.7789136061692128E-2</v>
      </c>
      <c r="AQ160" s="781">
        <f t="shared" si="163"/>
        <v>-2.6392420360419992E-2</v>
      </c>
      <c r="AR160" s="781">
        <f t="shared" si="163"/>
        <v>-1.0703670893919034E-2</v>
      </c>
      <c r="AS160" s="781">
        <f t="shared" si="163"/>
        <v>-4.1671546406473539E-2</v>
      </c>
      <c r="AT160" s="781">
        <f t="shared" si="163"/>
        <v>-4.2724459977408383E-2</v>
      </c>
      <c r="AU160" s="781">
        <f t="shared" si="163"/>
        <v>-1.5441373967173754E-2</v>
      </c>
      <c r="AV160" s="781">
        <f t="shared" si="163"/>
        <v>-0.10305087347021609</v>
      </c>
      <c r="AW160" s="781">
        <f t="shared" si="163"/>
        <v>5.907545478527558E-3</v>
      </c>
      <c r="AX160" s="781">
        <f t="shared" si="163"/>
        <v>-6.4790212478215453E-2</v>
      </c>
      <c r="AY160" s="781">
        <f t="shared" si="163"/>
        <v>-4.8954589007009511E-2</v>
      </c>
      <c r="AZ160" s="781">
        <f t="shared" si="163"/>
        <v>-3.1853774218656247E-2</v>
      </c>
      <c r="BA160" s="781">
        <f t="shared" si="163"/>
        <v>0.27147650903071785</v>
      </c>
      <c r="BB160" s="781">
        <f t="shared" si="163"/>
        <v>4.8346850242686444E-3</v>
      </c>
      <c r="BC160" s="781">
        <f t="shared" si="163"/>
        <v>-2.5287253181831545E-2</v>
      </c>
      <c r="BD160" s="781">
        <f t="shared" si="163"/>
        <v>-9.9444784183627451E-3</v>
      </c>
      <c r="BE160" s="781">
        <f t="shared" si="163"/>
        <v>-7.7287818639162429E-3</v>
      </c>
      <c r="BF160" s="781">
        <f t="shared" si="163"/>
        <v>0.14636169239655142</v>
      </c>
      <c r="BG160" s="781">
        <f t="shared" si="163"/>
        <v>0.5120266851034565</v>
      </c>
      <c r="BH160" s="781">
        <f t="shared" si="163"/>
        <v>1.9052938579524774E-2</v>
      </c>
    </row>
    <row r="161" spans="1:60" s="459" customFormat="1">
      <c r="A161" s="1" t="str">
        <f>A149</f>
        <v>T-OTH_CON00</v>
      </c>
      <c r="B161" s="1" t="str">
        <f>B149</f>
        <v>TRACNG</v>
      </c>
      <c r="C161" s="1" t="s">
        <v>1015</v>
      </c>
      <c r="D161" s="1">
        <v>5</v>
      </c>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c r="AA161" s="761"/>
      <c r="AB161" s="761"/>
      <c r="AC161" s="761"/>
      <c r="AD161" s="761"/>
      <c r="AF161"/>
      <c r="AG161" s="451"/>
    </row>
    <row r="162" spans="1:60" s="459" customFormat="1">
      <c r="A162" s="1" t="str">
        <f>A150</f>
        <v>T-OTH_CON00</v>
      </c>
      <c r="B162" s="1" t="str">
        <f>B150</f>
        <v>TRADSB</v>
      </c>
      <c r="C162" s="1" t="s">
        <v>1014</v>
      </c>
      <c r="D162" s="1">
        <v>5</v>
      </c>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c r="AA162" s="761"/>
      <c r="AB162" s="761"/>
      <c r="AC162" s="761"/>
      <c r="AD162" s="761"/>
      <c r="AF162"/>
      <c r="AG162" s="451"/>
      <c r="AH162" s="714"/>
      <c r="AI162" s="714"/>
      <c r="AJ162" s="714"/>
      <c r="AK162" s="714"/>
      <c r="AL162" s="714"/>
      <c r="AM162" s="714"/>
      <c r="AN162" s="714"/>
      <c r="AO162" s="714"/>
      <c r="AP162" s="714"/>
      <c r="AQ162" s="714"/>
      <c r="AR162" s="714"/>
      <c r="AS162" s="714"/>
      <c r="AT162" s="714"/>
      <c r="AU162" s="714"/>
      <c r="AV162" s="714"/>
      <c r="AW162" s="714"/>
      <c r="AX162" s="714"/>
      <c r="AY162" s="714"/>
      <c r="AZ162" s="714"/>
      <c r="BA162" s="714"/>
      <c r="BB162" s="714"/>
      <c r="BC162" s="714"/>
      <c r="BD162" s="714"/>
      <c r="BE162" s="714"/>
      <c r="BF162" s="714"/>
      <c r="BG162" s="714"/>
      <c r="BH162" s="714"/>
    </row>
    <row r="163" spans="1:60" s="459" customFormat="1">
      <c r="A163" s="763" t="str">
        <f>A162</f>
        <v>T-OTH_CON00</v>
      </c>
      <c r="B163" s="458" t="str">
        <f>B151</f>
        <v>TRAGSE</v>
      </c>
      <c r="C163" s="129" t="s">
        <v>1015</v>
      </c>
      <c r="D163" s="798">
        <v>5</v>
      </c>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c r="AA163" s="761"/>
      <c r="AB163" s="761"/>
      <c r="AC163" s="761"/>
      <c r="AD163" s="761"/>
      <c r="AF163"/>
      <c r="AG163" s="714" t="s">
        <v>1097</v>
      </c>
      <c r="AH163" s="714"/>
      <c r="AI163" s="714"/>
      <c r="AJ163" s="714"/>
      <c r="AK163" s="714"/>
      <c r="AL163" s="714"/>
      <c r="AM163" s="714"/>
      <c r="AN163" s="714"/>
      <c r="AO163" s="714"/>
      <c r="AP163" s="714"/>
      <c r="AQ163" s="714"/>
      <c r="AR163" s="714"/>
      <c r="AS163" s="714"/>
      <c r="AT163" s="714"/>
      <c r="AU163" s="714"/>
      <c r="AV163" s="714"/>
      <c r="AW163" s="714"/>
      <c r="AX163" s="714"/>
      <c r="AY163" s="714"/>
      <c r="AZ163" s="714"/>
      <c r="BA163" s="714"/>
      <c r="BB163" s="714"/>
      <c r="BC163" s="714"/>
      <c r="BD163" s="714"/>
      <c r="BE163" s="714"/>
      <c r="BF163" s="714"/>
      <c r="BG163" s="714"/>
      <c r="BH163" s="714"/>
    </row>
    <row r="164" spans="1:60" s="459" customFormat="1">
      <c r="A164" s="103"/>
      <c r="B164" s="1"/>
      <c r="C164" s="709"/>
      <c r="D164" s="760"/>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c r="AA164" s="761"/>
      <c r="AB164" s="761"/>
      <c r="AC164" s="761"/>
      <c r="AD164" s="761"/>
      <c r="AF164"/>
      <c r="AG164" s="716" t="s">
        <v>359</v>
      </c>
      <c r="AH164" s="716" t="str">
        <f>AH153</f>
        <v>IE</v>
      </c>
      <c r="AI164" s="716" t="str">
        <f t="shared" ref="AI164:BH164" si="164">AI153</f>
        <v>IE-CW</v>
      </c>
      <c r="AJ164" s="716" t="str">
        <f t="shared" si="164"/>
        <v>IE-D</v>
      </c>
      <c r="AK164" s="716" t="str">
        <f t="shared" si="164"/>
        <v>IE-KE</v>
      </c>
      <c r="AL164" s="716" t="str">
        <f t="shared" si="164"/>
        <v>IE-KK</v>
      </c>
      <c r="AM164" s="716" t="str">
        <f t="shared" si="164"/>
        <v>IE-LS</v>
      </c>
      <c r="AN164" s="716" t="str">
        <f t="shared" si="164"/>
        <v>IE-LD</v>
      </c>
      <c r="AO164" s="716" t="str">
        <f t="shared" si="164"/>
        <v>IE-LH</v>
      </c>
      <c r="AP164" s="716" t="str">
        <f t="shared" si="164"/>
        <v>IE-MH</v>
      </c>
      <c r="AQ164" s="716" t="str">
        <f t="shared" si="164"/>
        <v>IE-OY</v>
      </c>
      <c r="AR164" s="716" t="str">
        <f t="shared" si="164"/>
        <v>IE-WH</v>
      </c>
      <c r="AS164" s="716" t="str">
        <f t="shared" si="164"/>
        <v>IE-WX</v>
      </c>
      <c r="AT164" s="716" t="str">
        <f t="shared" si="164"/>
        <v>IE-WW</v>
      </c>
      <c r="AU164" s="716" t="str">
        <f t="shared" si="164"/>
        <v>IE-CE</v>
      </c>
      <c r="AV164" s="716" t="str">
        <f t="shared" si="164"/>
        <v>IE-CO</v>
      </c>
      <c r="AW164" s="716" t="str">
        <f t="shared" si="164"/>
        <v>IE-KY</v>
      </c>
      <c r="AX164" s="716" t="str">
        <f t="shared" si="164"/>
        <v>IE-LK</v>
      </c>
      <c r="AY164" s="716" t="str">
        <f t="shared" si="164"/>
        <v>IE-TA</v>
      </c>
      <c r="AZ164" s="716" t="str">
        <f t="shared" si="164"/>
        <v>IE-WD</v>
      </c>
      <c r="BA164" s="716" t="str">
        <f t="shared" si="164"/>
        <v>IE-G</v>
      </c>
      <c r="BB164" s="716" t="str">
        <f t="shared" si="164"/>
        <v>IE-LM</v>
      </c>
      <c r="BC164" s="716" t="str">
        <f t="shared" si="164"/>
        <v>IE-MO</v>
      </c>
      <c r="BD164" s="716" t="str">
        <f t="shared" si="164"/>
        <v>IE-RN</v>
      </c>
      <c r="BE164" s="716" t="str">
        <f t="shared" si="164"/>
        <v>IE-SO</v>
      </c>
      <c r="BF164" s="716" t="str">
        <f t="shared" si="164"/>
        <v>IE-CN</v>
      </c>
      <c r="BG164" s="716" t="str">
        <f t="shared" si="164"/>
        <v>IE-DL</v>
      </c>
      <c r="BH164" s="716" t="str">
        <f t="shared" si="164"/>
        <v>IE-MN</v>
      </c>
    </row>
    <row r="165" spans="1:60" s="459" customFormat="1">
      <c r="A165" s="103"/>
      <c r="B165" s="1"/>
      <c r="C165" s="709"/>
      <c r="D165" s="760"/>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c r="AA165" s="761"/>
      <c r="AB165" s="761"/>
      <c r="AC165" s="761"/>
      <c r="AD165" s="761"/>
      <c r="AF165"/>
      <c r="AG165" s="714" t="s">
        <v>368</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459" customFormat="1">
      <c r="A166" s="103"/>
      <c r="B166" s="1"/>
      <c r="C166" s="709"/>
      <c r="D166" s="760"/>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c r="AA166" s="761"/>
      <c r="AB166" s="761"/>
      <c r="AC166" s="761"/>
      <c r="AD166" s="761"/>
      <c r="AF166"/>
      <c r="AG166" s="714" t="s">
        <v>367</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459" customFormat="1">
      <c r="A167" s="1"/>
      <c r="B167" s="1"/>
      <c r="C167" s="709"/>
      <c r="D167" s="760"/>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c r="AA167" s="762"/>
      <c r="AB167" s="762"/>
      <c r="AC167" s="762"/>
      <c r="AD167" s="762"/>
      <c r="AF167"/>
      <c r="AG167" s="714" t="s">
        <v>364</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710"/>
      <c r="B168" s="1"/>
      <c r="C168" s="1"/>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59"/>
      <c r="AG168" s="714" t="s">
        <v>588</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461"/>
      <c r="B169" s="459"/>
      <c r="C169" s="45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459"/>
      <c r="AG169" s="714" t="s">
        <v>575</v>
      </c>
      <c r="AH169" s="38">
        <f>(1000*(AH120+AH133+AH146)/(E70*AF!D20))</f>
        <v>78.020092029331138</v>
      </c>
      <c r="AI169" s="38">
        <f>AH169</f>
        <v>78.020092029331138</v>
      </c>
      <c r="AJ169" s="38">
        <f>1000*(AJ120+AJ133+AJ146)/(G70*AF!F20)</f>
        <v>78.020092029331138</v>
      </c>
      <c r="AK169" s="38">
        <f>AJ169</f>
        <v>78.020092029331138</v>
      </c>
      <c r="AL169" s="38">
        <f t="shared" ref="AL169:BH169" si="165">AK169</f>
        <v>78.020092029331138</v>
      </c>
      <c r="AM169" s="38">
        <f t="shared" si="165"/>
        <v>78.020092029331138</v>
      </c>
      <c r="AN169" s="38">
        <f t="shared" si="165"/>
        <v>78.020092029331138</v>
      </c>
      <c r="AO169" s="38">
        <f t="shared" si="165"/>
        <v>78.020092029331138</v>
      </c>
      <c r="AP169" s="38">
        <f t="shared" si="165"/>
        <v>78.020092029331138</v>
      </c>
      <c r="AQ169" s="38">
        <f t="shared" si="165"/>
        <v>78.020092029331138</v>
      </c>
      <c r="AR169" s="38">
        <f t="shared" si="165"/>
        <v>78.020092029331138</v>
      </c>
      <c r="AS169" s="38">
        <f t="shared" si="165"/>
        <v>78.020092029331138</v>
      </c>
      <c r="AT169" s="38">
        <f t="shared" si="165"/>
        <v>78.020092029331138</v>
      </c>
      <c r="AU169" s="38">
        <f t="shared" si="165"/>
        <v>78.020092029331138</v>
      </c>
      <c r="AV169" s="38">
        <f t="shared" si="165"/>
        <v>78.020092029331138</v>
      </c>
      <c r="AW169" s="38">
        <f t="shared" si="165"/>
        <v>78.020092029331138</v>
      </c>
      <c r="AX169" s="38">
        <f t="shared" si="165"/>
        <v>78.020092029331138</v>
      </c>
      <c r="AY169" s="38">
        <f t="shared" si="165"/>
        <v>78.020092029331138</v>
      </c>
      <c r="AZ169" s="38">
        <f t="shared" si="165"/>
        <v>78.020092029331138</v>
      </c>
      <c r="BA169" s="38">
        <f t="shared" si="165"/>
        <v>78.020092029331138</v>
      </c>
      <c r="BB169" s="38">
        <f t="shared" si="165"/>
        <v>78.020092029331138</v>
      </c>
      <c r="BC169" s="38">
        <f t="shared" si="165"/>
        <v>78.020092029331138</v>
      </c>
      <c r="BD169" s="38">
        <f t="shared" si="165"/>
        <v>78.020092029331138</v>
      </c>
      <c r="BE169" s="38">
        <f t="shared" si="165"/>
        <v>78.020092029331138</v>
      </c>
      <c r="BF169" s="38">
        <f t="shared" si="165"/>
        <v>78.020092029331138</v>
      </c>
      <c r="BG169" s="38">
        <f t="shared" si="165"/>
        <v>78.020092029331138</v>
      </c>
      <c r="BH169" s="38">
        <f t="shared" si="165"/>
        <v>78.020092029331138</v>
      </c>
    </row>
    <row r="170" spans="1:60" ht="15.6">
      <c r="A170" s="401" t="s">
        <v>536</v>
      </c>
      <c r="C170" s="398"/>
      <c r="D170" s="398"/>
      <c r="E170" s="398"/>
      <c r="F170" s="398"/>
      <c r="G170" s="398"/>
      <c r="H170" s="398"/>
      <c r="I170" s="398"/>
      <c r="J170" s="398"/>
      <c r="K170" s="398"/>
      <c r="L170" s="9"/>
      <c r="M170" s="9"/>
      <c r="N170" s="9"/>
      <c r="O170" s="9"/>
      <c r="P170" s="9"/>
      <c r="Q170" s="9"/>
      <c r="R170" s="9"/>
      <c r="S170" s="9"/>
      <c r="T170" s="9"/>
      <c r="U170" s="9"/>
      <c r="V170" s="9"/>
      <c r="W170" s="9"/>
      <c r="X170" s="9"/>
      <c r="Y170" s="9"/>
      <c r="Z170" s="9"/>
      <c r="AA170" s="9"/>
      <c r="AB170" s="9"/>
      <c r="AC170" s="9"/>
      <c r="AD170" s="9"/>
      <c r="AG170" s="458" t="s">
        <v>366</v>
      </c>
      <c r="AH170" s="658">
        <f>1000*(AH121+AH134+AH147)/(SUMPRODUCT(E71:E72,AF!D21:D22))</f>
        <v>120.81976698364331</v>
      </c>
      <c r="AI170" s="658">
        <f>1000*(AI121+AI134+AI147)/(SUMPRODUCT(F71:F72,AF!E21:E22))</f>
        <v>214.40168597621496</v>
      </c>
      <c r="AJ170" s="658">
        <f>1000*(AJ121+AJ134+AJ147)/(SUMPRODUCT(G71:G72,AF!F21:F22))</f>
        <v>57.365621078947562</v>
      </c>
      <c r="AK170" s="658">
        <f>1000*(AK121+AK134+AK147)/(SUMPRODUCT(H71:H72,AF!G21:G22))</f>
        <v>214.40168597621496</v>
      </c>
      <c r="AL170" s="658">
        <f>1000*(AL121+AL134+AL147)/(SUMPRODUCT(I71:I72,AF!H21:H22))</f>
        <v>214.40168597621502</v>
      </c>
      <c r="AM170" s="658">
        <f>1000*(AM121+AM134+AM147)/(SUMPRODUCT(J71:J72,AF!I21:I22))</f>
        <v>214.40168597621502</v>
      </c>
      <c r="AN170" s="658">
        <f>1000*(AN121+AN134+AN147)/(SUMPRODUCT(K71:K72,AF!J21:J22))</f>
        <v>214.40168597621496</v>
      </c>
      <c r="AO170" s="658">
        <f>1000*(AO121+AO134+AO147)/(SUMPRODUCT(L71:L72,AF!K21:K22))</f>
        <v>214.40168597621496</v>
      </c>
      <c r="AP170" s="658">
        <f>1000*(AP121+AP134+AP147)/(SUMPRODUCT(M71:M72,AF!L21:L22))</f>
        <v>214.40168597621496</v>
      </c>
      <c r="AQ170" s="658">
        <f>1000*(AQ121+AQ134+AQ147)/(SUMPRODUCT(N71:N72,AF!M21:M22))</f>
        <v>214.40168597621499</v>
      </c>
      <c r="AR170" s="658">
        <f>1000*(AR121+AR134+AR147)/(SUMPRODUCT(O71:O72,AF!N21:N22))</f>
        <v>214.40168597621499</v>
      </c>
      <c r="AS170" s="658">
        <f>1000*(AS121+AS134+AS147)/(SUMPRODUCT(P71:P72,AF!O21:O22))</f>
        <v>214.40168597621496</v>
      </c>
      <c r="AT170" s="658">
        <f>1000*(AT121+AT134+AT147)/(SUMPRODUCT(Q71:Q72,AF!P21:P22))</f>
        <v>214.40168597621496</v>
      </c>
      <c r="AU170" s="658">
        <f>1000*(AU121+AU134+AU147)/(SUMPRODUCT(R71:R72,AF!Q21:Q22))</f>
        <v>214.40168597621499</v>
      </c>
      <c r="AV170" s="658">
        <f>1000*(AV121+AV134+AV147)/(SUMPRODUCT(S71:S72,AF!R21:R22))</f>
        <v>214.40168597621499</v>
      </c>
      <c r="AW170" s="658">
        <f>1000*(AW121+AW134+AW147)/(SUMPRODUCT(T71:T72,AF!S21:S22))</f>
        <v>214.40168597621499</v>
      </c>
      <c r="AX170" s="658">
        <f>1000*(AX121+AX134+AX147)/(SUMPRODUCT(U71:U72,AF!T21:T22))</f>
        <v>214.40168597621499</v>
      </c>
      <c r="AY170" s="658">
        <f>1000*(AY121+AY134+AY147)/(SUMPRODUCT(V71:V72,AF!U21:U22))</f>
        <v>214.40168597621496</v>
      </c>
      <c r="AZ170" s="658">
        <f>1000*(AZ121+AZ134+AZ147)/(SUMPRODUCT(W71:W72,AF!V21:V22))</f>
        <v>214.40168597621496</v>
      </c>
      <c r="BA170" s="658">
        <f>1000*(BA121+BA134+BA147)/(SUMPRODUCT(X71:X72,AF!W21:W22))</f>
        <v>214.40168597621496</v>
      </c>
      <c r="BB170" s="658">
        <f>1000*(BB121+BB134+BB147)/(SUMPRODUCT(Y71:Y72,AF!X21:X22))</f>
        <v>214.40168597621494</v>
      </c>
      <c r="BC170" s="658">
        <f>1000*(BC121+BC134+BC147)/(SUMPRODUCT(Z71:Z72,AF!Y21:Y22))</f>
        <v>214.40168597621494</v>
      </c>
      <c r="BD170" s="658">
        <f>1000*(BD121+BD134+BD147)/(SUMPRODUCT(AA71:AA72,AF!Z21:Z22))</f>
        <v>214.40168597621494</v>
      </c>
      <c r="BE170" s="658">
        <f>1000*(BE121+BE134+BE147)/(SUMPRODUCT(AB71:AB72,AF!AA21:AA22))</f>
        <v>214.40168597621494</v>
      </c>
      <c r="BF170" s="658">
        <f>1000*(BF121+BF134+BF147)/(SUMPRODUCT(AC71:AC72,AF!AB21:AB22))</f>
        <v>214.40168597621491</v>
      </c>
      <c r="BG170" s="658">
        <f>1000*(BG121+BG134+BG147)/(SUMPRODUCT(AD71:AD72,AF!AC21:AC22))</f>
        <v>214.40168597621494</v>
      </c>
      <c r="BH170" s="658">
        <f>1000*(BH121+BH134+BH147)/(SUMPRODUCT(AE71:AE72,AF!AD21:AD22))</f>
        <v>214.40168597621502</v>
      </c>
    </row>
    <row r="171" spans="1:60">
      <c r="A171" s="132" t="s">
        <v>496</v>
      </c>
      <c r="B171" s="132" t="s">
        <v>535</v>
      </c>
      <c r="C171" s="132" t="str">
        <f>Regions!C3</f>
        <v>IE</v>
      </c>
      <c r="D171" s="132" t="str">
        <f>Regions!E3</f>
        <v>IE-CW</v>
      </c>
      <c r="E171" s="132" t="str">
        <f>Regions!F3</f>
        <v>IE-D</v>
      </c>
      <c r="F171" s="132" t="str">
        <f>Regions!G3</f>
        <v>IE-KE</v>
      </c>
      <c r="G171" s="132" t="str">
        <f>Regions!H3</f>
        <v>IE-KK</v>
      </c>
      <c r="H171" s="132" t="str">
        <f>Regions!I3</f>
        <v>IE-LS</v>
      </c>
      <c r="I171" s="132" t="str">
        <f>Regions!J3</f>
        <v>IE-LD</v>
      </c>
      <c r="J171" s="132" t="str">
        <f>Regions!K3</f>
        <v>IE-LH</v>
      </c>
      <c r="K171" s="132" t="str">
        <f>Regions!L3</f>
        <v>IE-MH</v>
      </c>
      <c r="L171" s="132" t="str">
        <f>Regions!M3</f>
        <v>IE-OY</v>
      </c>
      <c r="M171" s="132" t="str">
        <f>Regions!N3</f>
        <v>IE-WH</v>
      </c>
      <c r="N171" s="132" t="str">
        <f>Regions!O3</f>
        <v>IE-WX</v>
      </c>
      <c r="O171" s="132" t="str">
        <f>Regions!P3</f>
        <v>IE-WW</v>
      </c>
      <c r="P171" s="132" t="str">
        <f>Regions!Q3</f>
        <v>IE-CE</v>
      </c>
      <c r="Q171" s="132" t="str">
        <f>Regions!R3</f>
        <v>IE-CO</v>
      </c>
      <c r="R171" s="132" t="str">
        <f>Regions!S3</f>
        <v>IE-KY</v>
      </c>
      <c r="S171" s="132" t="str">
        <f>Regions!T3</f>
        <v>IE-LK</v>
      </c>
      <c r="T171" s="132" t="str">
        <f>Regions!U3</f>
        <v>IE-TA</v>
      </c>
      <c r="U171" s="132" t="str">
        <f>Regions!V3</f>
        <v>IE-WD</v>
      </c>
      <c r="V171" s="132" t="str">
        <f>Regions!W3</f>
        <v>IE-G</v>
      </c>
      <c r="W171" s="132" t="str">
        <f>Regions!X3</f>
        <v>IE-LM</v>
      </c>
      <c r="X171" s="132" t="str">
        <f>Regions!Y3</f>
        <v>IE-MO</v>
      </c>
      <c r="Y171" s="132" t="str">
        <f>Regions!Z3</f>
        <v>IE-RN</v>
      </c>
      <c r="Z171" s="132" t="str">
        <f>Regions!AA3</f>
        <v>IE-SO</v>
      </c>
      <c r="AA171" s="132" t="str">
        <f>Regions!AB3</f>
        <v>IE-CN</v>
      </c>
      <c r="AB171" s="132" t="str">
        <f>Regions!AC3</f>
        <v>IE-DL</v>
      </c>
      <c r="AC171" s="132" t="str">
        <f>Regions!AD3</f>
        <v>IE-MN</v>
      </c>
      <c r="AD171" s="470" t="s">
        <v>492</v>
      </c>
      <c r="AG171" s="459"/>
      <c r="AH171" s="459"/>
      <c r="AI171" s="459"/>
      <c r="AJ171" s="459"/>
      <c r="AK171" s="459"/>
      <c r="AL171" s="459"/>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row>
    <row r="172" spans="1:60">
      <c r="A172" s="398" t="s">
        <v>368</v>
      </c>
      <c r="B172" s="443"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443" t="s">
        <v>541</v>
      </c>
      <c r="AK172" s="133"/>
    </row>
    <row r="173" spans="1:60">
      <c r="A173" s="398" t="s">
        <v>367</v>
      </c>
      <c r="B173" s="443" t="s">
        <v>494</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443" t="s">
        <v>493</v>
      </c>
      <c r="AE173" s="398"/>
    </row>
    <row r="174" spans="1:60">
      <c r="A174" s="398"/>
      <c r="B174" s="443" t="s">
        <v>495</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443" t="s">
        <v>493</v>
      </c>
      <c r="AE174" s="398"/>
    </row>
    <row r="175" spans="1:60">
      <c r="A175" s="398"/>
      <c r="B175" s="443" t="s">
        <v>497</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459" t="s">
        <v>493</v>
      </c>
      <c r="AE175" s="398"/>
    </row>
    <row r="176" spans="1:60" s="459" customFormat="1">
      <c r="A176" s="398"/>
      <c r="B176" s="443" t="s">
        <v>498</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459" t="s">
        <v>493</v>
      </c>
      <c r="AE176" s="398"/>
      <c r="AF176"/>
    </row>
    <row r="177" spans="1:49">
      <c r="A177" s="398"/>
      <c r="B177" s="443" t="s">
        <v>499</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459" t="s">
        <v>493</v>
      </c>
      <c r="AE177" s="398"/>
    </row>
    <row r="178" spans="1:49">
      <c r="A178" s="398"/>
      <c r="B178" s="459" t="s">
        <v>631</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459" t="s">
        <v>493</v>
      </c>
      <c r="AE178" s="398"/>
    </row>
    <row r="179" spans="1:49">
      <c r="A179" s="398"/>
      <c r="B179" s="443" t="s">
        <v>500</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459" t="s">
        <v>493</v>
      </c>
      <c r="AE179" s="398"/>
    </row>
    <row r="180" spans="1:49">
      <c r="A180" s="398"/>
      <c r="B180" s="443" t="s">
        <v>501</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459" t="s">
        <v>493</v>
      </c>
      <c r="AE180" s="398"/>
    </row>
    <row r="181" spans="1:49">
      <c r="A181" s="398"/>
      <c r="B181" s="443" t="s">
        <v>502</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459" t="s">
        <v>493</v>
      </c>
    </row>
    <row r="182" spans="1:49">
      <c r="A182" s="443" t="s">
        <v>560</v>
      </c>
      <c r="B182" s="447" t="s">
        <v>494</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447" t="s">
        <v>503</v>
      </c>
    </row>
    <row r="183" spans="1:49">
      <c r="A183" s="398"/>
      <c r="B183" s="447" t="s">
        <v>495</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447" t="s">
        <v>503</v>
      </c>
      <c r="AF183" s="451"/>
    </row>
    <row r="184" spans="1:49">
      <c r="A184" s="398"/>
      <c r="B184" s="447" t="s">
        <v>499</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447" t="s">
        <v>503</v>
      </c>
      <c r="AF184" s="451"/>
    </row>
    <row r="185" spans="1:49" s="459" customFormat="1">
      <c r="A185" s="459" t="s">
        <v>561</v>
      </c>
      <c r="B185" s="447" t="s">
        <v>504</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507</v>
      </c>
      <c r="AE185"/>
      <c r="AF185" s="451"/>
    </row>
    <row r="186" spans="1:49" s="459" customFormat="1">
      <c r="A186" s="459" t="s">
        <v>24</v>
      </c>
      <c r="B186" s="459" t="s">
        <v>594</v>
      </c>
      <c r="C186" s="36">
        <f>SUM(D186:AC186)</f>
        <v>73</v>
      </c>
      <c r="D186" s="644">
        <v>0</v>
      </c>
      <c r="E186" s="469">
        <f>Demands!B168+Demands!C168</f>
        <v>73</v>
      </c>
      <c r="F186" s="644">
        <v>0</v>
      </c>
      <c r="G186" s="644">
        <v>0</v>
      </c>
      <c r="H186" s="644">
        <v>0</v>
      </c>
      <c r="I186" s="644">
        <v>0</v>
      </c>
      <c r="J186" s="644">
        <v>0</v>
      </c>
      <c r="K186" s="644">
        <v>0</v>
      </c>
      <c r="L186" s="644">
        <v>0</v>
      </c>
      <c r="M186" s="644">
        <v>0</v>
      </c>
      <c r="N186" s="644">
        <v>0</v>
      </c>
      <c r="O186" s="644">
        <v>0</v>
      </c>
      <c r="P186" s="644">
        <v>0</v>
      </c>
      <c r="Q186" s="644">
        <v>0</v>
      </c>
      <c r="R186" s="644">
        <v>0</v>
      </c>
      <c r="S186" s="644">
        <v>0</v>
      </c>
      <c r="T186" s="644">
        <v>0</v>
      </c>
      <c r="U186" s="644">
        <v>0</v>
      </c>
      <c r="V186" s="644">
        <v>0</v>
      </c>
      <c r="W186" s="644">
        <v>0</v>
      </c>
      <c r="X186" s="644">
        <v>0</v>
      </c>
      <c r="Y186" s="644">
        <v>0</v>
      </c>
      <c r="Z186" s="644">
        <v>0</v>
      </c>
      <c r="AA186" s="644">
        <v>0</v>
      </c>
      <c r="AB186" s="644">
        <v>0</v>
      </c>
      <c r="AC186" s="644">
        <v>0</v>
      </c>
      <c r="AD186" s="459" t="s">
        <v>597</v>
      </c>
      <c r="AE186"/>
      <c r="AF186" s="451"/>
    </row>
    <row r="187" spans="1:49">
      <c r="A187" s="36"/>
      <c r="B187" s="459" t="s">
        <v>595</v>
      </c>
      <c r="C187" s="36">
        <f>SUM(D276:D279)</f>
        <v>52</v>
      </c>
      <c r="D187" s="644">
        <v>0</v>
      </c>
      <c r="E187" s="469">
        <f>C187</f>
        <v>52</v>
      </c>
      <c r="F187" s="644">
        <v>0</v>
      </c>
      <c r="G187" s="644">
        <v>0</v>
      </c>
      <c r="H187" s="644">
        <v>0</v>
      </c>
      <c r="I187" s="644">
        <v>0</v>
      </c>
      <c r="J187" s="644">
        <v>0</v>
      </c>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459" t="s">
        <v>598</v>
      </c>
      <c r="AE187" s="459"/>
      <c r="AF187" s="451"/>
      <c r="AG187" s="448"/>
      <c r="AH187" s="448"/>
      <c r="AI187" s="448"/>
      <c r="AJ187" s="448"/>
      <c r="AK187" s="448"/>
      <c r="AL187" s="448"/>
      <c r="AM187" s="448"/>
      <c r="AN187" s="448"/>
      <c r="AO187" s="448"/>
      <c r="AP187" s="448"/>
      <c r="AQ187" s="448"/>
      <c r="AR187" s="448"/>
      <c r="AS187" s="448"/>
      <c r="AT187" s="448"/>
      <c r="AU187" s="448"/>
      <c r="AV187" s="448"/>
      <c r="AW187" s="448"/>
    </row>
    <row r="188" spans="1:49">
      <c r="A188" s="36"/>
      <c r="B188" s="459" t="s">
        <v>596</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459" t="s">
        <v>598</v>
      </c>
      <c r="AE188" s="459"/>
      <c r="AF188" s="451"/>
    </row>
    <row r="189" spans="1:49">
      <c r="A189" s="459" t="s">
        <v>670</v>
      </c>
      <c r="B189" s="459" t="s">
        <v>1135</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459" t="s">
        <v>591</v>
      </c>
      <c r="AF189" s="451"/>
    </row>
    <row r="190" spans="1:49" s="714" customFormat="1">
      <c r="B190" s="714" t="s">
        <v>1136</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451"/>
    </row>
    <row r="191" spans="1:49" s="714" customFormat="1">
      <c r="B191" s="714" t="s">
        <v>1137</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451"/>
    </row>
    <row r="192" spans="1:49" s="459" customFormat="1">
      <c r="A192"/>
      <c r="B192" s="714" t="s">
        <v>1138</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459" t="s">
        <v>591</v>
      </c>
      <c r="AE192"/>
      <c r="AF192" s="451"/>
    </row>
    <row r="193" spans="1:32" s="459" customFormat="1">
      <c r="A193" s="458"/>
      <c r="B193" s="458" t="s">
        <v>596</v>
      </c>
      <c r="C193" s="458">
        <f>SUM(E303)</f>
        <v>14</v>
      </c>
      <c r="D193" s="458">
        <v>0</v>
      </c>
      <c r="E193" s="458">
        <f>C193</f>
        <v>14</v>
      </c>
      <c r="F193" s="458">
        <v>0</v>
      </c>
      <c r="G193" s="458">
        <v>0</v>
      </c>
      <c r="H193" s="458">
        <v>0</v>
      </c>
      <c r="I193" s="458">
        <v>0</v>
      </c>
      <c r="J193" s="458">
        <v>0</v>
      </c>
      <c r="K193" s="458">
        <f>C193</f>
        <v>14</v>
      </c>
      <c r="L193" s="458">
        <v>0</v>
      </c>
      <c r="M193" s="458">
        <v>0</v>
      </c>
      <c r="N193" s="458">
        <v>0</v>
      </c>
      <c r="O193" s="458">
        <v>0</v>
      </c>
      <c r="P193" s="458">
        <v>0</v>
      </c>
      <c r="Q193" s="458">
        <v>0</v>
      </c>
      <c r="R193" s="458">
        <v>0</v>
      </c>
      <c r="S193" s="458">
        <v>0</v>
      </c>
      <c r="T193" s="458">
        <v>0</v>
      </c>
      <c r="U193" s="458">
        <f>C193</f>
        <v>14</v>
      </c>
      <c r="V193" s="458">
        <v>0</v>
      </c>
      <c r="W193" s="458">
        <v>0</v>
      </c>
      <c r="X193" s="458">
        <f>C193</f>
        <v>14</v>
      </c>
      <c r="Y193" s="458">
        <v>0</v>
      </c>
      <c r="Z193" s="458">
        <v>0</v>
      </c>
      <c r="AA193" s="458">
        <v>0</v>
      </c>
      <c r="AB193" s="458">
        <v>0</v>
      </c>
      <c r="AC193" s="458">
        <v>0</v>
      </c>
      <c r="AD193"/>
      <c r="AE193"/>
      <c r="AF193" s="451"/>
    </row>
    <row r="194" spans="1:32">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1"/>
    </row>
    <row r="195" spans="1:32">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c r="AD195" s="459"/>
      <c r="AE195" s="459"/>
      <c r="AF195" s="451"/>
    </row>
    <row r="196" spans="1:32">
      <c r="AF196" s="451"/>
    </row>
    <row r="197" spans="1:32">
      <c r="AF197" s="451"/>
    </row>
    <row r="198" spans="1:32">
      <c r="A198" s="431" t="s">
        <v>480</v>
      </c>
      <c r="B198" s="432"/>
      <c r="AF198" s="451"/>
    </row>
    <row r="199" spans="1:32">
      <c r="A199" s="433" t="s">
        <v>481</v>
      </c>
      <c r="B199" s="434" t="s">
        <v>482</v>
      </c>
      <c r="AF199" s="451"/>
    </row>
    <row r="200" spans="1:32">
      <c r="A200" s="435" t="s">
        <v>20</v>
      </c>
      <c r="B200" s="436">
        <v>1041376950</v>
      </c>
      <c r="AF200" s="451"/>
    </row>
    <row r="201" spans="1:32">
      <c r="A201" s="437" t="s">
        <v>483</v>
      </c>
      <c r="B201" s="436">
        <v>53868503</v>
      </c>
      <c r="AF201" s="451"/>
    </row>
    <row r="202" spans="1:32">
      <c r="A202" s="437" t="s">
        <v>19</v>
      </c>
      <c r="B202" s="438">
        <v>3392228806</v>
      </c>
      <c r="AF202" s="451"/>
    </row>
    <row r="203" spans="1:32">
      <c r="A203" s="437" t="s">
        <v>484</v>
      </c>
      <c r="B203" s="438">
        <v>162101602</v>
      </c>
      <c r="AF203" s="451"/>
    </row>
    <row r="204" spans="1:32">
      <c r="A204" s="439" t="s">
        <v>485</v>
      </c>
      <c r="B204" s="394"/>
      <c r="AF204" s="451"/>
    </row>
    <row r="205" spans="1:32">
      <c r="A205" s="394"/>
      <c r="B205" s="394"/>
      <c r="AF205" s="451"/>
    </row>
    <row r="206" spans="1:32">
      <c r="A206" s="394"/>
      <c r="B206" s="394"/>
      <c r="AF206" s="451"/>
    </row>
    <row r="207" spans="1:32">
      <c r="A207" s="431" t="s">
        <v>486</v>
      </c>
      <c r="B207" s="432"/>
      <c r="AF207" s="451"/>
    </row>
    <row r="208" spans="1:32">
      <c r="A208" s="433" t="s">
        <v>481</v>
      </c>
      <c r="B208" s="434" t="s">
        <v>486</v>
      </c>
      <c r="AF208" s="451"/>
    </row>
    <row r="209" spans="1:32">
      <c r="A209" s="435" t="s">
        <v>20</v>
      </c>
      <c r="B209" s="436">
        <v>35</v>
      </c>
      <c r="AF209" s="451"/>
    </row>
    <row r="210" spans="1:32">
      <c r="A210" s="437" t="s">
        <v>483</v>
      </c>
      <c r="B210" s="436">
        <v>32</v>
      </c>
      <c r="AF210" s="451"/>
    </row>
    <row r="211" spans="1:32">
      <c r="A211" s="437" t="s">
        <v>19</v>
      </c>
      <c r="B211" s="438">
        <v>37</v>
      </c>
      <c r="AF211" s="451"/>
    </row>
    <row r="212" spans="1:32">
      <c r="A212" s="437" t="s">
        <v>484</v>
      </c>
      <c r="B212" s="438">
        <v>33</v>
      </c>
      <c r="AF212" s="451"/>
    </row>
    <row r="213" spans="1:32">
      <c r="A213" s="394"/>
      <c r="B213" s="394"/>
      <c r="AF213" s="451"/>
    </row>
    <row r="214" spans="1:32">
      <c r="A214" s="394"/>
      <c r="B214" s="394"/>
      <c r="AF214" s="451"/>
    </row>
    <row r="215" spans="1:32">
      <c r="A215" s="431" t="s">
        <v>487</v>
      </c>
      <c r="B215" s="432"/>
      <c r="AF215" s="451"/>
    </row>
    <row r="216" spans="1:32">
      <c r="A216" s="433" t="s">
        <v>481</v>
      </c>
      <c r="B216" s="434" t="s">
        <v>488</v>
      </c>
      <c r="AF216" s="451"/>
    </row>
    <row r="217" spans="1:32">
      <c r="A217" s="435" t="s">
        <v>20</v>
      </c>
      <c r="B217" s="440">
        <f>(B200*B209)/((B200*B209)+(B201*B210))</f>
        <v>0.9548414346182118</v>
      </c>
      <c r="AF217" s="451"/>
    </row>
    <row r="218" spans="1:32">
      <c r="A218" s="437" t="s">
        <v>483</v>
      </c>
      <c r="B218" s="440">
        <f>(B201*B210)/((B200*B209)+(B201*B210))</f>
        <v>4.5158565381788147E-2</v>
      </c>
      <c r="AF218" s="451"/>
    </row>
    <row r="219" spans="1:32">
      <c r="A219" s="437" t="s">
        <v>19</v>
      </c>
      <c r="B219" s="440">
        <f>(B202*B211)/((B202*B211)+(B203*B212))</f>
        <v>0.95912212653292017</v>
      </c>
      <c r="AF219" s="451"/>
    </row>
    <row r="220" spans="1:32">
      <c r="A220" s="437" t="s">
        <v>484</v>
      </c>
      <c r="B220" s="440">
        <f>(B203*B212)/((B202*B211)+(B203*B212))</f>
        <v>4.087787346707978E-2</v>
      </c>
      <c r="AF220" s="451"/>
    </row>
    <row r="221" spans="1:32">
      <c r="AF221" s="451"/>
    </row>
    <row r="222" spans="1:32">
      <c r="AF222" s="451"/>
    </row>
    <row r="223" spans="1:32">
      <c r="AF223" s="451"/>
    </row>
    <row r="224" spans="1:32">
      <c r="AF224" s="451"/>
    </row>
    <row r="225" spans="1:32">
      <c r="AF225" s="451"/>
    </row>
    <row r="226" spans="1:32">
      <c r="AF226" s="451"/>
    </row>
    <row r="227" spans="1:32">
      <c r="AF227" s="451"/>
    </row>
    <row r="228" spans="1:32">
      <c r="AF228" s="451"/>
    </row>
    <row r="229" spans="1:32">
      <c r="AF229" s="451"/>
    </row>
    <row r="230" spans="1:32">
      <c r="AF230" s="451"/>
    </row>
    <row r="231" spans="1:32">
      <c r="A231" s="824" t="s">
        <v>505</v>
      </c>
      <c r="B231" s="824"/>
      <c r="C231" s="824"/>
      <c r="D231" s="824"/>
      <c r="E231" s="824"/>
      <c r="F231" s="825"/>
      <c r="AF231" s="451"/>
    </row>
    <row r="232" spans="1:32">
      <c r="A232" s="450" t="s">
        <v>29</v>
      </c>
      <c r="B232" s="450">
        <v>170</v>
      </c>
      <c r="C232" s="450">
        <v>180</v>
      </c>
      <c r="D232" s="450">
        <v>148</v>
      </c>
      <c r="E232" s="450">
        <v>144</v>
      </c>
      <c r="F232" s="450">
        <v>146</v>
      </c>
      <c r="G232" s="391" t="s">
        <v>534</v>
      </c>
      <c r="AF232" s="459"/>
    </row>
    <row r="233" spans="1:32">
      <c r="A233" s="449" t="s">
        <v>28</v>
      </c>
      <c r="B233" s="449">
        <v>305</v>
      </c>
      <c r="C233" s="449">
        <v>308</v>
      </c>
      <c r="D233" s="449">
        <v>312</v>
      </c>
      <c r="E233" s="449">
        <v>325</v>
      </c>
      <c r="F233" s="449">
        <v>332</v>
      </c>
      <c r="G233" s="448" t="s">
        <v>533</v>
      </c>
      <c r="AF233" s="459"/>
    </row>
    <row r="234" spans="1:32">
      <c r="A234" s="824" t="s">
        <v>506</v>
      </c>
      <c r="B234" s="824"/>
      <c r="C234" s="824"/>
      <c r="D234" s="824"/>
      <c r="E234" s="824"/>
      <c r="F234" s="825"/>
      <c r="G234" s="448"/>
      <c r="AF234" s="459"/>
    </row>
    <row r="235" spans="1:32">
      <c r="A235" s="459"/>
      <c r="B235" s="459"/>
      <c r="C235" s="459"/>
      <c r="D235" s="459"/>
      <c r="E235" s="459"/>
      <c r="F235" s="459"/>
      <c r="G235" s="459"/>
      <c r="H235" s="459"/>
      <c r="I235" s="459"/>
      <c r="J235" s="459"/>
      <c r="K235" s="459"/>
      <c r="L235" s="459"/>
      <c r="AF235" s="459"/>
    </row>
    <row r="236" spans="1:32">
      <c r="A236" s="452" t="s">
        <v>29</v>
      </c>
      <c r="C236" t="s">
        <v>531</v>
      </c>
      <c r="D236" t="s">
        <v>532</v>
      </c>
      <c r="AF236" s="459"/>
    </row>
    <row r="237" spans="1:32">
      <c r="A237" s="451" t="s">
        <v>508</v>
      </c>
      <c r="B237" t="s">
        <v>373</v>
      </c>
      <c r="C237">
        <v>14</v>
      </c>
      <c r="D237" s="5">
        <f t="shared" ref="D237:D246" si="166">C237/$C$247</f>
        <v>0.33333333333333331</v>
      </c>
      <c r="AF237" s="459"/>
    </row>
    <row r="238" spans="1:32">
      <c r="A238" s="451" t="s">
        <v>509</v>
      </c>
      <c r="B238" t="s">
        <v>530</v>
      </c>
      <c r="C238">
        <v>1</v>
      </c>
      <c r="D238" s="5">
        <f t="shared" si="166"/>
        <v>2.3809523809523808E-2</v>
      </c>
      <c r="AF238" s="714"/>
    </row>
    <row r="239" spans="1:32">
      <c r="A239" s="451" t="s">
        <v>510</v>
      </c>
      <c r="B239" s="448" t="s">
        <v>382</v>
      </c>
      <c r="C239">
        <v>5</v>
      </c>
      <c r="D239" s="5">
        <f t="shared" si="166"/>
        <v>0.11904761904761904</v>
      </c>
      <c r="AF239" s="459"/>
    </row>
    <row r="240" spans="1:32">
      <c r="A240" s="451" t="s">
        <v>511</v>
      </c>
      <c r="B240" s="448" t="s">
        <v>385</v>
      </c>
      <c r="C240">
        <v>4</v>
      </c>
      <c r="D240" s="5">
        <f t="shared" si="166"/>
        <v>9.5238095238095233E-2</v>
      </c>
      <c r="AF240" s="714"/>
    </row>
    <row r="241" spans="1:32">
      <c r="A241" s="451" t="s">
        <v>512</v>
      </c>
      <c r="B241" s="448" t="s">
        <v>386</v>
      </c>
      <c r="C241">
        <v>2</v>
      </c>
      <c r="D241" s="5">
        <f t="shared" si="166"/>
        <v>4.7619047619047616E-2</v>
      </c>
      <c r="AF241" s="459"/>
    </row>
    <row r="242" spans="1:32">
      <c r="A242" s="451" t="s">
        <v>513</v>
      </c>
      <c r="B242" s="448" t="s">
        <v>387</v>
      </c>
      <c r="C242">
        <v>5</v>
      </c>
      <c r="D242" s="5">
        <f t="shared" si="166"/>
        <v>0.11904761904761904</v>
      </c>
      <c r="AF242" s="714"/>
    </row>
    <row r="243" spans="1:32">
      <c r="A243" s="451" t="s">
        <v>514</v>
      </c>
      <c r="B243" s="448" t="s">
        <v>389</v>
      </c>
      <c r="C243">
        <v>2</v>
      </c>
      <c r="D243" s="5">
        <f t="shared" si="166"/>
        <v>4.7619047619047616E-2</v>
      </c>
      <c r="AF243" s="459"/>
    </row>
    <row r="244" spans="1:32">
      <c r="A244" s="451" t="s">
        <v>515</v>
      </c>
      <c r="B244" s="448" t="s">
        <v>390</v>
      </c>
      <c r="C244">
        <v>6</v>
      </c>
      <c r="D244" s="5">
        <f t="shared" si="166"/>
        <v>0.14285714285714285</v>
      </c>
      <c r="AF244" s="459"/>
    </row>
    <row r="245" spans="1:32">
      <c r="A245" s="451" t="s">
        <v>516</v>
      </c>
      <c r="B245" s="448" t="s">
        <v>394</v>
      </c>
      <c r="C245">
        <v>1</v>
      </c>
      <c r="D245" s="5">
        <f t="shared" si="166"/>
        <v>2.3809523809523808E-2</v>
      </c>
      <c r="AF245" s="459"/>
    </row>
    <row r="246" spans="1:32">
      <c r="A246" s="451" t="s">
        <v>517</v>
      </c>
      <c r="B246" s="448" t="s">
        <v>396</v>
      </c>
      <c r="C246">
        <v>2</v>
      </c>
      <c r="D246" s="5">
        <f t="shared" si="166"/>
        <v>4.7619047619047616E-2</v>
      </c>
      <c r="AF246" s="451"/>
    </row>
    <row r="247" spans="1:32">
      <c r="A247" s="451" t="s">
        <v>518</v>
      </c>
      <c r="C247">
        <f>SUM(C237:C246)</f>
        <v>42</v>
      </c>
      <c r="AF247" s="451"/>
    </row>
    <row r="248" spans="1:32">
      <c r="A248" s="451" t="s">
        <v>519</v>
      </c>
      <c r="AF248" s="451"/>
    </row>
    <row r="249" spans="1:32">
      <c r="A249" s="451" t="s">
        <v>520</v>
      </c>
      <c r="B249" s="459"/>
      <c r="C249" s="459"/>
      <c r="D249" s="459"/>
      <c r="E249" s="459"/>
      <c r="F249" s="459"/>
      <c r="G249" s="459"/>
      <c r="H249" s="459"/>
      <c r="I249" s="459"/>
      <c r="J249" s="459"/>
      <c r="K249" s="459"/>
      <c r="L249" s="459"/>
      <c r="AF249" s="451"/>
    </row>
    <row r="250" spans="1:32">
      <c r="A250" s="451" t="s">
        <v>521</v>
      </c>
      <c r="B250" s="459"/>
      <c r="C250" s="459"/>
      <c r="D250" s="459"/>
      <c r="E250" s="459"/>
      <c r="F250" s="459"/>
      <c r="G250" s="459"/>
      <c r="H250" s="459"/>
      <c r="I250" s="459"/>
      <c r="J250" s="459"/>
      <c r="K250" s="459"/>
      <c r="L250" s="459"/>
      <c r="AF250" s="451"/>
    </row>
    <row r="251" spans="1:32">
      <c r="A251" s="451" t="s">
        <v>522</v>
      </c>
      <c r="B251" s="459"/>
      <c r="C251" s="459"/>
      <c r="D251" s="459"/>
      <c r="E251" s="459"/>
      <c r="F251" s="459"/>
      <c r="G251" s="459"/>
      <c r="H251" s="459"/>
      <c r="I251" s="459"/>
      <c r="J251" s="459"/>
      <c r="K251" s="459"/>
      <c r="L251" s="459"/>
      <c r="AF251" s="451"/>
    </row>
    <row r="252" spans="1:32">
      <c r="A252" s="451" t="s">
        <v>523</v>
      </c>
      <c r="AF252" s="451"/>
    </row>
    <row r="253" spans="1:32">
      <c r="A253" s="451" t="s">
        <v>524</v>
      </c>
      <c r="AF253" s="451"/>
    </row>
    <row r="254" spans="1:32">
      <c r="A254" s="451" t="s">
        <v>525</v>
      </c>
      <c r="AF254" s="451"/>
    </row>
    <row r="255" spans="1:32">
      <c r="A255" s="451" t="s">
        <v>526</v>
      </c>
      <c r="AF255" s="451"/>
    </row>
    <row r="256" spans="1:32">
      <c r="A256" s="451" t="s">
        <v>527</v>
      </c>
      <c r="B256" s="448"/>
      <c r="C256" s="448"/>
      <c r="D256" s="448"/>
      <c r="E256" s="448"/>
      <c r="F256" s="448"/>
      <c r="G256" s="448"/>
      <c r="H256" s="448"/>
      <c r="I256" s="448"/>
      <c r="J256" s="448"/>
      <c r="K256" s="448"/>
      <c r="L256" s="448"/>
      <c r="AF256" s="451"/>
    </row>
    <row r="257" spans="1:32">
      <c r="A257" s="451" t="s">
        <v>528</v>
      </c>
      <c r="B257" s="459"/>
      <c r="C257" s="459"/>
      <c r="D257" s="459"/>
      <c r="E257" s="459"/>
      <c r="F257" s="459"/>
      <c r="G257" s="459"/>
      <c r="H257" s="459"/>
      <c r="I257" s="459"/>
      <c r="J257" s="459"/>
      <c r="K257" s="459"/>
      <c r="L257" s="459"/>
      <c r="AF257" s="451"/>
    </row>
    <row r="258" spans="1:32">
      <c r="A258" s="451" t="s">
        <v>529</v>
      </c>
      <c r="B258" s="459"/>
      <c r="C258" s="459"/>
      <c r="D258" s="459"/>
      <c r="E258" s="459"/>
      <c r="F258" s="459"/>
      <c r="G258" s="459"/>
      <c r="H258" s="459"/>
      <c r="I258" s="459"/>
      <c r="J258" s="459"/>
      <c r="K258" s="459"/>
      <c r="L258" s="459"/>
      <c r="AF258" s="451"/>
    </row>
    <row r="259" spans="1:32">
      <c r="AF259" s="451"/>
    </row>
    <row r="260" spans="1:32">
      <c r="AF260" s="451"/>
    </row>
    <row r="261" spans="1:32">
      <c r="AF261" s="451"/>
    </row>
    <row r="262" spans="1:32">
      <c r="AF262" s="451"/>
    </row>
    <row r="263" spans="1:32">
      <c r="A263" t="s">
        <v>731</v>
      </c>
      <c r="AF263" s="451"/>
    </row>
    <row r="264" spans="1:32" ht="26.4">
      <c r="A264" s="830" t="s">
        <v>116</v>
      </c>
      <c r="B264" s="831" t="s">
        <v>117</v>
      </c>
      <c r="C264" s="562" t="s">
        <v>118</v>
      </c>
      <c r="D264" s="562" t="s">
        <v>119</v>
      </c>
      <c r="E264" s="562" t="s">
        <v>120</v>
      </c>
      <c r="F264" s="562" t="s">
        <v>121</v>
      </c>
      <c r="AF264" s="451"/>
    </row>
    <row r="265" spans="1:32" ht="39.6">
      <c r="A265" s="830"/>
      <c r="B265" s="831"/>
      <c r="C265" s="563" t="s">
        <v>122</v>
      </c>
      <c r="D265" s="563">
        <v>28</v>
      </c>
      <c r="E265" s="563">
        <v>190</v>
      </c>
      <c r="F265" s="563" t="s">
        <v>123</v>
      </c>
      <c r="AF265" s="451"/>
    </row>
    <row r="266" spans="1:32" ht="26.4">
      <c r="A266" s="830"/>
      <c r="B266" s="831"/>
      <c r="C266" s="564" t="s">
        <v>124</v>
      </c>
      <c r="D266" s="564">
        <v>25</v>
      </c>
      <c r="E266" s="564">
        <v>262</v>
      </c>
      <c r="F266" s="564" t="s">
        <v>125</v>
      </c>
      <c r="AF266" s="451"/>
    </row>
    <row r="267" spans="1:32">
      <c r="A267" s="830"/>
      <c r="B267" s="831"/>
      <c r="C267" s="563" t="s">
        <v>126</v>
      </c>
      <c r="D267" s="563">
        <v>10</v>
      </c>
      <c r="E267" s="563">
        <v>304</v>
      </c>
      <c r="F267" s="563">
        <v>2008</v>
      </c>
    </row>
    <row r="268" spans="1:32" ht="26.4">
      <c r="A268" s="830"/>
      <c r="B268" s="832" t="s">
        <v>127</v>
      </c>
      <c r="C268" s="564" t="s">
        <v>128</v>
      </c>
      <c r="D268" s="564">
        <v>5</v>
      </c>
      <c r="E268" s="564" t="s">
        <v>129</v>
      </c>
      <c r="F268" s="564" t="s">
        <v>130</v>
      </c>
    </row>
    <row r="269" spans="1:32" ht="26.4">
      <c r="A269" s="830"/>
      <c r="B269" s="832"/>
      <c r="C269" s="563" t="s">
        <v>131</v>
      </c>
      <c r="D269" s="563">
        <v>5</v>
      </c>
      <c r="E269" s="563">
        <v>28</v>
      </c>
      <c r="F269" s="563" t="s">
        <v>130</v>
      </c>
    </row>
    <row r="270" spans="1:32" ht="26.4">
      <c r="A270" s="830"/>
      <c r="B270" s="832"/>
      <c r="C270" s="564" t="s">
        <v>132</v>
      </c>
      <c r="D270" s="564">
        <v>5</v>
      </c>
      <c r="E270" s="564">
        <v>44</v>
      </c>
      <c r="F270" s="564" t="s">
        <v>130</v>
      </c>
    </row>
    <row r="271" spans="1:32" ht="26.4">
      <c r="A271" s="830"/>
      <c r="B271" s="832"/>
      <c r="C271" s="563" t="s">
        <v>133</v>
      </c>
      <c r="D271" s="563">
        <v>16</v>
      </c>
      <c r="E271" s="563">
        <v>69</v>
      </c>
      <c r="F271" s="563" t="s">
        <v>130</v>
      </c>
    </row>
    <row r="272" spans="1:32" ht="26.4">
      <c r="A272" s="830"/>
      <c r="B272" s="832"/>
      <c r="C272" s="564" t="s">
        <v>134</v>
      </c>
      <c r="D272" s="564">
        <v>5</v>
      </c>
      <c r="E272" s="564">
        <v>69</v>
      </c>
      <c r="F272" s="564" t="s">
        <v>130</v>
      </c>
    </row>
    <row r="273" spans="1:32" ht="26.4">
      <c r="A273" s="833" t="s">
        <v>135</v>
      </c>
      <c r="B273" s="565" t="s">
        <v>136</v>
      </c>
      <c r="C273" s="563" t="s">
        <v>124</v>
      </c>
      <c r="D273" s="563">
        <v>29</v>
      </c>
      <c r="E273" s="563">
        <v>185</v>
      </c>
      <c r="F273" s="563" t="s">
        <v>139</v>
      </c>
    </row>
    <row r="274" spans="1:32">
      <c r="A274" s="833"/>
      <c r="B274" s="565" t="s">
        <v>137</v>
      </c>
      <c r="C274" s="564" t="s">
        <v>140</v>
      </c>
      <c r="D274" s="564">
        <v>8</v>
      </c>
      <c r="E274" s="564">
        <v>85</v>
      </c>
      <c r="F274" s="564">
        <v>2000</v>
      </c>
    </row>
    <row r="275" spans="1:32">
      <c r="A275" s="833"/>
      <c r="B275" s="565" t="s">
        <v>138</v>
      </c>
      <c r="C275" s="563" t="s">
        <v>140</v>
      </c>
      <c r="D275" s="563">
        <v>8</v>
      </c>
      <c r="E275" s="563">
        <v>130</v>
      </c>
      <c r="F275" s="563">
        <v>1993</v>
      </c>
      <c r="AF275" s="459"/>
    </row>
    <row r="276" spans="1:32" ht="26.4">
      <c r="A276" s="833" t="s">
        <v>40</v>
      </c>
      <c r="B276" s="831" t="s">
        <v>141</v>
      </c>
      <c r="C276" s="564" t="s">
        <v>143</v>
      </c>
      <c r="D276" s="564">
        <v>8</v>
      </c>
      <c r="E276" s="564">
        <v>160</v>
      </c>
      <c r="F276" s="564" t="s">
        <v>144</v>
      </c>
    </row>
    <row r="277" spans="1:32">
      <c r="A277" s="833"/>
      <c r="B277" s="831"/>
      <c r="C277" s="563" t="s">
        <v>145</v>
      </c>
      <c r="D277" s="563">
        <v>3</v>
      </c>
      <c r="E277" s="563">
        <v>160</v>
      </c>
      <c r="F277" s="563">
        <v>2001</v>
      </c>
    </row>
    <row r="278" spans="1:32">
      <c r="A278" s="833"/>
      <c r="B278" s="831"/>
      <c r="C278" s="564" t="s">
        <v>146</v>
      </c>
      <c r="D278" s="564">
        <v>4</v>
      </c>
      <c r="E278" s="564">
        <v>160</v>
      </c>
      <c r="F278" s="564">
        <v>2000</v>
      </c>
    </row>
    <row r="279" spans="1:32">
      <c r="A279" s="833"/>
      <c r="B279" s="565" t="s">
        <v>142</v>
      </c>
      <c r="C279" s="563" t="s">
        <v>140</v>
      </c>
      <c r="D279" s="563">
        <v>37</v>
      </c>
      <c r="E279" s="563">
        <v>128</v>
      </c>
      <c r="F279" s="563" t="s">
        <v>147</v>
      </c>
    </row>
    <row r="280" spans="1:32">
      <c r="A280" s="385" t="s">
        <v>169</v>
      </c>
      <c r="B280" s="385" t="s">
        <v>170</v>
      </c>
      <c r="D280" s="459"/>
      <c r="E280" s="459"/>
      <c r="F280" s="459"/>
    </row>
    <row r="281" spans="1:32">
      <c r="A281" s="459" t="s">
        <v>353</v>
      </c>
      <c r="B281" s="459"/>
      <c r="D281" s="459"/>
      <c r="E281" s="459"/>
      <c r="F281" s="459"/>
    </row>
    <row r="282" spans="1:32">
      <c r="A282" s="459" t="s">
        <v>352</v>
      </c>
    </row>
    <row r="284" spans="1:32" ht="24" customHeight="1">
      <c r="AF284" s="459"/>
    </row>
    <row r="285" spans="1:32">
      <c r="AF285" s="459"/>
    </row>
    <row r="286" spans="1:32" ht="22.8">
      <c r="A286" s="829" t="s">
        <v>720</v>
      </c>
      <c r="B286" s="829"/>
      <c r="C286" s="829"/>
      <c r="D286" s="829"/>
      <c r="AF286" s="451"/>
    </row>
    <row r="287" spans="1:32" ht="15" thickBot="1">
      <c r="A287" s="827" t="s">
        <v>163</v>
      </c>
      <c r="B287" s="828"/>
      <c r="C287" s="828"/>
      <c r="D287" s="828"/>
      <c r="E287" s="828"/>
      <c r="F287" s="828"/>
    </row>
    <row r="288" spans="1:32" ht="36.6" thickBot="1">
      <c r="A288" s="561" t="s">
        <v>118</v>
      </c>
      <c r="B288" s="561" t="s">
        <v>164</v>
      </c>
      <c r="C288" s="561" t="s">
        <v>165</v>
      </c>
      <c r="D288" s="561" t="s">
        <v>166</v>
      </c>
      <c r="E288" s="561" t="s">
        <v>168</v>
      </c>
      <c r="F288" s="561" t="s">
        <v>167</v>
      </c>
    </row>
    <row r="289" spans="1:32" ht="40.200000000000003" thickBot="1">
      <c r="A289" s="557" t="s">
        <v>148</v>
      </c>
      <c r="B289" s="557" t="s">
        <v>149</v>
      </c>
      <c r="C289" s="557" t="s">
        <v>150</v>
      </c>
      <c r="D289" s="557" t="s">
        <v>151</v>
      </c>
      <c r="E289" s="558">
        <v>247</v>
      </c>
      <c r="F289" s="558">
        <f>2*6*52*E289</f>
        <v>154128</v>
      </c>
      <c r="AF289" s="459"/>
    </row>
    <row r="290" spans="1:32" ht="27" thickBot="1">
      <c r="A290" s="559" t="s">
        <v>152</v>
      </c>
      <c r="B290" s="559" t="s">
        <v>153</v>
      </c>
      <c r="C290" s="559" t="s">
        <v>150</v>
      </c>
      <c r="D290" s="559" t="s">
        <v>154</v>
      </c>
      <c r="E290" s="560">
        <v>317</v>
      </c>
      <c r="F290" s="560">
        <f>2*E290*2*52</f>
        <v>65936</v>
      </c>
      <c r="AF290" s="459"/>
    </row>
    <row r="291" spans="1:32" ht="53.4" thickBot="1">
      <c r="A291" s="557" t="s">
        <v>155</v>
      </c>
      <c r="B291" s="557" t="s">
        <v>156</v>
      </c>
      <c r="C291" s="557" t="s">
        <v>157</v>
      </c>
      <c r="D291" s="557" t="s">
        <v>158</v>
      </c>
      <c r="E291" s="558">
        <v>312</v>
      </c>
      <c r="F291" s="558">
        <f>2*E291*3*52</f>
        <v>97344</v>
      </c>
    </row>
    <row r="292" spans="1:32" ht="40.200000000000003" thickBot="1">
      <c r="A292" s="559" t="s">
        <v>159</v>
      </c>
      <c r="B292" s="559" t="s">
        <v>160</v>
      </c>
      <c r="C292" s="559" t="s">
        <v>161</v>
      </c>
      <c r="D292" s="559" t="s">
        <v>162</v>
      </c>
      <c r="E292" s="560">
        <v>64.2</v>
      </c>
      <c r="F292" s="560">
        <f>2*E292*35*52</f>
        <v>233688</v>
      </c>
    </row>
    <row r="293" spans="1:32" s="459" customFormat="1">
      <c r="A293" t="s">
        <v>721</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459"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826" t="s">
        <v>726</v>
      </c>
      <c r="B295" s="826"/>
      <c r="C295" s="826" t="s">
        <v>727</v>
      </c>
      <c r="D295" s="826"/>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c r="AD295" s="459"/>
      <c r="AE295" s="459"/>
    </row>
    <row r="296" spans="1:32">
      <c r="A296" s="459" t="s">
        <v>22</v>
      </c>
      <c r="B296" s="459" t="s">
        <v>728</v>
      </c>
      <c r="C296" s="459" t="s">
        <v>23</v>
      </c>
      <c r="D296" s="459" t="s">
        <v>728</v>
      </c>
      <c r="E296" s="411" t="s">
        <v>729</v>
      </c>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c r="AC296" s="459"/>
      <c r="AD296" s="459"/>
      <c r="AE296" s="459"/>
    </row>
    <row r="297" spans="1:32">
      <c r="A297" t="s">
        <v>722</v>
      </c>
      <c r="B297" t="s">
        <v>392</v>
      </c>
      <c r="C297" s="459" t="s">
        <v>723</v>
      </c>
      <c r="D297" s="459" t="s">
        <v>373</v>
      </c>
      <c r="E297" s="39">
        <v>6</v>
      </c>
    </row>
    <row r="298" spans="1:32">
      <c r="A298" s="459" t="s">
        <v>722</v>
      </c>
      <c r="B298" s="459" t="s">
        <v>392</v>
      </c>
      <c r="C298" s="459" t="s">
        <v>724</v>
      </c>
      <c r="D298" s="459" t="s">
        <v>389</v>
      </c>
      <c r="E298">
        <v>2</v>
      </c>
    </row>
    <row r="299" spans="1:32">
      <c r="A299" s="459" t="s">
        <v>722</v>
      </c>
      <c r="B299" s="459" t="s">
        <v>392</v>
      </c>
      <c r="C299" s="459" t="s">
        <v>389</v>
      </c>
      <c r="D299" s="459" t="s">
        <v>389</v>
      </c>
      <c r="E299">
        <v>3</v>
      </c>
    </row>
    <row r="300" spans="1:32">
      <c r="A300" t="s">
        <v>725</v>
      </c>
      <c r="B300" t="s">
        <v>379</v>
      </c>
      <c r="C300" s="459" t="s">
        <v>723</v>
      </c>
      <c r="D300" s="459" t="s">
        <v>373</v>
      </c>
      <c r="E300">
        <v>3</v>
      </c>
    </row>
    <row r="302" spans="1:32">
      <c r="A302" s="3" t="s">
        <v>392</v>
      </c>
      <c r="B302" s="3" t="s">
        <v>373</v>
      </c>
      <c r="C302" s="3" t="s">
        <v>389</v>
      </c>
      <c r="D302" s="3" t="s">
        <v>379</v>
      </c>
      <c r="E302" s="3" t="s">
        <v>730</v>
      </c>
    </row>
    <row r="303" spans="1:32">
      <c r="A303" s="3">
        <f>SUM(E297:E299)/2</f>
        <v>5.5</v>
      </c>
      <c r="B303" s="3">
        <f>0.5*(E297+E300)</f>
        <v>4.5</v>
      </c>
      <c r="C303" s="3">
        <f>0.5*(E298+E299)</f>
        <v>2.5</v>
      </c>
      <c r="D303" s="3">
        <f>E300/2</f>
        <v>1.5</v>
      </c>
      <c r="E303" s="3">
        <f>SUM(A303:D303)</f>
        <v>14</v>
      </c>
    </row>
    <row r="304" spans="1:32">
      <c r="A304" s="556">
        <f>A303/$E$303</f>
        <v>0.39285714285714285</v>
      </c>
      <c r="B304" s="556">
        <f>B303/$E$303</f>
        <v>0.32142857142857145</v>
      </c>
      <c r="C304" s="556">
        <f>C303/$E$303</f>
        <v>0.17857142857142858</v>
      </c>
      <c r="D304" s="556">
        <f>D303/$E$303</f>
        <v>0.10714285714285714</v>
      </c>
      <c r="E304" s="556">
        <f>E303/$E$303</f>
        <v>1</v>
      </c>
    </row>
    <row r="307" spans="1:6">
      <c r="A307" s="459"/>
      <c r="B307" s="459"/>
      <c r="C307" s="459"/>
      <c r="D307" s="459"/>
      <c r="E307" s="459"/>
      <c r="F307" s="459"/>
    </row>
    <row r="390" spans="32:32">
      <c r="AF390" s="459"/>
    </row>
    <row r="391" spans="32:32">
      <c r="AF391" s="459"/>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9"/>
  <sheetViews>
    <sheetView zoomScale="85" zoomScaleNormal="85" workbookViewId="0">
      <selection activeCell="A14" sqref="A14"/>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867</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Commodities!B22</f>
        <v>TRAPS</v>
      </c>
      <c r="B4" s="448" t="str">
        <f>Commodities!D22</f>
        <v>Bpkm</v>
      </c>
      <c r="C4" s="517">
        <f>C369/1000</f>
        <v>14.556561092397196</v>
      </c>
      <c r="D4" s="517">
        <f t="shared" ref="D4:AC4" si="0">D369/1000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Commodities!B23</f>
        <v>TRAPM</v>
      </c>
      <c r="B5" s="459" t="str">
        <f>Commodities!D23</f>
        <v>Bpkm</v>
      </c>
      <c r="C5" s="517">
        <f>C383/1000</f>
        <v>31.276118540280986</v>
      </c>
      <c r="D5" s="517">
        <f t="shared" ref="D5:AC5" si="1">D383/1000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Commodities!B24</f>
        <v>TRAPL</v>
      </c>
      <c r="B6" s="459" t="str">
        <f>Commodities!D24</f>
        <v>Bpkm</v>
      </c>
      <c r="C6" s="517">
        <f>C397/1000</f>
        <v>27.131577542973638</v>
      </c>
      <c r="D6" s="517">
        <f t="shared" ref="D6:AC6" si="2">D397/1000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Commodities!B25</f>
        <v>TFGV</v>
      </c>
      <c r="B7" s="459" t="str">
        <f>Commodities!D25</f>
        <v>Btkm</v>
      </c>
      <c r="C7" s="517">
        <f t="shared" ref="C7:AC7" si="3">(C508/1000)+C18</f>
        <v>11.625551</v>
      </c>
      <c r="D7" s="517">
        <f t="shared" si="3"/>
        <v>0.17794099599204954</v>
      </c>
      <c r="E7" s="517">
        <f t="shared" si="3"/>
        <v>2.6576907930321347</v>
      </c>
      <c r="F7" s="517">
        <f t="shared" si="3"/>
        <v>0.48228404218784626</v>
      </c>
      <c r="G7" s="517">
        <f t="shared" si="3"/>
        <v>0.31014966827589163</v>
      </c>
      <c r="H7" s="517">
        <f t="shared" si="3"/>
        <v>0.22090468018989404</v>
      </c>
      <c r="I7" s="517">
        <f t="shared" si="3"/>
        <v>0.10660397645018758</v>
      </c>
      <c r="J7" s="517">
        <f t="shared" si="3"/>
        <v>0.27935990585939297</v>
      </c>
      <c r="K7" s="517">
        <f t="shared" si="3"/>
        <v>0.43225128206324637</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0.37892082777350039</v>
      </c>
      <c r="V7" s="517">
        <f t="shared" si="3"/>
        <v>0.60506096800451603</v>
      </c>
      <c r="W7" s="517">
        <f t="shared" si="3"/>
        <v>8.0693470189707711E-2</v>
      </c>
      <c r="X7" s="517">
        <f t="shared" si="3"/>
        <v>0.34078379979033369</v>
      </c>
      <c r="Y7" s="517">
        <f t="shared" si="3"/>
        <v>0.1513344097795204</v>
      </c>
      <c r="Z7" s="517">
        <f t="shared" si="3"/>
        <v>0.16503078794415471</v>
      </c>
      <c r="AA7" s="517">
        <f t="shared" si="3"/>
        <v>0.19182704360164693</v>
      </c>
      <c r="AB7" s="517">
        <f t="shared" si="3"/>
        <v>0.40087863270627727</v>
      </c>
      <c r="AC7" s="517">
        <f t="shared" si="3"/>
        <v>0.15458274126405555</v>
      </c>
    </row>
    <row r="8" spans="1:29" s="459" customFormat="1">
      <c r="A8" s="654" t="str">
        <f>Commodities!B26</f>
        <v>TTURS</v>
      </c>
      <c r="B8" s="11" t="str">
        <f>Commodities!D26</f>
        <v>PJ</v>
      </c>
      <c r="C8" s="655">
        <f t="shared" ref="C8:AC8" si="4">C628</f>
        <v>7.7245727925227738</v>
      </c>
      <c r="D8" s="655">
        <f t="shared" si="4"/>
        <v>9.2353600579585152E-2</v>
      </c>
      <c r="E8" s="398">
        <f t="shared" si="4"/>
        <v>2.1856505115455191</v>
      </c>
      <c r="F8" s="398">
        <f t="shared" si="4"/>
        <v>0.36094016622215996</v>
      </c>
      <c r="G8" s="398">
        <f t="shared" si="4"/>
        <v>0.16097155365547308</v>
      </c>
      <c r="H8" s="398">
        <f t="shared" si="4"/>
        <v>0.13739325701343924</v>
      </c>
      <c r="I8" s="398">
        <f t="shared" si="4"/>
        <v>6.6303111018221464E-2</v>
      </c>
      <c r="J8" s="398">
        <f t="shared" si="4"/>
        <v>0.20907225210952107</v>
      </c>
      <c r="K8" s="398">
        <f t="shared" si="4"/>
        <v>0.31639527280693819</v>
      </c>
      <c r="L8" s="398">
        <f t="shared" si="4"/>
        <v>0.12646629408390778</v>
      </c>
      <c r="M8" s="398">
        <f t="shared" si="4"/>
        <v>0.14400037102946978</v>
      </c>
      <c r="N8" s="398">
        <f t="shared" si="4"/>
        <v>0.24287511041201165</v>
      </c>
      <c r="O8" s="398">
        <f t="shared" si="4"/>
        <v>0.23103810796296309</v>
      </c>
      <c r="P8" s="398">
        <f t="shared" si="4"/>
        <v>0.19274182814699234</v>
      </c>
      <c r="Q8" s="398">
        <f t="shared" si="4"/>
        <v>0.88062626360286367</v>
      </c>
      <c r="R8" s="398">
        <f t="shared" si="4"/>
        <v>0.23960643014137542</v>
      </c>
      <c r="S8" s="398">
        <f t="shared" si="4"/>
        <v>0.3161600576013589</v>
      </c>
      <c r="T8" s="398">
        <f t="shared" si="4"/>
        <v>0.25882270135028718</v>
      </c>
      <c r="U8" s="398">
        <f t="shared" si="4"/>
        <v>0.18845766705778619</v>
      </c>
      <c r="V8" s="398">
        <f t="shared" si="4"/>
        <v>0.41861493463020066</v>
      </c>
      <c r="W8" s="398">
        <f t="shared" si="4"/>
        <v>5.1980938259190375E-2</v>
      </c>
      <c r="X8" s="398">
        <f t="shared" si="4"/>
        <v>0.21170504023817749</v>
      </c>
      <c r="Y8" s="398">
        <f t="shared" si="4"/>
        <v>0.10470158778558181</v>
      </c>
      <c r="Z8" s="398">
        <f t="shared" si="4"/>
        <v>0.10630916205267886</v>
      </c>
      <c r="AA8" s="398">
        <f t="shared" si="4"/>
        <v>0.1235707137945352</v>
      </c>
      <c r="AB8" s="398">
        <f t="shared" si="4"/>
        <v>0.25823709659708632</v>
      </c>
      <c r="AC8" s="398">
        <f t="shared" si="4"/>
        <v>9.9578762825448142E-2</v>
      </c>
    </row>
    <row r="9" spans="1:29">
      <c r="A9" s="654" t="str">
        <f>Commodities!B27</f>
        <v>TNAV</v>
      </c>
      <c r="B9" s="11" t="str">
        <f>Commodities!D27</f>
        <v>PJ</v>
      </c>
      <c r="C9" s="655">
        <f t="shared" ref="C9:AC9" si="5">C629</f>
        <v>3.513299808727715</v>
      </c>
      <c r="D9" s="655">
        <f t="shared" si="5"/>
        <v>4.2004379525771122E-2</v>
      </c>
      <c r="E9" s="398">
        <f t="shared" si="5"/>
        <v>0.99408028513777069</v>
      </c>
      <c r="F9" s="398">
        <f t="shared" si="5"/>
        <v>0.16416325549782509</v>
      </c>
      <c r="G9" s="398">
        <f t="shared" si="5"/>
        <v>7.3213282321037743E-2</v>
      </c>
      <c r="H9" s="398">
        <f t="shared" si="5"/>
        <v>6.2489372105217399E-2</v>
      </c>
      <c r="I9" s="398">
        <f t="shared" si="5"/>
        <v>3.0156063450376649E-2</v>
      </c>
      <c r="J9" s="398">
        <f t="shared" si="5"/>
        <v>9.5090501840783506E-2</v>
      </c>
      <c r="K9" s="398">
        <f t="shared" si="5"/>
        <v>0.14390329165011773</v>
      </c>
      <c r="L9" s="398">
        <f t="shared" si="5"/>
        <v>5.7519557229829314E-2</v>
      </c>
      <c r="M9" s="398">
        <f t="shared" si="5"/>
        <v>6.5494427922832554E-2</v>
      </c>
      <c r="N9" s="398">
        <f t="shared" si="5"/>
        <v>0.11046475991283469</v>
      </c>
      <c r="O9" s="398">
        <f t="shared" si="5"/>
        <v>0.10508103973087109</v>
      </c>
      <c r="P9" s="398">
        <f t="shared" si="5"/>
        <v>8.766307809515822E-2</v>
      </c>
      <c r="Q9" s="398">
        <f t="shared" si="5"/>
        <v>0.40052753292342302</v>
      </c>
      <c r="R9" s="398">
        <f t="shared" si="5"/>
        <v>0.10897809468511692</v>
      </c>
      <c r="S9" s="398">
        <f t="shared" si="5"/>
        <v>0.1437963107776517</v>
      </c>
      <c r="T9" s="398">
        <f t="shared" si="5"/>
        <v>0.11771806306603248</v>
      </c>
      <c r="U9" s="398">
        <f t="shared" si="5"/>
        <v>8.5714550618035304E-2</v>
      </c>
      <c r="V9" s="398">
        <f t="shared" si="5"/>
        <v>0.19039496542649909</v>
      </c>
      <c r="W9" s="398">
        <f t="shared" si="5"/>
        <v>2.3642035015875255E-2</v>
      </c>
      <c r="X9" s="398">
        <f t="shared" si="5"/>
        <v>9.6287949813282744E-2</v>
      </c>
      <c r="Y9" s="398">
        <f t="shared" si="5"/>
        <v>4.7620506430678201E-2</v>
      </c>
      <c r="Z9" s="398">
        <f t="shared" si="5"/>
        <v>4.8351665359049577E-2</v>
      </c>
      <c r="AA9" s="398">
        <f t="shared" si="5"/>
        <v>5.6202585799816289E-2</v>
      </c>
      <c r="AB9" s="398">
        <f t="shared" si="5"/>
        <v>0.11745171758354803</v>
      </c>
      <c r="AC9" s="398">
        <f t="shared" si="5"/>
        <v>4.529053680827981E-2</v>
      </c>
    </row>
    <row r="10" spans="1:29">
      <c r="A10" s="11" t="str">
        <f>Commodities!B28</f>
        <v>TOTH</v>
      </c>
      <c r="B10" s="11" t="str">
        <f>Commodities!D28</f>
        <v>PJ</v>
      </c>
      <c r="C10" s="655">
        <f t="shared" ref="C10:AC10" si="6">C630</f>
        <v>22.296388375177408</v>
      </c>
      <c r="D10" s="655">
        <f t="shared" si="6"/>
        <v>0.26657160229775501</v>
      </c>
      <c r="E10" s="398">
        <f t="shared" si="6"/>
        <v>6.3087129821594452</v>
      </c>
      <c r="F10" s="398">
        <f t="shared" si="6"/>
        <v>1.0418261750449602</v>
      </c>
      <c r="G10" s="398">
        <f t="shared" si="6"/>
        <v>0.46463207403939483</v>
      </c>
      <c r="H10" s="398">
        <f t="shared" si="6"/>
        <v>0.39657512470689521</v>
      </c>
      <c r="I10" s="398">
        <f t="shared" si="6"/>
        <v>0.19137885724576939</v>
      </c>
      <c r="J10" s="398">
        <f t="shared" si="6"/>
        <v>0.60347106004608764</v>
      </c>
      <c r="K10" s="398">
        <f t="shared" si="6"/>
        <v>0.91325074823584851</v>
      </c>
      <c r="L10" s="398">
        <f t="shared" si="6"/>
        <v>0.36503528220921938</v>
      </c>
      <c r="M10" s="398">
        <f t="shared" si="6"/>
        <v>0.41564605381809372</v>
      </c>
      <c r="N10" s="398">
        <f t="shared" si="6"/>
        <v>0.7010404243522883</v>
      </c>
      <c r="O10" s="398">
        <f t="shared" si="6"/>
        <v>0.66687382240669146</v>
      </c>
      <c r="P10" s="398">
        <f t="shared" si="6"/>
        <v>0.55633454068383958</v>
      </c>
      <c r="Q10" s="398">
        <f t="shared" si="6"/>
        <v>2.5418603350695159</v>
      </c>
      <c r="R10" s="398">
        <f t="shared" si="6"/>
        <v>0.69160562883078947</v>
      </c>
      <c r="S10" s="398">
        <f t="shared" si="6"/>
        <v>0.91257181754075312</v>
      </c>
      <c r="T10" s="398">
        <f t="shared" si="6"/>
        <v>0.74707192547976031</v>
      </c>
      <c r="U10" s="398">
        <f t="shared" si="6"/>
        <v>0.54396863747179069</v>
      </c>
      <c r="V10" s="398">
        <f t="shared" si="6"/>
        <v>1.2082999814823661</v>
      </c>
      <c r="W10" s="398">
        <f t="shared" si="6"/>
        <v>0.15003900133543985</v>
      </c>
      <c r="X10" s="398">
        <f t="shared" si="6"/>
        <v>0.61107040155050096</v>
      </c>
      <c r="Y10" s="398">
        <f t="shared" si="6"/>
        <v>0.30221312264993849</v>
      </c>
      <c r="Z10" s="398">
        <f t="shared" si="6"/>
        <v>0.3068532627798668</v>
      </c>
      <c r="AA10" s="398">
        <f t="shared" si="6"/>
        <v>0.35667741123856156</v>
      </c>
      <c r="AB10" s="398">
        <f t="shared" si="6"/>
        <v>0.74538162216300519</v>
      </c>
      <c r="AC10" s="398">
        <f t="shared" si="6"/>
        <v>0.28742648033882506</v>
      </c>
    </row>
    <row r="11" spans="1:29">
      <c r="A11" s="448" t="str">
        <f>Commodities!B29</f>
        <v>TAVIDOM</v>
      </c>
      <c r="B11" s="459" t="str">
        <f>Commodities!D29</f>
        <v>PJ</v>
      </c>
      <c r="C11" s="656">
        <f t="shared" ref="C11:AC11" si="7">C641</f>
        <v>0.2334932002865788</v>
      </c>
      <c r="D11" s="398">
        <f t="shared" si="7"/>
        <v>0</v>
      </c>
      <c r="E11" s="398">
        <f t="shared" si="7"/>
        <v>0.13599128494106466</v>
      </c>
      <c r="F11" s="398">
        <f t="shared" si="7"/>
        <v>0</v>
      </c>
      <c r="G11" s="398">
        <f t="shared" si="7"/>
        <v>0</v>
      </c>
      <c r="H11" s="398">
        <f t="shared" si="7"/>
        <v>0</v>
      </c>
      <c r="I11" s="398">
        <f t="shared" si="7"/>
        <v>0</v>
      </c>
      <c r="J11" s="398">
        <f t="shared" si="7"/>
        <v>0</v>
      </c>
      <c r="K11" s="398">
        <f t="shared" si="7"/>
        <v>0</v>
      </c>
      <c r="L11" s="398">
        <f t="shared" si="7"/>
        <v>0</v>
      </c>
      <c r="M11" s="398">
        <f t="shared" si="7"/>
        <v>0</v>
      </c>
      <c r="N11" s="398">
        <f t="shared" si="7"/>
        <v>0</v>
      </c>
      <c r="O11" s="398">
        <f t="shared" si="7"/>
        <v>0</v>
      </c>
      <c r="P11" s="398">
        <f t="shared" si="7"/>
        <v>4.7489540821759567E-2</v>
      </c>
      <c r="Q11" s="398">
        <f t="shared" si="7"/>
        <v>4.7056267691773237E-4</v>
      </c>
      <c r="R11" s="398">
        <f t="shared" si="7"/>
        <v>4.7235778638893708E-2</v>
      </c>
      <c r="S11" s="398">
        <f t="shared" si="7"/>
        <v>0</v>
      </c>
      <c r="T11" s="398">
        <f t="shared" si="7"/>
        <v>0</v>
      </c>
      <c r="U11" s="398">
        <f t="shared" si="7"/>
        <v>0</v>
      </c>
      <c r="V11" s="398">
        <f t="shared" si="7"/>
        <v>0</v>
      </c>
      <c r="W11" s="398">
        <f t="shared" si="7"/>
        <v>0</v>
      </c>
      <c r="X11" s="398">
        <f t="shared" si="7"/>
        <v>9.4112535383546466E-5</v>
      </c>
      <c r="Y11" s="398">
        <f t="shared" si="7"/>
        <v>0</v>
      </c>
      <c r="Z11" s="398">
        <f t="shared" si="7"/>
        <v>0</v>
      </c>
      <c r="AA11" s="398">
        <f t="shared" si="7"/>
        <v>0</v>
      </c>
      <c r="AB11" s="398">
        <f t="shared" si="7"/>
        <v>0</v>
      </c>
      <c r="AC11" s="398">
        <f t="shared" si="7"/>
        <v>0</v>
      </c>
    </row>
    <row r="12" spans="1:29" s="459" customFormat="1">
      <c r="A12" s="458" t="str">
        <f>Commodities!B30</f>
        <v>TAVIINT</v>
      </c>
      <c r="B12" s="458" t="str">
        <f>Commodities!D30</f>
        <v>PJ</v>
      </c>
      <c r="C12" s="601">
        <f t="shared" ref="C12:AC12" si="8">C642</f>
        <v>45.935836654432045</v>
      </c>
      <c r="D12" s="602">
        <f t="shared" si="8"/>
        <v>0</v>
      </c>
      <c r="E12" s="601">
        <f t="shared" si="8"/>
        <v>40.411547456014475</v>
      </c>
      <c r="F12" s="601">
        <f t="shared" si="8"/>
        <v>0</v>
      </c>
      <c r="G12" s="601">
        <f t="shared" si="8"/>
        <v>0</v>
      </c>
      <c r="H12" s="601">
        <f t="shared" si="8"/>
        <v>0</v>
      </c>
      <c r="I12" s="601">
        <f t="shared" si="8"/>
        <v>0</v>
      </c>
      <c r="J12" s="601">
        <f t="shared" si="8"/>
        <v>0</v>
      </c>
      <c r="K12" s="601">
        <f t="shared" si="8"/>
        <v>0</v>
      </c>
      <c r="L12" s="601">
        <f t="shared" si="8"/>
        <v>0</v>
      </c>
      <c r="M12" s="601">
        <f t="shared" si="8"/>
        <v>0</v>
      </c>
      <c r="N12" s="601">
        <f t="shared" si="8"/>
        <v>0</v>
      </c>
      <c r="O12" s="601">
        <f t="shared" si="8"/>
        <v>0</v>
      </c>
      <c r="P12" s="601">
        <f t="shared" si="8"/>
        <v>2.3928132767411885</v>
      </c>
      <c r="Q12" s="601">
        <f t="shared" si="8"/>
        <v>2.2124403851853933</v>
      </c>
      <c r="R12" s="601">
        <f t="shared" si="8"/>
        <v>0.2411025265315139</v>
      </c>
      <c r="S12" s="601">
        <f t="shared" si="8"/>
        <v>0</v>
      </c>
      <c r="T12" s="601">
        <f t="shared" si="8"/>
        <v>0</v>
      </c>
      <c r="U12" s="601">
        <f t="shared" si="8"/>
        <v>0</v>
      </c>
      <c r="V12" s="601">
        <f t="shared" si="8"/>
        <v>0</v>
      </c>
      <c r="W12" s="601">
        <f t="shared" si="8"/>
        <v>0</v>
      </c>
      <c r="X12" s="601">
        <f t="shared" si="8"/>
        <v>0.68832808501139164</v>
      </c>
      <c r="Y12" s="601">
        <f t="shared" si="8"/>
        <v>0</v>
      </c>
      <c r="Z12" s="601">
        <f t="shared" si="8"/>
        <v>0</v>
      </c>
      <c r="AA12" s="601">
        <f t="shared" si="8"/>
        <v>0</v>
      </c>
      <c r="AB12" s="601">
        <f t="shared" si="8"/>
        <v>0</v>
      </c>
      <c r="AC12" s="601">
        <f t="shared" si="8"/>
        <v>0</v>
      </c>
    </row>
    <row r="13" spans="1:29" s="459" customFormat="1">
      <c r="A13" s="1"/>
      <c r="B13" s="1"/>
      <c r="C13" s="703"/>
      <c r="D13" s="402"/>
      <c r="E13" s="703"/>
      <c r="F13" s="703"/>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row>
    <row r="14" spans="1:29" s="714" customFormat="1">
      <c r="A14" s="1"/>
      <c r="B14" s="1"/>
      <c r="C14" s="703"/>
      <c r="D14" s="402"/>
      <c r="E14" s="703"/>
      <c r="F14" s="703"/>
      <c r="G14" s="703"/>
      <c r="H14" s="703"/>
      <c r="I14" s="703"/>
      <c r="J14" s="703"/>
      <c r="K14" s="703"/>
      <c r="L14" s="703"/>
      <c r="M14" s="703"/>
      <c r="N14" s="703"/>
      <c r="O14" s="703"/>
      <c r="P14" s="703"/>
      <c r="Q14" s="703"/>
      <c r="R14" s="703"/>
      <c r="S14" s="703"/>
      <c r="T14" s="703"/>
      <c r="U14" s="703"/>
      <c r="V14" s="703"/>
      <c r="W14" s="703"/>
      <c r="X14" s="703"/>
      <c r="Y14" s="703"/>
      <c r="Z14" s="703"/>
      <c r="AA14" s="703"/>
      <c r="AB14" s="703"/>
      <c r="AC14" s="703"/>
    </row>
    <row r="15" spans="1:29" s="714" customFormat="1">
      <c r="A15" s="1"/>
      <c r="B15" s="1"/>
      <c r="C15" s="703"/>
      <c r="D15" s="402"/>
      <c r="E15" s="703"/>
      <c r="F15" s="703"/>
      <c r="G15" s="703"/>
      <c r="H15" s="703"/>
      <c r="I15" s="703"/>
      <c r="J15" s="703"/>
      <c r="K15" s="703"/>
      <c r="L15" s="703"/>
      <c r="M15" s="703"/>
      <c r="N15" s="703"/>
      <c r="O15" s="703"/>
      <c r="P15" s="703"/>
      <c r="Q15" s="703"/>
      <c r="R15" s="703"/>
      <c r="S15" s="703"/>
      <c r="T15" s="703"/>
      <c r="U15" s="703"/>
      <c r="V15" s="703"/>
      <c r="W15" s="703"/>
      <c r="X15" s="703"/>
      <c r="Y15" s="703"/>
      <c r="Z15" s="703"/>
      <c r="AA15" s="703"/>
      <c r="AB15" s="703"/>
      <c r="AC15" s="703"/>
    </row>
    <row r="16" spans="1:29" s="714" customFormat="1">
      <c r="A16" s="1" t="s">
        <v>1142</v>
      </c>
      <c r="B16" s="1"/>
      <c r="C16" s="703"/>
      <c r="D16" s="402"/>
      <c r="E16" s="703"/>
      <c r="F16" s="703"/>
      <c r="G16" s="703"/>
      <c r="H16" s="703"/>
      <c r="I16" s="703"/>
      <c r="J16" s="703"/>
      <c r="K16" s="703"/>
      <c r="L16" s="703"/>
      <c r="M16" s="703"/>
      <c r="N16" s="703"/>
      <c r="O16" s="703"/>
      <c r="P16" s="703"/>
      <c r="Q16" s="703"/>
      <c r="R16" s="703"/>
      <c r="S16" s="703"/>
      <c r="T16" s="703"/>
      <c r="U16" s="703"/>
      <c r="V16" s="703"/>
      <c r="W16" s="703"/>
      <c r="X16" s="703"/>
      <c r="Y16" s="703"/>
      <c r="Z16" s="703"/>
      <c r="AA16" s="703"/>
      <c r="AB16" s="703"/>
      <c r="AC16" s="703"/>
    </row>
    <row r="17" spans="1:29" s="714" customFormat="1">
      <c r="A17" s="716" t="s">
        <v>62</v>
      </c>
      <c r="B17" s="716" t="s">
        <v>96</v>
      </c>
      <c r="C17" s="716" t="str">
        <f>C3</f>
        <v>IE</v>
      </c>
      <c r="D17" s="716" t="str">
        <f t="shared" ref="D17:AC17" si="9">D3</f>
        <v>IE-CW</v>
      </c>
      <c r="E17" s="716" t="str">
        <f t="shared" si="9"/>
        <v>IE-D</v>
      </c>
      <c r="F17" s="716" t="str">
        <f t="shared" si="9"/>
        <v>IE-KE</v>
      </c>
      <c r="G17" s="716" t="str">
        <f t="shared" si="9"/>
        <v>IE-KK</v>
      </c>
      <c r="H17" s="716" t="str">
        <f t="shared" si="9"/>
        <v>IE-LS</v>
      </c>
      <c r="I17" s="716" t="str">
        <f t="shared" si="9"/>
        <v>IE-LD</v>
      </c>
      <c r="J17" s="716" t="str">
        <f t="shared" si="9"/>
        <v>IE-LH</v>
      </c>
      <c r="K17" s="716" t="str">
        <f t="shared" si="9"/>
        <v>IE-MH</v>
      </c>
      <c r="L17" s="716" t="str">
        <f t="shared" si="9"/>
        <v>IE-OY</v>
      </c>
      <c r="M17" s="716" t="str">
        <f t="shared" si="9"/>
        <v>IE-WH</v>
      </c>
      <c r="N17" s="716" t="str">
        <f t="shared" si="9"/>
        <v>IE-WX</v>
      </c>
      <c r="O17" s="716" t="str">
        <f t="shared" si="9"/>
        <v>IE-WW</v>
      </c>
      <c r="P17" s="716" t="str">
        <f t="shared" si="9"/>
        <v>IE-CE</v>
      </c>
      <c r="Q17" s="716" t="str">
        <f t="shared" si="9"/>
        <v>IE-CO</v>
      </c>
      <c r="R17" s="716" t="str">
        <f t="shared" si="9"/>
        <v>IE-KY</v>
      </c>
      <c r="S17" s="716" t="str">
        <f t="shared" si="9"/>
        <v>IE-LK</v>
      </c>
      <c r="T17" s="716" t="str">
        <f t="shared" si="9"/>
        <v>IE-TA</v>
      </c>
      <c r="U17" s="716" t="str">
        <f t="shared" si="9"/>
        <v>IE-WD</v>
      </c>
      <c r="V17" s="716" t="str">
        <f t="shared" si="9"/>
        <v>IE-G</v>
      </c>
      <c r="W17" s="716" t="str">
        <f t="shared" si="9"/>
        <v>IE-LM</v>
      </c>
      <c r="X17" s="716" t="str">
        <f t="shared" si="9"/>
        <v>IE-MO</v>
      </c>
      <c r="Y17" s="716" t="str">
        <f t="shared" si="9"/>
        <v>IE-RN</v>
      </c>
      <c r="Z17" s="716" t="str">
        <f t="shared" si="9"/>
        <v>IE-SO</v>
      </c>
      <c r="AA17" s="716" t="str">
        <f t="shared" si="9"/>
        <v>IE-CN</v>
      </c>
      <c r="AB17" s="716" t="str">
        <f t="shared" si="9"/>
        <v>IE-DL</v>
      </c>
      <c r="AC17" s="716" t="str">
        <f t="shared" si="9"/>
        <v>IE-MN</v>
      </c>
    </row>
    <row r="18" spans="1:29" s="714" customFormat="1">
      <c r="A18" s="816"/>
      <c r="B18" s="816" t="s">
        <v>981</v>
      </c>
      <c r="C18" s="817">
        <f>G564/1000000</f>
        <v>8.8551000000000005E-2</v>
      </c>
      <c r="D18" s="816">
        <v>0</v>
      </c>
      <c r="E18" s="817">
        <f>C18*Stock!B304</f>
        <v>2.8462821428571431E-2</v>
      </c>
      <c r="F18" s="818">
        <v>0</v>
      </c>
      <c r="G18" s="818">
        <v>0</v>
      </c>
      <c r="H18" s="818">
        <v>0</v>
      </c>
      <c r="I18" s="818">
        <v>0</v>
      </c>
      <c r="J18" s="818">
        <v>0</v>
      </c>
      <c r="K18" s="817">
        <f>C18*Stock!D304</f>
        <v>9.4876071428571431E-3</v>
      </c>
      <c r="L18" s="818">
        <v>0</v>
      </c>
      <c r="M18" s="818">
        <v>0</v>
      </c>
      <c r="N18" s="818">
        <v>0</v>
      </c>
      <c r="O18" s="818">
        <v>0</v>
      </c>
      <c r="P18" s="818">
        <v>0</v>
      </c>
      <c r="Q18" s="818">
        <v>0</v>
      </c>
      <c r="R18" s="818">
        <v>0</v>
      </c>
      <c r="S18" s="818">
        <v>0</v>
      </c>
      <c r="T18" s="818">
        <v>0</v>
      </c>
      <c r="U18" s="817">
        <f>C18*Stock!C304</f>
        <v>1.5812678571428571E-2</v>
      </c>
      <c r="V18" s="818">
        <v>0</v>
      </c>
      <c r="W18" s="818">
        <v>0</v>
      </c>
      <c r="X18" s="817">
        <f>C18*Stock!A304</f>
        <v>3.4787892857142858E-2</v>
      </c>
      <c r="Y18" s="818">
        <v>0</v>
      </c>
      <c r="Z18" s="818">
        <v>0</v>
      </c>
      <c r="AA18" s="818">
        <v>0</v>
      </c>
      <c r="AB18" s="818">
        <v>0</v>
      </c>
      <c r="AC18" s="818">
        <v>0</v>
      </c>
    </row>
    <row r="19" spans="1:29" s="714" customFormat="1">
      <c r="A19" s="402"/>
      <c r="B19" s="402"/>
      <c r="C19" s="703"/>
      <c r="D19" s="402"/>
      <c r="E19" s="703"/>
      <c r="F19" s="703"/>
      <c r="G19" s="703"/>
      <c r="H19" s="703"/>
      <c r="I19" s="703"/>
      <c r="J19" s="703"/>
      <c r="K19" s="703"/>
      <c r="L19" s="703"/>
      <c r="M19" s="703"/>
      <c r="N19" s="703"/>
      <c r="O19" s="703"/>
      <c r="P19" s="703"/>
      <c r="Q19" s="703"/>
      <c r="R19" s="703"/>
      <c r="S19" s="703"/>
      <c r="T19" s="703"/>
      <c r="U19" s="703"/>
      <c r="V19" s="703"/>
      <c r="W19" s="703"/>
      <c r="X19" s="703"/>
      <c r="Y19" s="703"/>
      <c r="Z19" s="703"/>
      <c r="AA19" s="703"/>
      <c r="AB19" s="703"/>
      <c r="AC19" s="703"/>
    </row>
    <row r="20" spans="1:29" s="459" customFormat="1">
      <c r="A20" s="1"/>
      <c r="B20" s="1"/>
      <c r="C20" s="703"/>
      <c r="D20" s="703"/>
      <c r="E20" s="703"/>
      <c r="F20" s="703"/>
      <c r="G20" s="703"/>
      <c r="H20" s="703"/>
      <c r="I20" s="703"/>
      <c r="J20" s="703"/>
      <c r="K20" s="703"/>
      <c r="L20" s="703"/>
      <c r="M20" s="703"/>
      <c r="N20" s="703"/>
      <c r="O20" s="703"/>
      <c r="P20" s="703"/>
      <c r="Q20" s="703"/>
      <c r="R20" s="703"/>
      <c r="S20" s="703"/>
      <c r="T20" s="703"/>
      <c r="U20" s="703"/>
      <c r="V20" s="703"/>
      <c r="W20" s="703"/>
      <c r="X20" s="703"/>
      <c r="Y20" s="703"/>
      <c r="Z20" s="703"/>
      <c r="AA20" s="703"/>
      <c r="AB20" s="703"/>
      <c r="AC20" s="703"/>
    </row>
    <row r="21" spans="1:29" s="459"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459" customFormat="1">
      <c r="A22" s="459" t="s">
        <v>970</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459" customFormat="1">
      <c r="A23" s="132" t="s">
        <v>973</v>
      </c>
      <c r="B23" s="130" t="s">
        <v>447</v>
      </c>
      <c r="C23" s="718" t="str">
        <f>Regions!C3</f>
        <v>IE</v>
      </c>
      <c r="D23" s="718" t="str">
        <f>Regions!E3</f>
        <v>IE-CW</v>
      </c>
      <c r="E23" s="718" t="str">
        <f>Regions!F3</f>
        <v>IE-D</v>
      </c>
      <c r="F23" s="718" t="str">
        <f>Regions!G3</f>
        <v>IE-KE</v>
      </c>
      <c r="G23" s="718" t="str">
        <f>Regions!H3</f>
        <v>IE-KK</v>
      </c>
      <c r="H23" s="718" t="str">
        <f>Regions!I3</f>
        <v>IE-LS</v>
      </c>
      <c r="I23" s="718" t="str">
        <f>Regions!J3</f>
        <v>IE-LD</v>
      </c>
      <c r="J23" s="718" t="str">
        <f>Regions!K3</f>
        <v>IE-LH</v>
      </c>
      <c r="K23" s="718" t="str">
        <f>Regions!L3</f>
        <v>IE-MH</v>
      </c>
      <c r="L23" s="718" t="str">
        <f>Regions!M3</f>
        <v>IE-OY</v>
      </c>
      <c r="M23" s="718" t="str">
        <f>Regions!N3</f>
        <v>IE-WH</v>
      </c>
      <c r="N23" s="718" t="str">
        <f>Regions!O3</f>
        <v>IE-WX</v>
      </c>
      <c r="O23" s="718" t="str">
        <f>Regions!P3</f>
        <v>IE-WW</v>
      </c>
      <c r="P23" s="718" t="str">
        <f>Regions!Q3</f>
        <v>IE-CE</v>
      </c>
      <c r="Q23" s="718" t="str">
        <f>Regions!R3</f>
        <v>IE-CO</v>
      </c>
      <c r="R23" s="718" t="str">
        <f>Regions!S3</f>
        <v>IE-KY</v>
      </c>
      <c r="S23" s="718" t="str">
        <f>Regions!T3</f>
        <v>IE-LK</v>
      </c>
      <c r="T23" s="718" t="str">
        <f>Regions!U3</f>
        <v>IE-TA</v>
      </c>
      <c r="U23" s="718" t="str">
        <f>Regions!V3</f>
        <v>IE-WD</v>
      </c>
      <c r="V23" s="718" t="str">
        <f>Regions!W3</f>
        <v>IE-G</v>
      </c>
      <c r="W23" s="718" t="str">
        <f>Regions!X3</f>
        <v>IE-LM</v>
      </c>
      <c r="X23" s="718" t="str">
        <f>Regions!Y3</f>
        <v>IE-MO</v>
      </c>
      <c r="Y23" s="718" t="str">
        <f>Regions!Z3</f>
        <v>IE-RN</v>
      </c>
      <c r="Z23" s="718" t="str">
        <f>Regions!AA3</f>
        <v>IE-SO</v>
      </c>
      <c r="AA23" s="718" t="str">
        <f>Regions!AB3</f>
        <v>IE-CN</v>
      </c>
      <c r="AB23" s="718" t="str">
        <f>Regions!AC3</f>
        <v>IE-DL</v>
      </c>
      <c r="AC23" s="718" t="str">
        <f>Regions!AD3</f>
        <v>IE-MN</v>
      </c>
    </row>
    <row r="24" spans="1:29" s="459" customFormat="1">
      <c r="A24" s="459" t="s">
        <v>450</v>
      </c>
      <c r="B24" s="39" t="s">
        <v>971</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459" customFormat="1">
      <c r="A25" s="459" t="s">
        <v>451</v>
      </c>
      <c r="B25" s="39" t="s">
        <v>370</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459" customFormat="1">
      <c r="A26" s="459" t="s">
        <v>452</v>
      </c>
      <c r="B26" s="577" t="s">
        <v>972</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459" customFormat="1">
      <c r="A27" s="136" t="s">
        <v>1</v>
      </c>
      <c r="B27" s="713" t="s">
        <v>17</v>
      </c>
      <c r="C27" s="407">
        <f>SUM(C24:C26)</f>
        <v>1</v>
      </c>
      <c r="D27" s="407">
        <f t="shared" ref="D27:AC27" si="13">SUM(D24:D26)</f>
        <v>1</v>
      </c>
      <c r="E27" s="407">
        <f t="shared" si="13"/>
        <v>0.99999999999999978</v>
      </c>
      <c r="F27" s="407">
        <f t="shared" si="13"/>
        <v>0.99999999999999989</v>
      </c>
      <c r="G27" s="407">
        <f t="shared" si="13"/>
        <v>1</v>
      </c>
      <c r="H27" s="407">
        <f t="shared" si="13"/>
        <v>1</v>
      </c>
      <c r="I27" s="407">
        <f t="shared" si="13"/>
        <v>1</v>
      </c>
      <c r="J27" s="407">
        <f t="shared" si="13"/>
        <v>1</v>
      </c>
      <c r="K27" s="407">
        <f t="shared" si="13"/>
        <v>1</v>
      </c>
      <c r="L27" s="407">
        <f t="shared" si="13"/>
        <v>1</v>
      </c>
      <c r="M27" s="407">
        <f t="shared" si="13"/>
        <v>1</v>
      </c>
      <c r="N27" s="407">
        <f t="shared" si="13"/>
        <v>1</v>
      </c>
      <c r="O27" s="407">
        <f t="shared" si="13"/>
        <v>1</v>
      </c>
      <c r="P27" s="407">
        <f t="shared" si="13"/>
        <v>1</v>
      </c>
      <c r="Q27" s="407">
        <f t="shared" si="13"/>
        <v>0.99999999999999989</v>
      </c>
      <c r="R27" s="407">
        <f t="shared" si="13"/>
        <v>1</v>
      </c>
      <c r="S27" s="407">
        <f t="shared" si="13"/>
        <v>1</v>
      </c>
      <c r="T27" s="407">
        <f t="shared" si="13"/>
        <v>1</v>
      </c>
      <c r="U27" s="407">
        <f t="shared" si="13"/>
        <v>1</v>
      </c>
      <c r="V27" s="407">
        <f t="shared" si="13"/>
        <v>1</v>
      </c>
      <c r="W27" s="407">
        <f t="shared" si="13"/>
        <v>1</v>
      </c>
      <c r="X27" s="407">
        <f t="shared" si="13"/>
        <v>1</v>
      </c>
      <c r="Y27" s="407">
        <f t="shared" si="13"/>
        <v>0.99999999999999989</v>
      </c>
      <c r="Z27" s="407">
        <f t="shared" si="13"/>
        <v>1</v>
      </c>
      <c r="AA27" s="407">
        <f t="shared" si="13"/>
        <v>1</v>
      </c>
      <c r="AB27" s="407">
        <f t="shared" si="13"/>
        <v>1</v>
      </c>
      <c r="AC27" s="407">
        <f t="shared" si="13"/>
        <v>1</v>
      </c>
    </row>
    <row r="28" spans="1:29" s="459"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459"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459"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459" customFormat="1" ht="15.6">
      <c r="A31" s="401" t="s">
        <v>975</v>
      </c>
      <c r="B31" s="401"/>
      <c r="C31" s="40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459" customFormat="1">
      <c r="A32" s="132" t="s">
        <v>358</v>
      </c>
      <c r="B32" s="132" t="s">
        <v>359</v>
      </c>
      <c r="C32" s="718" t="str">
        <f>Regions!C3</f>
        <v>IE</v>
      </c>
      <c r="D32" s="718" t="str">
        <f>Regions!E3</f>
        <v>IE-CW</v>
      </c>
      <c r="E32" s="718" t="str">
        <f>Regions!F3</f>
        <v>IE-D</v>
      </c>
      <c r="F32" s="718" t="str">
        <f>Regions!G3</f>
        <v>IE-KE</v>
      </c>
      <c r="G32" s="718" t="str">
        <f>Regions!H3</f>
        <v>IE-KK</v>
      </c>
      <c r="H32" s="718" t="str">
        <f>Regions!I3</f>
        <v>IE-LS</v>
      </c>
      <c r="I32" s="718" t="str">
        <f>Regions!J3</f>
        <v>IE-LD</v>
      </c>
      <c r="J32" s="718" t="str">
        <f>Regions!K3</f>
        <v>IE-LH</v>
      </c>
      <c r="K32" s="718" t="str">
        <f>Regions!L3</f>
        <v>IE-MH</v>
      </c>
      <c r="L32" s="718" t="str">
        <f>Regions!M3</f>
        <v>IE-OY</v>
      </c>
      <c r="M32" s="718" t="str">
        <f>Regions!N3</f>
        <v>IE-WH</v>
      </c>
      <c r="N32" s="718" t="str">
        <f>Regions!O3</f>
        <v>IE-WX</v>
      </c>
      <c r="O32" s="718" t="str">
        <f>Regions!P3</f>
        <v>IE-WW</v>
      </c>
      <c r="P32" s="718" t="str">
        <f>Regions!Q3</f>
        <v>IE-CE</v>
      </c>
      <c r="Q32" s="718" t="str">
        <f>Regions!R3</f>
        <v>IE-CO</v>
      </c>
      <c r="R32" s="718" t="str">
        <f>Regions!S3</f>
        <v>IE-KY</v>
      </c>
      <c r="S32" s="718" t="str">
        <f>Regions!T3</f>
        <v>IE-LK</v>
      </c>
      <c r="T32" s="718" t="str">
        <f>Regions!U3</f>
        <v>IE-TA</v>
      </c>
      <c r="U32" s="718" t="str">
        <f>Regions!V3</f>
        <v>IE-WD</v>
      </c>
      <c r="V32" s="718" t="str">
        <f>Regions!W3</f>
        <v>IE-G</v>
      </c>
      <c r="W32" s="718" t="str">
        <f>Regions!X3</f>
        <v>IE-LM</v>
      </c>
      <c r="X32" s="718" t="str">
        <f>Regions!Y3</f>
        <v>IE-MO</v>
      </c>
      <c r="Y32" s="718" t="str">
        <f>Regions!Z3</f>
        <v>IE-RN</v>
      </c>
      <c r="Z32" s="718" t="str">
        <f>Regions!AA3</f>
        <v>IE-SO</v>
      </c>
      <c r="AA32" s="718" t="str">
        <f>Regions!AB3</f>
        <v>IE-CN</v>
      </c>
      <c r="AB32" s="718" t="str">
        <f>Regions!AC3</f>
        <v>IE-DL</v>
      </c>
      <c r="AC32" s="718" t="str">
        <f>Regions!AD3</f>
        <v>IE-MN</v>
      </c>
    </row>
    <row r="33" spans="1:29" s="459" customFormat="1">
      <c r="A33" s="459" t="s">
        <v>365</v>
      </c>
      <c r="B33" s="459" t="s">
        <v>360</v>
      </c>
      <c r="C33" s="706">
        <f t="shared" ref="C33:D39" si="14">C361/C$369</f>
        <v>0.32377983784854231</v>
      </c>
      <c r="D33" s="706">
        <f t="shared" si="14"/>
        <v>0.29539615700051852</v>
      </c>
      <c r="E33" s="706">
        <f t="shared" ref="E33:AC33" si="15">E361/E$369</f>
        <v>0.34967728765163869</v>
      </c>
      <c r="F33" s="706">
        <f t="shared" si="15"/>
        <v>0.31311359703458036</v>
      </c>
      <c r="G33" s="706">
        <f t="shared" si="15"/>
        <v>0.30099430857485032</v>
      </c>
      <c r="H33" s="706">
        <f t="shared" si="15"/>
        <v>0.32585784427063491</v>
      </c>
      <c r="I33" s="706">
        <f t="shared" si="15"/>
        <v>0.31296089693181006</v>
      </c>
      <c r="J33" s="706">
        <f t="shared" si="15"/>
        <v>0.34414959934244926</v>
      </c>
      <c r="K33" s="706">
        <f t="shared" si="15"/>
        <v>0.31640567871855385</v>
      </c>
      <c r="L33" s="706">
        <f t="shared" si="15"/>
        <v>0.30551897544605799</v>
      </c>
      <c r="M33" s="706">
        <f t="shared" si="15"/>
        <v>0.30690900126975923</v>
      </c>
      <c r="N33" s="706">
        <f t="shared" si="15"/>
        <v>0.29742024558167873</v>
      </c>
      <c r="O33" s="706">
        <f t="shared" si="15"/>
        <v>0.31985079986061538</v>
      </c>
      <c r="P33" s="706">
        <f t="shared" si="15"/>
        <v>0.30317740338092081</v>
      </c>
      <c r="Q33" s="706">
        <f t="shared" si="15"/>
        <v>0.32755819451934742</v>
      </c>
      <c r="R33" s="706">
        <f t="shared" si="15"/>
        <v>0.29108733491927802</v>
      </c>
      <c r="S33" s="706">
        <f t="shared" si="15"/>
        <v>0.32210907481657336</v>
      </c>
      <c r="T33" s="706">
        <f t="shared" si="15"/>
        <v>0.28924149649685427</v>
      </c>
      <c r="U33" s="706">
        <f t="shared" si="15"/>
        <v>0.31716332192128543</v>
      </c>
      <c r="V33" s="706">
        <f t="shared" si="15"/>
        <v>0.31520515014132622</v>
      </c>
      <c r="W33" s="706">
        <f t="shared" si="15"/>
        <v>0.30496664626628506</v>
      </c>
      <c r="X33" s="706">
        <f t="shared" si="15"/>
        <v>0.29765342162432462</v>
      </c>
      <c r="Y33" s="706">
        <f t="shared" si="15"/>
        <v>0.28141024531167946</v>
      </c>
      <c r="Z33" s="706">
        <f t="shared" si="15"/>
        <v>0.32408712009988533</v>
      </c>
      <c r="AA33" s="706">
        <f t="shared" si="15"/>
        <v>0.33773511822059504</v>
      </c>
      <c r="AB33" s="706">
        <f t="shared" si="15"/>
        <v>0.36384480991771728</v>
      </c>
      <c r="AC33" s="706">
        <f t="shared" si="15"/>
        <v>0.29253128431407999</v>
      </c>
    </row>
    <row r="34" spans="1:29" s="459" customFormat="1">
      <c r="B34" s="459" t="s">
        <v>361</v>
      </c>
      <c r="C34" s="706">
        <f t="shared" si="14"/>
        <v>5.3963306308090382E-2</v>
      </c>
      <c r="D34" s="706">
        <f t="shared" si="14"/>
        <v>4.9232692833419758E-2</v>
      </c>
      <c r="E34" s="706">
        <f t="shared" ref="E34:AC34" si="16">E362/E$369</f>
        <v>5.8279547941939784E-2</v>
      </c>
      <c r="F34" s="706">
        <f t="shared" si="16"/>
        <v>5.2185599505763403E-2</v>
      </c>
      <c r="G34" s="706">
        <f t="shared" si="16"/>
        <v>5.016571809580838E-2</v>
      </c>
      <c r="H34" s="706">
        <f t="shared" si="16"/>
        <v>5.4309640711772487E-2</v>
      </c>
      <c r="I34" s="706">
        <f t="shared" si="16"/>
        <v>5.216014948863501E-2</v>
      </c>
      <c r="J34" s="706">
        <f t="shared" si="16"/>
        <v>5.7358266557074891E-2</v>
      </c>
      <c r="K34" s="706">
        <f t="shared" si="16"/>
        <v>5.2734279786425649E-2</v>
      </c>
      <c r="L34" s="706">
        <f t="shared" si="16"/>
        <v>5.0919829241009663E-2</v>
      </c>
      <c r="M34" s="706">
        <f t="shared" si="16"/>
        <v>5.1151500211626538E-2</v>
      </c>
      <c r="N34" s="706">
        <f t="shared" si="16"/>
        <v>4.95700409302798E-2</v>
      </c>
      <c r="O34" s="706">
        <f t="shared" si="16"/>
        <v>5.3308466643435894E-2</v>
      </c>
      <c r="P34" s="706">
        <f t="shared" si="16"/>
        <v>5.052956723015347E-2</v>
      </c>
      <c r="Q34" s="706">
        <f t="shared" si="16"/>
        <v>5.459303241989124E-2</v>
      </c>
      <c r="R34" s="706">
        <f t="shared" si="16"/>
        <v>4.8514555819879672E-2</v>
      </c>
      <c r="S34" s="706">
        <f t="shared" si="16"/>
        <v>5.3684845802762227E-2</v>
      </c>
      <c r="T34" s="706">
        <f t="shared" si="16"/>
        <v>4.8206916082809047E-2</v>
      </c>
      <c r="U34" s="706">
        <f t="shared" si="16"/>
        <v>5.2860553653547575E-2</v>
      </c>
      <c r="V34" s="706">
        <f t="shared" si="16"/>
        <v>5.2534191690221041E-2</v>
      </c>
      <c r="W34" s="706">
        <f t="shared" si="16"/>
        <v>5.0827774377714179E-2</v>
      </c>
      <c r="X34" s="706">
        <f t="shared" si="16"/>
        <v>4.9608903604054101E-2</v>
      </c>
      <c r="Y34" s="706">
        <f t="shared" si="16"/>
        <v>4.690170755194658E-2</v>
      </c>
      <c r="Z34" s="706">
        <f t="shared" si="16"/>
        <v>5.4014520016647569E-2</v>
      </c>
      <c r="AA34" s="706">
        <f t="shared" si="16"/>
        <v>5.6289186370099165E-2</v>
      </c>
      <c r="AB34" s="706">
        <f t="shared" si="16"/>
        <v>6.064080165295288E-2</v>
      </c>
      <c r="AC34" s="706">
        <f t="shared" si="16"/>
        <v>4.8755214052346667E-2</v>
      </c>
    </row>
    <row r="35" spans="1:29" s="459" customFormat="1">
      <c r="A35" s="459" t="s">
        <v>362</v>
      </c>
      <c r="B35" s="459" t="s">
        <v>368</v>
      </c>
      <c r="C35" s="711">
        <f t="shared" si="14"/>
        <v>1.2024577456126329E-3</v>
      </c>
      <c r="D35" s="706">
        <f t="shared" si="14"/>
        <v>8.4181954391599476E-4</v>
      </c>
      <c r="E35" s="706">
        <f t="shared" ref="E35:AC35" si="17">E363/E$369</f>
        <v>1.4316393209477573E-3</v>
      </c>
      <c r="F35" s="706">
        <f t="shared" si="17"/>
        <v>1.3698908311171865E-3</v>
      </c>
      <c r="G35" s="706">
        <f t="shared" si="17"/>
        <v>9.8425388735709995E-4</v>
      </c>
      <c r="H35" s="706">
        <f t="shared" si="17"/>
        <v>6.2421004942624992E-4</v>
      </c>
      <c r="I35" s="706">
        <f t="shared" si="17"/>
        <v>1.2422933671109623E-3</v>
      </c>
      <c r="J35" s="706">
        <f t="shared" si="17"/>
        <v>8.6646068484003841E-4</v>
      </c>
      <c r="K35" s="706">
        <f t="shared" si="17"/>
        <v>1.3159890714686659E-3</v>
      </c>
      <c r="L35" s="706">
        <f t="shared" si="17"/>
        <v>1.2716318220191991E-3</v>
      </c>
      <c r="M35" s="706">
        <f t="shared" si="17"/>
        <v>1.1218737998245681E-3</v>
      </c>
      <c r="N35" s="706">
        <f t="shared" si="17"/>
        <v>1.2891857705150252E-3</v>
      </c>
      <c r="O35" s="706">
        <f t="shared" si="17"/>
        <v>1.4574437703184118E-3</v>
      </c>
      <c r="P35" s="706">
        <f t="shared" si="17"/>
        <v>1.2419671387040388E-3</v>
      </c>
      <c r="Q35" s="706">
        <f t="shared" si="17"/>
        <v>1.4684396048311016E-3</v>
      </c>
      <c r="R35" s="706">
        <f t="shared" si="17"/>
        <v>9.5921086863546602E-4</v>
      </c>
      <c r="S35" s="706">
        <f t="shared" si="17"/>
        <v>1.0725657999581929E-3</v>
      </c>
      <c r="T35" s="706">
        <f t="shared" si="17"/>
        <v>1.1764845294377178E-3</v>
      </c>
      <c r="U35" s="706">
        <f t="shared" si="17"/>
        <v>1.3287962602263445E-3</v>
      </c>
      <c r="V35" s="712">
        <f t="shared" si="17"/>
        <v>7.9269582890742734E-4</v>
      </c>
      <c r="W35" s="712">
        <f>W363/W$369</f>
        <v>1.544102850410962E-3</v>
      </c>
      <c r="X35" s="706">
        <f t="shared" si="17"/>
        <v>7.4007830335184128E-4</v>
      </c>
      <c r="Y35" s="706">
        <f t="shared" si="17"/>
        <v>7.0738302217035411E-4</v>
      </c>
      <c r="Z35" s="706">
        <f t="shared" si="17"/>
        <v>8.0234115950314402E-4</v>
      </c>
      <c r="AA35" s="706">
        <f t="shared" si="17"/>
        <v>7.1933080869381386E-4</v>
      </c>
      <c r="AB35" s="706">
        <f t="shared" si="17"/>
        <v>7.4164409782466955E-4</v>
      </c>
      <c r="AC35" s="706">
        <f t="shared" si="17"/>
        <v>7.7316749378532367E-4</v>
      </c>
    </row>
    <row r="36" spans="1:29" s="459" customFormat="1">
      <c r="B36" s="459" t="s">
        <v>367</v>
      </c>
      <c r="C36" s="706">
        <f>C364/C$369</f>
        <v>0.51421690231633799</v>
      </c>
      <c r="D36" s="706">
        <f t="shared" si="14"/>
        <v>0.57696936147650701</v>
      </c>
      <c r="E36" s="706">
        <f t="shared" ref="E36:AC36" si="18">E364/E$369</f>
        <v>0.4152163996490737</v>
      </c>
      <c r="F36" s="706">
        <f t="shared" si="18"/>
        <v>0.53837411623785481</v>
      </c>
      <c r="G36" s="706">
        <f t="shared" si="18"/>
        <v>0.5273035898540861</v>
      </c>
      <c r="H36" s="706">
        <f t="shared" si="18"/>
        <v>0.54428190464659498</v>
      </c>
      <c r="I36" s="706">
        <f t="shared" si="18"/>
        <v>0.54724418926165252</v>
      </c>
      <c r="J36" s="706">
        <f t="shared" si="18"/>
        <v>0.50629481396736598</v>
      </c>
      <c r="K36" s="706">
        <f t="shared" si="18"/>
        <v>0.54969956239724382</v>
      </c>
      <c r="L36" s="706">
        <f t="shared" si="18"/>
        <v>0.54286879912927866</v>
      </c>
      <c r="M36" s="706">
        <f t="shared" si="18"/>
        <v>0.57050800443626981</v>
      </c>
      <c r="N36" s="706">
        <f t="shared" si="18"/>
        <v>0.57834017325166753</v>
      </c>
      <c r="O36" s="706">
        <f t="shared" si="18"/>
        <v>0.54807767476728875</v>
      </c>
      <c r="P36" s="706">
        <f t="shared" si="18"/>
        <v>0.57445550608131724</v>
      </c>
      <c r="Q36" s="706">
        <f t="shared" si="18"/>
        <v>0.54514159019281827</v>
      </c>
      <c r="R36" s="706">
        <f t="shared" si="18"/>
        <v>0.52942173322971142</v>
      </c>
      <c r="S36" s="706">
        <f t="shared" si="18"/>
        <v>0.54890743812317566</v>
      </c>
      <c r="T36" s="706">
        <f t="shared" si="18"/>
        <v>0.57655830557717536</v>
      </c>
      <c r="U36" s="706">
        <f t="shared" si="18"/>
        <v>0.56469028513375741</v>
      </c>
      <c r="V36" s="706">
        <f t="shared" si="18"/>
        <v>0.5314898835087899</v>
      </c>
      <c r="W36" s="706">
        <f t="shared" si="18"/>
        <v>0.57016316956487822</v>
      </c>
      <c r="X36" s="706">
        <f t="shared" si="18"/>
        <v>0.54463316447281129</v>
      </c>
      <c r="Y36" s="706">
        <f t="shared" si="18"/>
        <v>0.60580683229929833</v>
      </c>
      <c r="Z36" s="706">
        <f t="shared" si="18"/>
        <v>0.54575340066281097</v>
      </c>
      <c r="AA36" s="706">
        <f t="shared" si="18"/>
        <v>0.57130392959697351</v>
      </c>
      <c r="AB36" s="706">
        <f t="shared" si="18"/>
        <v>0.56067924597798535</v>
      </c>
      <c r="AC36" s="706">
        <f t="shared" si="18"/>
        <v>0.49285227418620653</v>
      </c>
    </row>
    <row r="37" spans="1:29" s="459" customFormat="1">
      <c r="A37" s="459" t="s">
        <v>325</v>
      </c>
      <c r="B37" s="459" t="s">
        <v>364</v>
      </c>
      <c r="C37" s="706">
        <f t="shared" si="14"/>
        <v>1.6399604421517593E-2</v>
      </c>
      <c r="D37" s="706">
        <f t="shared" si="14"/>
        <v>7.4490307781118984E-3</v>
      </c>
      <c r="E37" s="706">
        <f t="shared" ref="E37:AC37" si="19">E365/E$369</f>
        <v>3.2043055112662859E-2</v>
      </c>
      <c r="F37" s="706">
        <f t="shared" si="19"/>
        <v>1.4142087272297982E-2</v>
      </c>
      <c r="G37" s="706">
        <f t="shared" si="19"/>
        <v>7.8384539751406128E-3</v>
      </c>
      <c r="H37" s="706">
        <f t="shared" si="19"/>
        <v>9.942235039347571E-3</v>
      </c>
      <c r="I37" s="706">
        <f t="shared" si="19"/>
        <v>8.7941712391293846E-3</v>
      </c>
      <c r="J37" s="706">
        <f t="shared" si="19"/>
        <v>1.9167683727598969E-2</v>
      </c>
      <c r="K37" s="706">
        <f t="shared" si="19"/>
        <v>1.9563309645198885E-2</v>
      </c>
      <c r="L37" s="706">
        <f t="shared" si="19"/>
        <v>6.7513932047123726E-3</v>
      </c>
      <c r="M37" s="706">
        <f t="shared" si="19"/>
        <v>1.1912585101328303E-2</v>
      </c>
      <c r="N37" s="706">
        <f t="shared" si="19"/>
        <v>6.2742086519266488E-3</v>
      </c>
      <c r="O37" s="706">
        <f t="shared" si="19"/>
        <v>9.0275647633180547E-3</v>
      </c>
      <c r="P37" s="706">
        <f t="shared" si="19"/>
        <v>1.0257172186811273E-2</v>
      </c>
      <c r="Q37" s="706">
        <f t="shared" si="19"/>
        <v>1.2127565539618518E-2</v>
      </c>
      <c r="R37" s="706">
        <f t="shared" si="19"/>
        <v>1.0185353383353699E-2</v>
      </c>
      <c r="S37" s="706">
        <f t="shared" si="19"/>
        <v>1.2812635692286438E-2</v>
      </c>
      <c r="T37" s="706">
        <f t="shared" si="19"/>
        <v>5.2051948265462115E-3</v>
      </c>
      <c r="U37" s="706">
        <f t="shared" si="19"/>
        <v>8.6226466174633056E-3</v>
      </c>
      <c r="V37" s="706">
        <f t="shared" si="19"/>
        <v>1.3327262086971724E-2</v>
      </c>
      <c r="W37" s="706">
        <f t="shared" si="19"/>
        <v>8.1980061454330136E-3</v>
      </c>
      <c r="X37" s="706">
        <f t="shared" si="19"/>
        <v>7.2036254203120672E-3</v>
      </c>
      <c r="Y37" s="706">
        <f t="shared" si="19"/>
        <v>6.2594387860714779E-3</v>
      </c>
      <c r="Z37" s="706">
        <f t="shared" si="19"/>
        <v>8.5196368293601697E-3</v>
      </c>
      <c r="AA37" s="706">
        <f t="shared" si="19"/>
        <v>8.9112260712667282E-3</v>
      </c>
      <c r="AB37" s="706">
        <f t="shared" si="19"/>
        <v>9.8439085033626087E-3</v>
      </c>
      <c r="AC37" s="706">
        <f t="shared" si="19"/>
        <v>4.1049285439853662E-3</v>
      </c>
    </row>
    <row r="38" spans="1:29" s="459" customFormat="1">
      <c r="B38" s="459" t="s">
        <v>588</v>
      </c>
      <c r="C38" s="706">
        <f t="shared" si="14"/>
        <v>8.2740995898888392E-2</v>
      </c>
      <c r="D38" s="706">
        <f t="shared" si="14"/>
        <v>7.0110938367526743E-2</v>
      </c>
      <c r="E38" s="706">
        <f t="shared" ref="E38:AC38" si="20">E366/E$369</f>
        <v>0.11397374993285452</v>
      </c>
      <c r="F38" s="706">
        <f t="shared" si="20"/>
        <v>8.0814709118386313E-2</v>
      </c>
      <c r="G38" s="706">
        <f t="shared" si="20"/>
        <v>0.11271367561275741</v>
      </c>
      <c r="H38" s="706">
        <f t="shared" si="20"/>
        <v>6.4984165282223824E-2</v>
      </c>
      <c r="I38" s="706">
        <f t="shared" si="20"/>
        <v>7.7598299711661989E-2</v>
      </c>
      <c r="J38" s="706">
        <f t="shared" si="20"/>
        <v>7.216317572067088E-2</v>
      </c>
      <c r="K38" s="706">
        <f t="shared" si="20"/>
        <v>6.0281180381109148E-2</v>
      </c>
      <c r="L38" s="706">
        <f t="shared" si="20"/>
        <v>9.2669371156921962E-2</v>
      </c>
      <c r="M38" s="706">
        <f t="shared" si="20"/>
        <v>5.839703518119168E-2</v>
      </c>
      <c r="N38" s="706">
        <f t="shared" si="20"/>
        <v>6.7106145813932178E-2</v>
      </c>
      <c r="O38" s="706">
        <f t="shared" si="20"/>
        <v>6.8278050195023532E-2</v>
      </c>
      <c r="P38" s="706">
        <f t="shared" si="20"/>
        <v>6.0338383982093263E-2</v>
      </c>
      <c r="Q38" s="706">
        <f t="shared" si="20"/>
        <v>5.9111177723493433E-2</v>
      </c>
      <c r="R38" s="706">
        <f t="shared" si="20"/>
        <v>0.11983181177914175</v>
      </c>
      <c r="S38" s="706">
        <f t="shared" si="20"/>
        <v>6.1413439765244195E-2</v>
      </c>
      <c r="T38" s="706">
        <f t="shared" si="20"/>
        <v>7.9611602487177441E-2</v>
      </c>
      <c r="U38" s="706">
        <f t="shared" si="20"/>
        <v>5.5334396413720018E-2</v>
      </c>
      <c r="V38" s="706">
        <f t="shared" si="20"/>
        <v>8.6650816743783748E-2</v>
      </c>
      <c r="W38" s="706">
        <f t="shared" si="20"/>
        <v>6.4300300795278542E-2</v>
      </c>
      <c r="X38" s="706">
        <f t="shared" si="20"/>
        <v>0.10016080657514609</v>
      </c>
      <c r="Y38" s="706">
        <f t="shared" si="20"/>
        <v>5.8914393028833764E-2</v>
      </c>
      <c r="Z38" s="706">
        <f t="shared" si="20"/>
        <v>6.6822981231792783E-2</v>
      </c>
      <c r="AA38" s="706">
        <f t="shared" si="20"/>
        <v>2.5041208932371696E-2</v>
      </c>
      <c r="AB38" s="706">
        <f t="shared" si="20"/>
        <v>4.2495898501573662E-3</v>
      </c>
      <c r="AC38" s="706">
        <f t="shared" si="20"/>
        <v>0.16098313140959611</v>
      </c>
    </row>
    <row r="39" spans="1:29" s="459" customFormat="1">
      <c r="B39" s="459" t="s">
        <v>575</v>
      </c>
      <c r="C39" s="706">
        <f t="shared" si="14"/>
        <v>7.6968954610109105E-3</v>
      </c>
      <c r="D39" s="706">
        <f t="shared" si="14"/>
        <v>0</v>
      </c>
      <c r="E39" s="706">
        <f t="shared" ref="E39:AC39" si="21">E367/E$369</f>
        <v>2.9378320390882739E-2</v>
      </c>
      <c r="F39" s="706">
        <f t="shared" si="21"/>
        <v>0</v>
      </c>
      <c r="G39" s="706">
        <f t="shared" si="21"/>
        <v>0</v>
      </c>
      <c r="H39" s="706">
        <f t="shared" si="21"/>
        <v>0</v>
      </c>
      <c r="I39" s="706">
        <f t="shared" si="21"/>
        <v>0</v>
      </c>
      <c r="J39" s="706">
        <f t="shared" si="21"/>
        <v>0</v>
      </c>
      <c r="K39" s="706">
        <f t="shared" si="21"/>
        <v>0</v>
      </c>
      <c r="L39" s="706">
        <f t="shared" si="21"/>
        <v>0</v>
      </c>
      <c r="M39" s="706">
        <f t="shared" si="21"/>
        <v>0</v>
      </c>
      <c r="N39" s="706">
        <f t="shared" si="21"/>
        <v>0</v>
      </c>
      <c r="O39" s="706">
        <f t="shared" si="21"/>
        <v>0</v>
      </c>
      <c r="P39" s="706">
        <f t="shared" si="21"/>
        <v>0</v>
      </c>
      <c r="Q39" s="706">
        <f t="shared" si="21"/>
        <v>0</v>
      </c>
      <c r="R39" s="706">
        <f t="shared" si="21"/>
        <v>0</v>
      </c>
      <c r="S39" s="706">
        <f t="shared" si="21"/>
        <v>0</v>
      </c>
      <c r="T39" s="706">
        <f t="shared" si="21"/>
        <v>0</v>
      </c>
      <c r="U39" s="706">
        <f t="shared" si="21"/>
        <v>0</v>
      </c>
      <c r="V39" s="706">
        <f t="shared" si="21"/>
        <v>0</v>
      </c>
      <c r="W39" s="706">
        <f t="shared" si="21"/>
        <v>0</v>
      </c>
      <c r="X39" s="706">
        <f t="shared" si="21"/>
        <v>0</v>
      </c>
      <c r="Y39" s="706">
        <f t="shared" si="21"/>
        <v>0</v>
      </c>
      <c r="Z39" s="706">
        <f t="shared" si="21"/>
        <v>0</v>
      </c>
      <c r="AA39" s="706">
        <f t="shared" si="21"/>
        <v>0</v>
      </c>
      <c r="AB39" s="706">
        <f t="shared" si="21"/>
        <v>0</v>
      </c>
      <c r="AC39" s="706">
        <f t="shared" si="21"/>
        <v>0</v>
      </c>
    </row>
    <row r="40" spans="1:29" s="459" customFormat="1">
      <c r="B40" s="459" t="s">
        <v>366</v>
      </c>
      <c r="C40" s="706">
        <v>0</v>
      </c>
      <c r="D40" s="706">
        <v>0</v>
      </c>
      <c r="E40" s="706">
        <v>0</v>
      </c>
      <c r="F40" s="706">
        <v>0</v>
      </c>
      <c r="G40" s="706">
        <v>0</v>
      </c>
      <c r="H40" s="706">
        <v>0</v>
      </c>
      <c r="I40" s="706">
        <v>0</v>
      </c>
      <c r="J40" s="706">
        <v>0</v>
      </c>
      <c r="K40" s="706">
        <v>0</v>
      </c>
      <c r="L40" s="706">
        <v>0</v>
      </c>
      <c r="M40" s="706">
        <v>0</v>
      </c>
      <c r="N40" s="706">
        <v>0</v>
      </c>
      <c r="O40" s="706">
        <v>0</v>
      </c>
      <c r="P40" s="706">
        <v>0</v>
      </c>
      <c r="Q40" s="706">
        <v>0</v>
      </c>
      <c r="R40" s="706">
        <v>0</v>
      </c>
      <c r="S40" s="706">
        <v>0</v>
      </c>
      <c r="T40" s="706">
        <v>0</v>
      </c>
      <c r="U40" s="706">
        <v>0</v>
      </c>
      <c r="V40" s="706">
        <v>0</v>
      </c>
      <c r="W40" s="706">
        <v>0</v>
      </c>
      <c r="X40" s="706">
        <v>0</v>
      </c>
      <c r="Y40" s="706">
        <v>0</v>
      </c>
      <c r="Z40" s="706">
        <v>0</v>
      </c>
      <c r="AA40" s="706">
        <v>0</v>
      </c>
      <c r="AB40" s="706">
        <v>0</v>
      </c>
      <c r="AC40" s="706">
        <v>0</v>
      </c>
    </row>
    <row r="41" spans="1:29" s="459" customFormat="1">
      <c r="A41" s="458"/>
      <c r="B41" s="673" t="s">
        <v>16</v>
      </c>
      <c r="C41" s="399">
        <f>SUM(C33:C40)</f>
        <v>1.0000000000000002</v>
      </c>
      <c r="D41" s="399">
        <f>SUM(D33:D40)</f>
        <v>0.99999999999999978</v>
      </c>
      <c r="E41" s="399">
        <f t="shared" ref="E41:AC41" si="22">SUM(E33:E40)</f>
        <v>0.99999999999999989</v>
      </c>
      <c r="F41" s="399">
        <f t="shared" si="22"/>
        <v>0.99999999999999989</v>
      </c>
      <c r="G41" s="399">
        <f t="shared" si="22"/>
        <v>1</v>
      </c>
      <c r="H41" s="399">
        <f t="shared" si="22"/>
        <v>1</v>
      </c>
      <c r="I41" s="399">
        <f t="shared" si="22"/>
        <v>0.99999999999999989</v>
      </c>
      <c r="J41" s="399">
        <f t="shared" si="22"/>
        <v>1</v>
      </c>
      <c r="K41" s="399">
        <f t="shared" si="22"/>
        <v>1</v>
      </c>
      <c r="L41" s="399">
        <f t="shared" si="22"/>
        <v>0.99999999999999989</v>
      </c>
      <c r="M41" s="399">
        <f t="shared" si="22"/>
        <v>1.0000000000000002</v>
      </c>
      <c r="N41" s="399">
        <f t="shared" si="22"/>
        <v>0.99999999999999989</v>
      </c>
      <c r="O41" s="399">
        <f t="shared" si="22"/>
        <v>1</v>
      </c>
      <c r="P41" s="399">
        <f t="shared" si="22"/>
        <v>1.0000000000000002</v>
      </c>
      <c r="Q41" s="399">
        <f t="shared" si="22"/>
        <v>0.99999999999999989</v>
      </c>
      <c r="R41" s="399">
        <f t="shared" si="22"/>
        <v>1</v>
      </c>
      <c r="S41" s="399">
        <f t="shared" si="22"/>
        <v>1</v>
      </c>
      <c r="T41" s="399">
        <f t="shared" si="22"/>
        <v>1</v>
      </c>
      <c r="U41" s="399">
        <f t="shared" si="22"/>
        <v>1</v>
      </c>
      <c r="V41" s="399">
        <f t="shared" si="22"/>
        <v>1.0000000000000002</v>
      </c>
      <c r="W41" s="399">
        <f t="shared" si="22"/>
        <v>1</v>
      </c>
      <c r="X41" s="399">
        <f t="shared" si="22"/>
        <v>1</v>
      </c>
      <c r="Y41" s="399">
        <f t="shared" si="22"/>
        <v>0.99999999999999989</v>
      </c>
      <c r="Z41" s="399">
        <f t="shared" si="22"/>
        <v>1</v>
      </c>
      <c r="AA41" s="399">
        <f t="shared" si="22"/>
        <v>1</v>
      </c>
      <c r="AB41" s="399">
        <f t="shared" si="22"/>
        <v>1.0000000000000002</v>
      </c>
      <c r="AC41" s="399">
        <f t="shared" si="22"/>
        <v>0.99999999999999989</v>
      </c>
    </row>
    <row r="42" spans="1:29" s="459"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459"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459"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459" customFormat="1" ht="15.6">
      <c r="A45" s="401" t="s">
        <v>977</v>
      </c>
      <c r="B45" s="401"/>
      <c r="C45" s="40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459" customFormat="1">
      <c r="A46" s="132" t="s">
        <v>358</v>
      </c>
      <c r="B46" s="132" t="s">
        <v>359</v>
      </c>
      <c r="C46" s="718" t="str">
        <f>Regions!C3</f>
        <v>IE</v>
      </c>
      <c r="D46" s="718" t="str">
        <f>Regions!E3</f>
        <v>IE-CW</v>
      </c>
      <c r="E46" s="718" t="str">
        <f>Regions!F3</f>
        <v>IE-D</v>
      </c>
      <c r="F46" s="718" t="str">
        <f>Regions!G3</f>
        <v>IE-KE</v>
      </c>
      <c r="G46" s="718" t="str">
        <f>Regions!H3</f>
        <v>IE-KK</v>
      </c>
      <c r="H46" s="718" t="str">
        <f>Regions!I3</f>
        <v>IE-LS</v>
      </c>
      <c r="I46" s="718" t="str">
        <f>Regions!J3</f>
        <v>IE-LD</v>
      </c>
      <c r="J46" s="718" t="str">
        <f>Regions!K3</f>
        <v>IE-LH</v>
      </c>
      <c r="K46" s="718" t="str">
        <f>Regions!L3</f>
        <v>IE-MH</v>
      </c>
      <c r="L46" s="718" t="str">
        <f>Regions!M3</f>
        <v>IE-OY</v>
      </c>
      <c r="M46" s="718" t="str">
        <f>Regions!N3</f>
        <v>IE-WH</v>
      </c>
      <c r="N46" s="718" t="str">
        <f>Regions!O3</f>
        <v>IE-WX</v>
      </c>
      <c r="O46" s="718" t="str">
        <f>Regions!P3</f>
        <v>IE-WW</v>
      </c>
      <c r="P46" s="718" t="str">
        <f>Regions!Q3</f>
        <v>IE-CE</v>
      </c>
      <c r="Q46" s="718" t="str">
        <f>Regions!R3</f>
        <v>IE-CO</v>
      </c>
      <c r="R46" s="718" t="str">
        <f>Regions!S3</f>
        <v>IE-KY</v>
      </c>
      <c r="S46" s="718" t="str">
        <f>Regions!T3</f>
        <v>IE-LK</v>
      </c>
      <c r="T46" s="718" t="str">
        <f>Regions!U3</f>
        <v>IE-TA</v>
      </c>
      <c r="U46" s="718" t="str">
        <f>Regions!V3</f>
        <v>IE-WD</v>
      </c>
      <c r="V46" s="718" t="str">
        <f>Regions!W3</f>
        <v>IE-G</v>
      </c>
      <c r="W46" s="718" t="str">
        <f>Regions!X3</f>
        <v>IE-LM</v>
      </c>
      <c r="X46" s="718" t="str">
        <f>Regions!Y3</f>
        <v>IE-MO</v>
      </c>
      <c r="Y46" s="718" t="str">
        <f>Regions!Z3</f>
        <v>IE-RN</v>
      </c>
      <c r="Z46" s="718" t="str">
        <f>Regions!AA3</f>
        <v>IE-SO</v>
      </c>
      <c r="AA46" s="718" t="str">
        <f>Regions!AB3</f>
        <v>IE-CN</v>
      </c>
      <c r="AB46" s="718" t="str">
        <f>Regions!AC3</f>
        <v>IE-DL</v>
      </c>
      <c r="AC46" s="718" t="str">
        <f>Regions!AD3</f>
        <v>IE-MN</v>
      </c>
    </row>
    <row r="47" spans="1:29" s="459" customFormat="1">
      <c r="A47" s="459" t="s">
        <v>365</v>
      </c>
      <c r="B47" s="459" t="s">
        <v>360</v>
      </c>
      <c r="C47" s="706">
        <f>C375/C$383</f>
        <v>0</v>
      </c>
      <c r="D47" s="706">
        <f t="shared" ref="D47:AC54" si="23">D375/D$383</f>
        <v>0</v>
      </c>
      <c r="E47" s="706">
        <f t="shared" si="23"/>
        <v>0</v>
      </c>
      <c r="F47" s="706">
        <f t="shared" si="23"/>
        <v>0</v>
      </c>
      <c r="G47" s="706">
        <f t="shared" si="23"/>
        <v>0</v>
      </c>
      <c r="H47" s="706">
        <f t="shared" si="23"/>
        <v>0</v>
      </c>
      <c r="I47" s="706">
        <f t="shared" si="23"/>
        <v>0</v>
      </c>
      <c r="J47" s="706">
        <f t="shared" si="23"/>
        <v>0</v>
      </c>
      <c r="K47" s="706">
        <f t="shared" si="23"/>
        <v>0</v>
      </c>
      <c r="L47" s="706">
        <f t="shared" si="23"/>
        <v>0</v>
      </c>
      <c r="M47" s="706">
        <f t="shared" si="23"/>
        <v>0</v>
      </c>
      <c r="N47" s="706">
        <f t="shared" si="23"/>
        <v>0</v>
      </c>
      <c r="O47" s="706">
        <f t="shared" si="23"/>
        <v>0</v>
      </c>
      <c r="P47" s="706">
        <f t="shared" si="23"/>
        <v>0</v>
      </c>
      <c r="Q47" s="706">
        <f t="shared" si="23"/>
        <v>0</v>
      </c>
      <c r="R47" s="706">
        <f t="shared" si="23"/>
        <v>0</v>
      </c>
      <c r="S47" s="706">
        <f t="shared" si="23"/>
        <v>0</v>
      </c>
      <c r="T47" s="706">
        <f t="shared" si="23"/>
        <v>0</v>
      </c>
      <c r="U47" s="706">
        <f t="shared" si="23"/>
        <v>0</v>
      </c>
      <c r="V47" s="706">
        <f t="shared" si="23"/>
        <v>0</v>
      </c>
      <c r="W47" s="706">
        <f t="shared" si="23"/>
        <v>0</v>
      </c>
      <c r="X47" s="706">
        <f t="shared" si="23"/>
        <v>0</v>
      </c>
      <c r="Y47" s="706">
        <f t="shared" si="23"/>
        <v>0</v>
      </c>
      <c r="Z47" s="706">
        <f t="shared" si="23"/>
        <v>0</v>
      </c>
      <c r="AA47" s="706">
        <f t="shared" si="23"/>
        <v>0</v>
      </c>
      <c r="AB47" s="706">
        <f t="shared" si="23"/>
        <v>0</v>
      </c>
      <c r="AC47" s="706">
        <f t="shared" si="23"/>
        <v>0</v>
      </c>
    </row>
    <row r="48" spans="1:29" s="459" customFormat="1">
      <c r="B48" s="459" t="s">
        <v>361</v>
      </c>
      <c r="C48" s="706">
        <f t="shared" ref="C48:R54" si="24">C376/C$383</f>
        <v>0</v>
      </c>
      <c r="D48" s="706">
        <f t="shared" si="24"/>
        <v>0</v>
      </c>
      <c r="E48" s="706">
        <f t="shared" si="24"/>
        <v>0</v>
      </c>
      <c r="F48" s="706">
        <f t="shared" si="24"/>
        <v>0</v>
      </c>
      <c r="G48" s="706">
        <f t="shared" si="24"/>
        <v>0</v>
      </c>
      <c r="H48" s="706">
        <f t="shared" si="24"/>
        <v>0</v>
      </c>
      <c r="I48" s="706">
        <f t="shared" si="24"/>
        <v>0</v>
      </c>
      <c r="J48" s="706">
        <f t="shared" si="24"/>
        <v>0</v>
      </c>
      <c r="K48" s="706">
        <f t="shared" si="24"/>
        <v>0</v>
      </c>
      <c r="L48" s="706">
        <f t="shared" si="24"/>
        <v>0</v>
      </c>
      <c r="M48" s="706">
        <f t="shared" si="24"/>
        <v>0</v>
      </c>
      <c r="N48" s="706">
        <f t="shared" si="24"/>
        <v>0</v>
      </c>
      <c r="O48" s="706">
        <f t="shared" si="24"/>
        <v>0</v>
      </c>
      <c r="P48" s="706">
        <f t="shared" si="24"/>
        <v>0</v>
      </c>
      <c r="Q48" s="706">
        <f t="shared" si="24"/>
        <v>0</v>
      </c>
      <c r="R48" s="706">
        <f t="shared" si="24"/>
        <v>0</v>
      </c>
      <c r="S48" s="706">
        <f t="shared" si="23"/>
        <v>0</v>
      </c>
      <c r="T48" s="706">
        <f t="shared" si="23"/>
        <v>0</v>
      </c>
      <c r="U48" s="706">
        <f t="shared" si="23"/>
        <v>0</v>
      </c>
      <c r="V48" s="706">
        <f t="shared" si="23"/>
        <v>0</v>
      </c>
      <c r="W48" s="706">
        <f t="shared" si="23"/>
        <v>0</v>
      </c>
      <c r="X48" s="706">
        <f t="shared" si="23"/>
        <v>0</v>
      </c>
      <c r="Y48" s="706">
        <f t="shared" si="23"/>
        <v>0</v>
      </c>
      <c r="Z48" s="706">
        <f t="shared" si="23"/>
        <v>0</v>
      </c>
      <c r="AA48" s="706">
        <f t="shared" si="23"/>
        <v>0</v>
      </c>
      <c r="AB48" s="706">
        <f t="shared" si="23"/>
        <v>0</v>
      </c>
      <c r="AC48" s="706">
        <f t="shared" si="23"/>
        <v>0</v>
      </c>
    </row>
    <row r="49" spans="1:29" s="459" customFormat="1">
      <c r="A49" s="459" t="s">
        <v>362</v>
      </c>
      <c r="B49" s="459" t="s">
        <v>368</v>
      </c>
      <c r="C49" s="711">
        <f t="shared" si="24"/>
        <v>3.2739468688573266E-3</v>
      </c>
      <c r="D49" s="706">
        <f t="shared" si="23"/>
        <v>2.1586268841599747E-3</v>
      </c>
      <c r="E49" s="706">
        <f t="shared" si="23"/>
        <v>4.1909857054726746E-3</v>
      </c>
      <c r="F49" s="706">
        <f t="shared" si="23"/>
        <v>3.6319751739066989E-3</v>
      </c>
      <c r="G49" s="706">
        <f t="shared" si="23"/>
        <v>2.5491869155235955E-3</v>
      </c>
      <c r="H49" s="706">
        <f t="shared" si="23"/>
        <v>1.6941154698507114E-3</v>
      </c>
      <c r="I49" s="706">
        <f t="shared" si="23"/>
        <v>3.2883004760979389E-3</v>
      </c>
      <c r="J49" s="706">
        <f t="shared" si="23"/>
        <v>2.4416088687366478E-3</v>
      </c>
      <c r="K49" s="706">
        <f t="shared" si="23"/>
        <v>3.5159102982178412E-3</v>
      </c>
      <c r="L49" s="706">
        <f t="shared" si="23"/>
        <v>3.3185344885490013E-3</v>
      </c>
      <c r="M49" s="706">
        <f t="shared" si="23"/>
        <v>2.939754742265497E-3</v>
      </c>
      <c r="N49" s="706">
        <f t="shared" si="23"/>
        <v>3.3151523856669103E-3</v>
      </c>
      <c r="O49" s="706">
        <f t="shared" si="23"/>
        <v>3.906666915379246E-3</v>
      </c>
      <c r="P49" s="706">
        <f t="shared" si="23"/>
        <v>3.2306073901205486E-3</v>
      </c>
      <c r="Q49" s="706">
        <f t="shared" si="23"/>
        <v>3.9969766503394092E-3</v>
      </c>
      <c r="R49" s="706">
        <f t="shared" si="23"/>
        <v>2.4423953155841079E-3</v>
      </c>
      <c r="S49" s="706">
        <f t="shared" si="23"/>
        <v>2.8914591982090753E-3</v>
      </c>
      <c r="T49" s="706">
        <f t="shared" si="23"/>
        <v>2.9812499263931389E-3</v>
      </c>
      <c r="U49" s="706">
        <f t="shared" si="23"/>
        <v>3.5441732524901714E-3</v>
      </c>
      <c r="V49" s="706">
        <f t="shared" si="23"/>
        <v>2.1106258862285242E-3</v>
      </c>
      <c r="W49" s="706">
        <f t="shared" si="23"/>
        <v>4.0260002016890241E-3</v>
      </c>
      <c r="X49" s="706">
        <f t="shared" si="23"/>
        <v>1.9054783663146626E-3</v>
      </c>
      <c r="Y49" s="706">
        <f t="shared" si="23"/>
        <v>1.7694736792673005E-3</v>
      </c>
      <c r="Z49" s="706">
        <f t="shared" si="23"/>
        <v>2.1690169741061518E-3</v>
      </c>
      <c r="AA49" s="706">
        <f t="shared" si="23"/>
        <v>1.996201699404686E-3</v>
      </c>
      <c r="AB49" s="706">
        <f t="shared" si="23"/>
        <v>2.1678265957034699E-3</v>
      </c>
      <c r="AC49" s="706">
        <f t="shared" si="23"/>
        <v>1.9708873200458749E-3</v>
      </c>
    </row>
    <row r="50" spans="1:29" s="459" customFormat="1">
      <c r="B50" s="459" t="s">
        <v>367</v>
      </c>
      <c r="C50" s="706">
        <f t="shared" si="24"/>
        <v>0.83405572391255312</v>
      </c>
      <c r="D50" s="706">
        <f t="shared" si="23"/>
        <v>0.88136996225712338</v>
      </c>
      <c r="E50" s="706">
        <f t="shared" si="23"/>
        <v>0.72410905133504211</v>
      </c>
      <c r="F50" s="706">
        <f t="shared" si="23"/>
        <v>0.85033097733510543</v>
      </c>
      <c r="G50" s="706">
        <f t="shared" si="23"/>
        <v>0.81358360125192186</v>
      </c>
      <c r="H50" s="706">
        <f t="shared" si="23"/>
        <v>0.88000079438796519</v>
      </c>
      <c r="I50" s="706">
        <f t="shared" si="23"/>
        <v>0.86292967512561713</v>
      </c>
      <c r="J50" s="706">
        <f t="shared" si="23"/>
        <v>0.84991917486050839</v>
      </c>
      <c r="K50" s="706">
        <f t="shared" si="23"/>
        <v>0.87489878054676506</v>
      </c>
      <c r="L50" s="706">
        <f t="shared" si="23"/>
        <v>0.84396948853578213</v>
      </c>
      <c r="M50" s="706">
        <f t="shared" si="23"/>
        <v>0.89058577172865516</v>
      </c>
      <c r="N50" s="706">
        <f t="shared" si="23"/>
        <v>0.88596847722847849</v>
      </c>
      <c r="O50" s="706">
        <f t="shared" si="23"/>
        <v>0.87519253516054751</v>
      </c>
      <c r="P50" s="706">
        <f t="shared" si="23"/>
        <v>0.89017909286971042</v>
      </c>
      <c r="Q50" s="706">
        <f t="shared" si="23"/>
        <v>0.88395825319439558</v>
      </c>
      <c r="R50" s="706">
        <f t="shared" si="23"/>
        <v>0.80306472393989703</v>
      </c>
      <c r="S50" s="706">
        <f t="shared" si="23"/>
        <v>0.88153417928289457</v>
      </c>
      <c r="T50" s="706">
        <f t="shared" si="23"/>
        <v>0.87036679499941227</v>
      </c>
      <c r="U50" s="706">
        <f t="shared" si="23"/>
        <v>0.89725064481847272</v>
      </c>
      <c r="V50" s="706">
        <f t="shared" si="23"/>
        <v>0.84303694258501916</v>
      </c>
      <c r="W50" s="706">
        <f t="shared" si="23"/>
        <v>0.88561230886447639</v>
      </c>
      <c r="X50" s="706">
        <f t="shared" si="23"/>
        <v>0.83536706688667051</v>
      </c>
      <c r="Y50" s="706">
        <f t="shared" si="23"/>
        <v>0.90275636290048633</v>
      </c>
      <c r="Z50" s="706">
        <f t="shared" si="23"/>
        <v>0.87891574758893642</v>
      </c>
      <c r="AA50" s="706">
        <f t="shared" si="23"/>
        <v>0.9444737396739924</v>
      </c>
      <c r="AB50" s="706">
        <f t="shared" si="23"/>
        <v>0.97631596747347482</v>
      </c>
      <c r="AC50" s="706">
        <f t="shared" si="23"/>
        <v>0.7484312106638259</v>
      </c>
    </row>
    <row r="51" spans="1:29" s="459" customFormat="1">
      <c r="A51" s="459" t="s">
        <v>325</v>
      </c>
      <c r="B51" s="459" t="s">
        <v>364</v>
      </c>
      <c r="C51" s="706">
        <f t="shared" si="24"/>
        <v>2.1905905312439161E-2</v>
      </c>
      <c r="D51" s="706">
        <f t="shared" si="23"/>
        <v>9.3709663140288998E-3</v>
      </c>
      <c r="E51" s="706">
        <f t="shared" si="23"/>
        <v>4.6019564968395495E-2</v>
      </c>
      <c r="F51" s="706">
        <f t="shared" si="23"/>
        <v>1.8394858695029128E-2</v>
      </c>
      <c r="G51" s="706">
        <f t="shared" si="23"/>
        <v>9.9598084318994508E-3</v>
      </c>
      <c r="H51" s="706">
        <f t="shared" si="23"/>
        <v>1.3237997918849932E-2</v>
      </c>
      <c r="I51" s="706">
        <f t="shared" si="23"/>
        <v>1.1420057155050359E-2</v>
      </c>
      <c r="J51" s="706">
        <f t="shared" si="23"/>
        <v>2.6498598054231513E-2</v>
      </c>
      <c r="K51" s="706">
        <f t="shared" si="23"/>
        <v>2.5642116158186581E-2</v>
      </c>
      <c r="L51" s="706">
        <f t="shared" si="23"/>
        <v>8.6437934593511252E-3</v>
      </c>
      <c r="M51" s="706">
        <f t="shared" si="23"/>
        <v>1.5314370184172183E-2</v>
      </c>
      <c r="N51" s="706">
        <f t="shared" si="23"/>
        <v>7.9154020817384443E-3</v>
      </c>
      <c r="O51" s="706">
        <f t="shared" si="23"/>
        <v>1.1871653704006174E-2</v>
      </c>
      <c r="P51" s="706">
        <f t="shared" si="23"/>
        <v>1.3089641552029165E-2</v>
      </c>
      <c r="Q51" s="706">
        <f t="shared" si="23"/>
        <v>1.6194784858342321E-2</v>
      </c>
      <c r="R51" s="706">
        <f t="shared" si="23"/>
        <v>1.272342398540301E-2</v>
      </c>
      <c r="S51" s="706">
        <f t="shared" si="23"/>
        <v>1.6945626580446856E-2</v>
      </c>
      <c r="T51" s="706">
        <f t="shared" si="23"/>
        <v>6.4710564013944778E-3</v>
      </c>
      <c r="U51" s="706">
        <f t="shared" si="23"/>
        <v>1.1282963024401618E-2</v>
      </c>
      <c r="V51" s="706">
        <f t="shared" si="23"/>
        <v>1.7408913059663488E-2</v>
      </c>
      <c r="W51" s="706">
        <f t="shared" si="23"/>
        <v>1.0486530825816983E-2</v>
      </c>
      <c r="X51" s="706">
        <f t="shared" si="23"/>
        <v>9.0992061135074936E-3</v>
      </c>
      <c r="Y51" s="706">
        <f t="shared" si="23"/>
        <v>7.6815860877352945E-3</v>
      </c>
      <c r="Z51" s="706">
        <f t="shared" si="23"/>
        <v>1.129928575321087E-2</v>
      </c>
      <c r="AA51" s="706">
        <f t="shared" si="23"/>
        <v>1.2132191360051241E-2</v>
      </c>
      <c r="AB51" s="706">
        <f t="shared" si="23"/>
        <v>1.4116355738962196E-2</v>
      </c>
      <c r="AC51" s="706">
        <f t="shared" si="23"/>
        <v>5.1335741680296381E-3</v>
      </c>
    </row>
    <row r="52" spans="1:29" s="459" customFormat="1">
      <c r="B52" s="459" t="s">
        <v>588</v>
      </c>
      <c r="C52" s="706">
        <f t="shared" si="24"/>
        <v>0.13420523697456904</v>
      </c>
      <c r="D52" s="706">
        <f t="shared" si="23"/>
        <v>0.10710044454468777</v>
      </c>
      <c r="E52" s="706">
        <f t="shared" si="23"/>
        <v>0.19876243811835848</v>
      </c>
      <c r="F52" s="706">
        <f t="shared" si="23"/>
        <v>0.12764218879595873</v>
      </c>
      <c r="G52" s="706">
        <f t="shared" si="23"/>
        <v>0.17390740340065505</v>
      </c>
      <c r="H52" s="706">
        <f t="shared" si="23"/>
        <v>0.10506709222333424</v>
      </c>
      <c r="I52" s="706">
        <f t="shared" si="23"/>
        <v>0.12236196724323453</v>
      </c>
      <c r="J52" s="706">
        <f t="shared" si="23"/>
        <v>0.12114061821652349</v>
      </c>
      <c r="K52" s="706">
        <f t="shared" si="23"/>
        <v>9.5943192996830379E-2</v>
      </c>
      <c r="L52" s="706">
        <f t="shared" si="23"/>
        <v>0.14406818351631784</v>
      </c>
      <c r="M52" s="706">
        <f t="shared" si="23"/>
        <v>9.1160103344907026E-2</v>
      </c>
      <c r="N52" s="706">
        <f t="shared" si="23"/>
        <v>0.10280096830411618</v>
      </c>
      <c r="O52" s="706">
        <f t="shared" si="23"/>
        <v>0.1090291442200671</v>
      </c>
      <c r="P52" s="706">
        <f t="shared" si="23"/>
        <v>9.3500658188139713E-2</v>
      </c>
      <c r="Q52" s="706">
        <f t="shared" si="23"/>
        <v>9.5849985296922749E-2</v>
      </c>
      <c r="R52" s="706">
        <f t="shared" si="23"/>
        <v>0.18176945675911579</v>
      </c>
      <c r="S52" s="706">
        <f t="shared" si="23"/>
        <v>9.8628734938449439E-2</v>
      </c>
      <c r="T52" s="706">
        <f t="shared" si="23"/>
        <v>0.1201808986728002</v>
      </c>
      <c r="U52" s="706">
        <f t="shared" si="23"/>
        <v>8.7922218904635543E-2</v>
      </c>
      <c r="V52" s="706">
        <f t="shared" si="23"/>
        <v>0.13744351846908884</v>
      </c>
      <c r="W52" s="706">
        <f t="shared" si="23"/>
        <v>9.9875160108017558E-2</v>
      </c>
      <c r="X52" s="706">
        <f t="shared" si="23"/>
        <v>0.15362824863350735</v>
      </c>
      <c r="Y52" s="706">
        <f t="shared" si="23"/>
        <v>8.779257733251114E-2</v>
      </c>
      <c r="Z52" s="706">
        <f t="shared" si="23"/>
        <v>0.10761594968374652</v>
      </c>
      <c r="AA52" s="706">
        <f t="shared" si="23"/>
        <v>4.1397867266551647E-2</v>
      </c>
      <c r="AB52" s="706">
        <f t="shared" si="23"/>
        <v>7.3998501918595234E-3</v>
      </c>
      <c r="AC52" s="706">
        <f t="shared" si="23"/>
        <v>0.24446432784809863</v>
      </c>
    </row>
    <row r="53" spans="1:29" s="459" customFormat="1">
      <c r="B53" s="459" t="s">
        <v>575</v>
      </c>
      <c r="C53" s="706">
        <f t="shared" si="24"/>
        <v>6.559186931581344E-3</v>
      </c>
      <c r="D53" s="706">
        <f t="shared" si="23"/>
        <v>0</v>
      </c>
      <c r="E53" s="706">
        <f t="shared" si="23"/>
        <v>2.6917959872731177E-2</v>
      </c>
      <c r="F53" s="706">
        <f t="shared" si="23"/>
        <v>0</v>
      </c>
      <c r="G53" s="706">
        <f t="shared" si="23"/>
        <v>0</v>
      </c>
      <c r="H53" s="706">
        <f t="shared" si="23"/>
        <v>0</v>
      </c>
      <c r="I53" s="706">
        <f t="shared" si="23"/>
        <v>0</v>
      </c>
      <c r="J53" s="706">
        <f t="shared" si="23"/>
        <v>0</v>
      </c>
      <c r="K53" s="706">
        <f t="shared" si="23"/>
        <v>0</v>
      </c>
      <c r="L53" s="706">
        <f t="shared" si="23"/>
        <v>0</v>
      </c>
      <c r="M53" s="706">
        <f t="shared" si="23"/>
        <v>0</v>
      </c>
      <c r="N53" s="706">
        <f t="shared" si="23"/>
        <v>0</v>
      </c>
      <c r="O53" s="706">
        <f t="shared" si="23"/>
        <v>0</v>
      </c>
      <c r="P53" s="706">
        <f t="shared" si="23"/>
        <v>0</v>
      </c>
      <c r="Q53" s="706">
        <f t="shared" si="23"/>
        <v>0</v>
      </c>
      <c r="R53" s="706">
        <f t="shared" si="23"/>
        <v>0</v>
      </c>
      <c r="S53" s="706">
        <f t="shared" si="23"/>
        <v>0</v>
      </c>
      <c r="T53" s="706">
        <f t="shared" si="23"/>
        <v>0</v>
      </c>
      <c r="U53" s="706">
        <f t="shared" si="23"/>
        <v>0</v>
      </c>
      <c r="V53" s="706">
        <f t="shared" si="23"/>
        <v>0</v>
      </c>
      <c r="W53" s="706">
        <f t="shared" si="23"/>
        <v>0</v>
      </c>
      <c r="X53" s="706">
        <f t="shared" si="23"/>
        <v>0</v>
      </c>
      <c r="Y53" s="706">
        <f t="shared" si="23"/>
        <v>0</v>
      </c>
      <c r="Z53" s="706">
        <f t="shared" si="23"/>
        <v>0</v>
      </c>
      <c r="AA53" s="706">
        <f t="shared" si="23"/>
        <v>0</v>
      </c>
      <c r="AB53" s="706">
        <f t="shared" si="23"/>
        <v>0</v>
      </c>
      <c r="AC53" s="706">
        <f t="shared" si="23"/>
        <v>0</v>
      </c>
    </row>
    <row r="54" spans="1:29" s="459" customFormat="1">
      <c r="B54" s="459" t="s">
        <v>366</v>
      </c>
      <c r="C54" s="706">
        <f t="shared" si="24"/>
        <v>0</v>
      </c>
      <c r="D54" s="706">
        <f t="shared" si="23"/>
        <v>0</v>
      </c>
      <c r="E54" s="706">
        <f t="shared" si="23"/>
        <v>0</v>
      </c>
      <c r="F54" s="706">
        <f t="shared" si="23"/>
        <v>0</v>
      </c>
      <c r="G54" s="706">
        <f t="shared" si="23"/>
        <v>0</v>
      </c>
      <c r="H54" s="706">
        <f t="shared" si="23"/>
        <v>0</v>
      </c>
      <c r="I54" s="706">
        <f t="shared" si="23"/>
        <v>0</v>
      </c>
      <c r="J54" s="706">
        <f t="shared" si="23"/>
        <v>0</v>
      </c>
      <c r="K54" s="706">
        <f t="shared" si="23"/>
        <v>0</v>
      </c>
      <c r="L54" s="706">
        <f t="shared" si="23"/>
        <v>0</v>
      </c>
      <c r="M54" s="706">
        <f t="shared" si="23"/>
        <v>0</v>
      </c>
      <c r="N54" s="706">
        <f t="shared" si="23"/>
        <v>0</v>
      </c>
      <c r="O54" s="706">
        <f t="shared" si="23"/>
        <v>0</v>
      </c>
      <c r="P54" s="706">
        <f t="shared" si="23"/>
        <v>0</v>
      </c>
      <c r="Q54" s="706">
        <f t="shared" si="23"/>
        <v>0</v>
      </c>
      <c r="R54" s="706">
        <f t="shared" si="23"/>
        <v>0</v>
      </c>
      <c r="S54" s="706">
        <f t="shared" si="23"/>
        <v>0</v>
      </c>
      <c r="T54" s="706">
        <f t="shared" si="23"/>
        <v>0</v>
      </c>
      <c r="U54" s="706">
        <f t="shared" si="23"/>
        <v>0</v>
      </c>
      <c r="V54" s="706">
        <f t="shared" si="23"/>
        <v>0</v>
      </c>
      <c r="W54" s="706">
        <f t="shared" si="23"/>
        <v>0</v>
      </c>
      <c r="X54" s="706">
        <f t="shared" si="23"/>
        <v>0</v>
      </c>
      <c r="Y54" s="706">
        <f t="shared" si="23"/>
        <v>0</v>
      </c>
      <c r="Z54" s="706">
        <f t="shared" si="23"/>
        <v>0</v>
      </c>
      <c r="AA54" s="706">
        <f t="shared" si="23"/>
        <v>0</v>
      </c>
      <c r="AB54" s="706">
        <f t="shared" si="23"/>
        <v>0</v>
      </c>
      <c r="AC54" s="706">
        <f t="shared" si="23"/>
        <v>0</v>
      </c>
    </row>
    <row r="55" spans="1:29" s="459" customFormat="1">
      <c r="A55" s="458"/>
      <c r="B55" s="673" t="s">
        <v>16</v>
      </c>
      <c r="C55" s="399">
        <f>SUM(C47:C54)</f>
        <v>1</v>
      </c>
      <c r="D55" s="399">
        <f>SUM(D47:D54)</f>
        <v>1</v>
      </c>
      <c r="E55" s="399">
        <f t="shared" ref="E55" si="25">SUM(E47:E54)</f>
        <v>1</v>
      </c>
      <c r="F55" s="399">
        <f t="shared" ref="F55" si="26">SUM(F47:F54)</f>
        <v>1</v>
      </c>
      <c r="G55" s="399">
        <f t="shared" ref="G55" si="27">SUM(G47:G54)</f>
        <v>1</v>
      </c>
      <c r="H55" s="399">
        <f t="shared" ref="H55" si="28">SUM(H47:H54)</f>
        <v>1.0000000000000002</v>
      </c>
      <c r="I55" s="399">
        <f t="shared" ref="I55" si="29">SUM(I47:I54)</f>
        <v>1</v>
      </c>
      <c r="J55" s="399">
        <f t="shared" ref="J55" si="30">SUM(J47:J54)</f>
        <v>1</v>
      </c>
      <c r="K55" s="399">
        <f t="shared" ref="K55" si="31">SUM(K47:K54)</f>
        <v>0.99999999999999989</v>
      </c>
      <c r="L55" s="399">
        <f t="shared" ref="L55" si="32">SUM(L47:L54)</f>
        <v>1.0000000000000002</v>
      </c>
      <c r="M55" s="399">
        <f t="shared" ref="M55" si="33">SUM(M47:M54)</f>
        <v>0.99999999999999978</v>
      </c>
      <c r="N55" s="399">
        <f t="shared" ref="N55" si="34">SUM(N47:N54)</f>
        <v>1</v>
      </c>
      <c r="O55" s="399">
        <f t="shared" ref="O55" si="35">SUM(O47:O54)</f>
        <v>1</v>
      </c>
      <c r="P55" s="399">
        <f t="shared" ref="P55" si="36">SUM(P47:P54)</f>
        <v>0.99999999999999989</v>
      </c>
      <c r="Q55" s="399">
        <f t="shared" ref="Q55" si="37">SUM(Q47:Q54)</f>
        <v>1</v>
      </c>
      <c r="R55" s="399">
        <f t="shared" ref="R55" si="38">SUM(R47:R54)</f>
        <v>1</v>
      </c>
      <c r="S55" s="399">
        <f t="shared" ref="S55" si="39">SUM(S47:S54)</f>
        <v>1</v>
      </c>
      <c r="T55" s="399">
        <f t="shared" ref="T55" si="40">SUM(T47:T54)</f>
        <v>1</v>
      </c>
      <c r="U55" s="399">
        <f t="shared" ref="U55" si="41">SUM(U47:U54)</f>
        <v>1</v>
      </c>
      <c r="V55" s="399">
        <f t="shared" ref="V55" si="42">SUM(V47:V54)</f>
        <v>1</v>
      </c>
      <c r="W55" s="399">
        <f t="shared" ref="W55" si="43">SUM(W47:W54)</f>
        <v>0.99999999999999989</v>
      </c>
      <c r="X55" s="399">
        <f t="shared" ref="X55" si="44">SUM(X47:X54)</f>
        <v>1</v>
      </c>
      <c r="Y55" s="399">
        <f t="shared" ref="Y55" si="45">SUM(Y47:Y54)</f>
        <v>1</v>
      </c>
      <c r="Z55" s="399">
        <f t="shared" ref="Z55" si="46">SUM(Z47:Z54)</f>
        <v>0.99999999999999989</v>
      </c>
      <c r="AA55" s="399">
        <f t="shared" ref="AA55" si="47">SUM(AA47:AA54)</f>
        <v>1</v>
      </c>
      <c r="AB55" s="399">
        <f t="shared" ref="AB55" si="48">SUM(AB47:AB54)</f>
        <v>1</v>
      </c>
      <c r="AC55" s="399">
        <f t="shared" ref="AC55" si="49">SUM(AC47:AC54)</f>
        <v>1</v>
      </c>
    </row>
    <row r="56" spans="1:29" s="459"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459"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459"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459" customFormat="1" ht="15.6">
      <c r="A59" s="401" t="s">
        <v>976</v>
      </c>
      <c r="B59" s="401"/>
      <c r="C59" s="40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459" customFormat="1">
      <c r="A60" s="132" t="s">
        <v>358</v>
      </c>
      <c r="B60" s="132" t="s">
        <v>359</v>
      </c>
      <c r="C60" s="718" t="str">
        <f>Regions!C3</f>
        <v>IE</v>
      </c>
      <c r="D60" s="718" t="str">
        <f>Regions!E3</f>
        <v>IE-CW</v>
      </c>
      <c r="E60" s="718" t="str">
        <f>Regions!F3</f>
        <v>IE-D</v>
      </c>
      <c r="F60" s="718" t="str">
        <f>Regions!G3</f>
        <v>IE-KE</v>
      </c>
      <c r="G60" s="718" t="str">
        <f>Regions!H3</f>
        <v>IE-KK</v>
      </c>
      <c r="H60" s="718" t="str">
        <f>Regions!I3</f>
        <v>IE-LS</v>
      </c>
      <c r="I60" s="718" t="str">
        <f>Regions!J3</f>
        <v>IE-LD</v>
      </c>
      <c r="J60" s="718" t="str">
        <f>Regions!K3</f>
        <v>IE-LH</v>
      </c>
      <c r="K60" s="718" t="str">
        <f>Regions!L3</f>
        <v>IE-MH</v>
      </c>
      <c r="L60" s="718" t="str">
        <f>Regions!M3</f>
        <v>IE-OY</v>
      </c>
      <c r="M60" s="718" t="str">
        <f>Regions!N3</f>
        <v>IE-WH</v>
      </c>
      <c r="N60" s="718" t="str">
        <f>Regions!O3</f>
        <v>IE-WX</v>
      </c>
      <c r="O60" s="718" t="str">
        <f>Regions!P3</f>
        <v>IE-WW</v>
      </c>
      <c r="P60" s="718" t="str">
        <f>Regions!Q3</f>
        <v>IE-CE</v>
      </c>
      <c r="Q60" s="718" t="str">
        <f>Regions!R3</f>
        <v>IE-CO</v>
      </c>
      <c r="R60" s="718" t="str">
        <f>Regions!S3</f>
        <v>IE-KY</v>
      </c>
      <c r="S60" s="718" t="str">
        <f>Regions!T3</f>
        <v>IE-LK</v>
      </c>
      <c r="T60" s="718" t="str">
        <f>Regions!U3</f>
        <v>IE-TA</v>
      </c>
      <c r="U60" s="718" t="str">
        <f>Regions!V3</f>
        <v>IE-WD</v>
      </c>
      <c r="V60" s="718" t="str">
        <f>Regions!W3</f>
        <v>IE-G</v>
      </c>
      <c r="W60" s="718" t="str">
        <f>Regions!X3</f>
        <v>IE-LM</v>
      </c>
      <c r="X60" s="718" t="str">
        <f>Regions!Y3</f>
        <v>IE-MO</v>
      </c>
      <c r="Y60" s="718" t="str">
        <f>Regions!Z3</f>
        <v>IE-RN</v>
      </c>
      <c r="Z60" s="718" t="str">
        <f>Regions!AA3</f>
        <v>IE-SO</v>
      </c>
      <c r="AA60" s="718" t="str">
        <f>Regions!AB3</f>
        <v>IE-CN</v>
      </c>
      <c r="AB60" s="718" t="str">
        <f>Regions!AC3</f>
        <v>IE-DL</v>
      </c>
      <c r="AC60" s="718" t="str">
        <f>Regions!AD3</f>
        <v>IE-MN</v>
      </c>
    </row>
    <row r="61" spans="1:29" s="459" customFormat="1">
      <c r="A61" s="459" t="s">
        <v>365</v>
      </c>
      <c r="B61" s="459" t="s">
        <v>360</v>
      </c>
      <c r="C61" s="706">
        <f>C389/C$397</f>
        <v>0</v>
      </c>
      <c r="D61" s="706">
        <f t="shared" ref="D61:AC68" si="50">D389/D$397</f>
        <v>0</v>
      </c>
      <c r="E61" s="706">
        <f t="shared" si="50"/>
        <v>0</v>
      </c>
      <c r="F61" s="706">
        <f t="shared" si="50"/>
        <v>0</v>
      </c>
      <c r="G61" s="706">
        <f t="shared" si="50"/>
        <v>0</v>
      </c>
      <c r="H61" s="706">
        <f t="shared" si="50"/>
        <v>0</v>
      </c>
      <c r="I61" s="706">
        <f t="shared" si="50"/>
        <v>0</v>
      </c>
      <c r="J61" s="706">
        <f t="shared" si="50"/>
        <v>0</v>
      </c>
      <c r="K61" s="706">
        <f t="shared" si="50"/>
        <v>0</v>
      </c>
      <c r="L61" s="706">
        <f t="shared" si="50"/>
        <v>0</v>
      </c>
      <c r="M61" s="706">
        <f t="shared" si="50"/>
        <v>0</v>
      </c>
      <c r="N61" s="706">
        <f t="shared" si="50"/>
        <v>0</v>
      </c>
      <c r="O61" s="706">
        <f t="shared" si="50"/>
        <v>0</v>
      </c>
      <c r="P61" s="706">
        <f t="shared" si="50"/>
        <v>0</v>
      </c>
      <c r="Q61" s="706">
        <f t="shared" si="50"/>
        <v>0</v>
      </c>
      <c r="R61" s="706">
        <f t="shared" si="50"/>
        <v>0</v>
      </c>
      <c r="S61" s="706">
        <f t="shared" si="50"/>
        <v>0</v>
      </c>
      <c r="T61" s="706">
        <f t="shared" si="50"/>
        <v>0</v>
      </c>
      <c r="U61" s="706">
        <f t="shared" si="50"/>
        <v>0</v>
      </c>
      <c r="V61" s="706">
        <f t="shared" si="50"/>
        <v>0</v>
      </c>
      <c r="W61" s="706">
        <f t="shared" si="50"/>
        <v>0</v>
      </c>
      <c r="X61" s="706">
        <f t="shared" si="50"/>
        <v>0</v>
      </c>
      <c r="Y61" s="706">
        <f t="shared" si="50"/>
        <v>0</v>
      </c>
      <c r="Z61" s="706">
        <f t="shared" si="50"/>
        <v>0</v>
      </c>
      <c r="AA61" s="706">
        <f t="shared" si="50"/>
        <v>0</v>
      </c>
      <c r="AB61" s="706">
        <f t="shared" si="50"/>
        <v>0</v>
      </c>
      <c r="AC61" s="706">
        <f t="shared" si="50"/>
        <v>0</v>
      </c>
    </row>
    <row r="62" spans="1:29" s="459" customFormat="1">
      <c r="B62" s="459" t="s">
        <v>361</v>
      </c>
      <c r="C62" s="706">
        <f t="shared" ref="C62:R68" si="51">C390/C$397</f>
        <v>0</v>
      </c>
      <c r="D62" s="706">
        <f t="shared" si="51"/>
        <v>0</v>
      </c>
      <c r="E62" s="706">
        <f t="shared" si="51"/>
        <v>0</v>
      </c>
      <c r="F62" s="706">
        <f t="shared" si="51"/>
        <v>0</v>
      </c>
      <c r="G62" s="706">
        <f t="shared" si="51"/>
        <v>0</v>
      </c>
      <c r="H62" s="706">
        <f t="shared" si="51"/>
        <v>0</v>
      </c>
      <c r="I62" s="706">
        <f t="shared" si="51"/>
        <v>0</v>
      </c>
      <c r="J62" s="706">
        <f t="shared" si="51"/>
        <v>0</v>
      </c>
      <c r="K62" s="706">
        <f t="shared" si="51"/>
        <v>0</v>
      </c>
      <c r="L62" s="706">
        <f t="shared" si="51"/>
        <v>0</v>
      </c>
      <c r="M62" s="706">
        <f t="shared" si="51"/>
        <v>0</v>
      </c>
      <c r="N62" s="706">
        <f t="shared" si="51"/>
        <v>0</v>
      </c>
      <c r="O62" s="706">
        <f t="shared" si="51"/>
        <v>0</v>
      </c>
      <c r="P62" s="706">
        <f t="shared" si="51"/>
        <v>0</v>
      </c>
      <c r="Q62" s="706">
        <f t="shared" si="51"/>
        <v>0</v>
      </c>
      <c r="R62" s="706">
        <f t="shared" si="51"/>
        <v>0</v>
      </c>
      <c r="S62" s="706">
        <f t="shared" si="50"/>
        <v>0</v>
      </c>
      <c r="T62" s="706">
        <f t="shared" si="50"/>
        <v>0</v>
      </c>
      <c r="U62" s="706">
        <f t="shared" si="50"/>
        <v>0</v>
      </c>
      <c r="V62" s="706">
        <f t="shared" si="50"/>
        <v>0</v>
      </c>
      <c r="W62" s="706">
        <f t="shared" si="50"/>
        <v>0</v>
      </c>
      <c r="X62" s="706">
        <f t="shared" si="50"/>
        <v>0</v>
      </c>
      <c r="Y62" s="706">
        <f t="shared" si="50"/>
        <v>0</v>
      </c>
      <c r="Z62" s="706">
        <f t="shared" si="50"/>
        <v>0</v>
      </c>
      <c r="AA62" s="706">
        <f t="shared" si="50"/>
        <v>0</v>
      </c>
      <c r="AB62" s="706">
        <f t="shared" si="50"/>
        <v>0</v>
      </c>
      <c r="AC62" s="706">
        <f t="shared" si="50"/>
        <v>0</v>
      </c>
    </row>
    <row r="63" spans="1:29" s="459" customFormat="1">
      <c r="A63" s="459" t="s">
        <v>362</v>
      </c>
      <c r="B63" s="459" t="s">
        <v>368</v>
      </c>
      <c r="C63" s="712">
        <f t="shared" si="51"/>
        <v>0</v>
      </c>
      <c r="D63" s="706">
        <f t="shared" si="50"/>
        <v>0</v>
      </c>
      <c r="E63" s="706">
        <f t="shared" si="50"/>
        <v>0</v>
      </c>
      <c r="F63" s="706">
        <f t="shared" si="50"/>
        <v>0</v>
      </c>
      <c r="G63" s="706">
        <f t="shared" si="50"/>
        <v>0</v>
      </c>
      <c r="H63" s="706">
        <f t="shared" si="50"/>
        <v>0</v>
      </c>
      <c r="I63" s="706">
        <f t="shared" si="50"/>
        <v>0</v>
      </c>
      <c r="J63" s="706">
        <f t="shared" si="50"/>
        <v>0</v>
      </c>
      <c r="K63" s="706">
        <f t="shared" si="50"/>
        <v>0</v>
      </c>
      <c r="L63" s="706">
        <f t="shared" si="50"/>
        <v>0</v>
      </c>
      <c r="M63" s="706">
        <f t="shared" si="50"/>
        <v>0</v>
      </c>
      <c r="N63" s="706">
        <f t="shared" si="50"/>
        <v>0</v>
      </c>
      <c r="O63" s="706">
        <f t="shared" si="50"/>
        <v>0</v>
      </c>
      <c r="P63" s="706">
        <f t="shared" si="50"/>
        <v>0</v>
      </c>
      <c r="Q63" s="706">
        <f t="shared" si="50"/>
        <v>0</v>
      </c>
      <c r="R63" s="706">
        <f t="shared" si="50"/>
        <v>0</v>
      </c>
      <c r="S63" s="706">
        <f t="shared" si="50"/>
        <v>0</v>
      </c>
      <c r="T63" s="706">
        <f t="shared" si="50"/>
        <v>0</v>
      </c>
      <c r="U63" s="706">
        <f t="shared" si="50"/>
        <v>0</v>
      </c>
      <c r="V63" s="706">
        <f t="shared" si="50"/>
        <v>0</v>
      </c>
      <c r="W63" s="706">
        <f t="shared" si="50"/>
        <v>0</v>
      </c>
      <c r="X63" s="706">
        <f t="shared" si="50"/>
        <v>0</v>
      </c>
      <c r="Y63" s="706">
        <f t="shared" si="50"/>
        <v>0</v>
      </c>
      <c r="Z63" s="706">
        <f t="shared" si="50"/>
        <v>0</v>
      </c>
      <c r="AA63" s="706">
        <f t="shared" si="50"/>
        <v>0</v>
      </c>
      <c r="AB63" s="706">
        <f t="shared" si="50"/>
        <v>0</v>
      </c>
      <c r="AC63" s="706">
        <f t="shared" si="50"/>
        <v>0</v>
      </c>
    </row>
    <row r="64" spans="1:29" s="459" customFormat="1">
      <c r="B64" s="459" t="s">
        <v>367</v>
      </c>
      <c r="C64" s="706">
        <f t="shared" si="51"/>
        <v>0.74108639947108168</v>
      </c>
      <c r="D64" s="706">
        <f t="shared" si="50"/>
        <v>0.79071880912169545</v>
      </c>
      <c r="E64" s="706">
        <f t="shared" si="50"/>
        <v>0.6386131571238467</v>
      </c>
      <c r="F64" s="706">
        <f t="shared" si="50"/>
        <v>0.75580744416441215</v>
      </c>
      <c r="G64" s="706">
        <f t="shared" si="50"/>
        <v>0.71320246300225565</v>
      </c>
      <c r="H64" s="706">
        <f t="shared" si="50"/>
        <v>0.78115676031065473</v>
      </c>
      <c r="I64" s="706">
        <f t="shared" si="50"/>
        <v>0.76642349622098382</v>
      </c>
      <c r="J64" s="706">
        <f t="shared" si="50"/>
        <v>0.74828496387185417</v>
      </c>
      <c r="K64" s="706">
        <f t="shared" si="50"/>
        <v>0.78640329755658556</v>
      </c>
      <c r="L64" s="706">
        <f t="shared" si="50"/>
        <v>0.74588309703681677</v>
      </c>
      <c r="M64" s="706">
        <f t="shared" si="50"/>
        <v>0.80172469534468704</v>
      </c>
      <c r="N64" s="706">
        <f t="shared" si="50"/>
        <v>0.79583426304303684</v>
      </c>
      <c r="O64" s="706">
        <f t="shared" si="50"/>
        <v>0.77907090765006382</v>
      </c>
      <c r="P64" s="706">
        <f t="shared" si="50"/>
        <v>0.80155723993574601</v>
      </c>
      <c r="Q64" s="706">
        <f t="shared" si="50"/>
        <v>0.78887154985237196</v>
      </c>
      <c r="R64" s="706">
        <f t="shared" si="50"/>
        <v>0.70533422841274862</v>
      </c>
      <c r="S64" s="706">
        <f t="shared" si="50"/>
        <v>0.78717070970762593</v>
      </c>
      <c r="T64" s="706">
        <f t="shared" si="50"/>
        <v>0.77916775606401434</v>
      </c>
      <c r="U64" s="706">
        <f t="shared" si="50"/>
        <v>0.80467495581567261</v>
      </c>
      <c r="V64" s="706">
        <f t="shared" si="50"/>
        <v>0.74505854970828844</v>
      </c>
      <c r="W64" s="706">
        <f t="shared" si="50"/>
        <v>0.79514890678426453</v>
      </c>
      <c r="X64" s="706">
        <f t="shared" si="50"/>
        <v>0.73736495113760858</v>
      </c>
      <c r="Y64" s="706">
        <f t="shared" si="50"/>
        <v>0.81853938082108479</v>
      </c>
      <c r="Z64" s="706">
        <f t="shared" si="50"/>
        <v>0.77998817627338324</v>
      </c>
      <c r="AA64" s="706">
        <f t="shared" si="50"/>
        <v>0.85154985463859412</v>
      </c>
      <c r="AB64" s="706">
        <f t="shared" si="50"/>
        <v>0.88006272796227247</v>
      </c>
      <c r="AC64" s="706">
        <f t="shared" si="50"/>
        <v>0.64231184378282558</v>
      </c>
    </row>
    <row r="65" spans="1:29" s="459" customFormat="1">
      <c r="A65" s="459" t="s">
        <v>325</v>
      </c>
      <c r="B65" s="459" t="s">
        <v>364</v>
      </c>
      <c r="C65" s="706">
        <f t="shared" si="51"/>
        <v>1.214216695359136E-2</v>
      </c>
      <c r="D65" s="706">
        <f t="shared" si="50"/>
        <v>5.244564356444866E-3</v>
      </c>
      <c r="E65" s="706">
        <f t="shared" si="50"/>
        <v>2.5318479036608464E-2</v>
      </c>
      <c r="F65" s="706">
        <f t="shared" si="50"/>
        <v>1.0199545943263343E-2</v>
      </c>
      <c r="G65" s="706">
        <f t="shared" si="50"/>
        <v>5.4465670112681473E-3</v>
      </c>
      <c r="H65" s="706">
        <f t="shared" si="50"/>
        <v>7.3305854058422536E-3</v>
      </c>
      <c r="I65" s="706">
        <f t="shared" si="50"/>
        <v>6.327365203104513E-3</v>
      </c>
      <c r="J65" s="706">
        <f t="shared" si="50"/>
        <v>1.4553702960433654E-2</v>
      </c>
      <c r="K65" s="706">
        <f t="shared" si="50"/>
        <v>1.4378136289327563E-2</v>
      </c>
      <c r="L65" s="706">
        <f t="shared" si="50"/>
        <v>4.7655125577413509E-3</v>
      </c>
      <c r="M65" s="706">
        <f t="shared" si="50"/>
        <v>8.6002260738130814E-3</v>
      </c>
      <c r="N65" s="706">
        <f t="shared" si="50"/>
        <v>4.4354589246647135E-3</v>
      </c>
      <c r="O65" s="706">
        <f t="shared" si="50"/>
        <v>6.592434448494537E-3</v>
      </c>
      <c r="P65" s="706">
        <f t="shared" si="50"/>
        <v>7.3526877521562662E-3</v>
      </c>
      <c r="Q65" s="706">
        <f t="shared" si="50"/>
        <v>9.0159384819168999E-3</v>
      </c>
      <c r="R65" s="706">
        <f t="shared" si="50"/>
        <v>6.9712334769449829E-3</v>
      </c>
      <c r="S65" s="706">
        <f t="shared" si="50"/>
        <v>9.4394919428535985E-3</v>
      </c>
      <c r="T65" s="706">
        <f t="shared" si="50"/>
        <v>3.6138078846859318E-3</v>
      </c>
      <c r="U65" s="706">
        <f t="shared" si="50"/>
        <v>6.3123502546919919E-3</v>
      </c>
      <c r="V65" s="706">
        <f t="shared" si="50"/>
        <v>9.5979099500525071E-3</v>
      </c>
      <c r="W65" s="706">
        <f t="shared" si="50"/>
        <v>5.8735122381989901E-3</v>
      </c>
      <c r="X65" s="706">
        <f t="shared" si="50"/>
        <v>5.0103707288089395E-3</v>
      </c>
      <c r="Y65" s="706">
        <f t="shared" si="50"/>
        <v>4.3449135578945168E-3</v>
      </c>
      <c r="Z65" s="706">
        <f t="shared" si="50"/>
        <v>6.2553697184935773E-3</v>
      </c>
      <c r="AA65" s="706">
        <f t="shared" si="50"/>
        <v>6.8237115745591239E-3</v>
      </c>
      <c r="AB65" s="706">
        <f t="shared" si="50"/>
        <v>7.9379260453763534E-3</v>
      </c>
      <c r="AC65" s="706">
        <f t="shared" si="50"/>
        <v>2.7483693665086213E-3</v>
      </c>
    </row>
    <row r="66" spans="1:29" s="459" customFormat="1">
      <c r="B66" s="459" t="s">
        <v>588</v>
      </c>
      <c r="C66" s="706">
        <f t="shared" si="51"/>
        <v>0.1626965950818042</v>
      </c>
      <c r="D66" s="706">
        <f t="shared" si="50"/>
        <v>0.13109626623170204</v>
      </c>
      <c r="E66" s="706">
        <f t="shared" si="50"/>
        <v>0.23916819504950479</v>
      </c>
      <c r="F66" s="706">
        <f t="shared" si="50"/>
        <v>0.15479346868381608</v>
      </c>
      <c r="G66" s="706">
        <f t="shared" si="50"/>
        <v>0.20800029152740038</v>
      </c>
      <c r="H66" s="706">
        <f t="shared" si="50"/>
        <v>0.12724978858051844</v>
      </c>
      <c r="I66" s="706">
        <f t="shared" si="50"/>
        <v>0.14827744084788594</v>
      </c>
      <c r="J66" s="706">
        <f t="shared" si="50"/>
        <v>0.14551722418000443</v>
      </c>
      <c r="K66" s="706">
        <f t="shared" si="50"/>
        <v>0.11766218454461841</v>
      </c>
      <c r="L66" s="706">
        <f t="shared" si="50"/>
        <v>0.17371900154534914</v>
      </c>
      <c r="M66" s="706">
        <f t="shared" si="50"/>
        <v>0.11196687123703571</v>
      </c>
      <c r="N66" s="706">
        <f t="shared" si="50"/>
        <v>0.12599020808803368</v>
      </c>
      <c r="O66" s="706">
        <f t="shared" si="50"/>
        <v>0.13241927644257739</v>
      </c>
      <c r="P66" s="706">
        <f t="shared" si="50"/>
        <v>0.11487011188674058</v>
      </c>
      <c r="Q66" s="706">
        <f t="shared" si="50"/>
        <v>0.11670831913312733</v>
      </c>
      <c r="R66" s="706">
        <f t="shared" si="50"/>
        <v>0.2178213998684824</v>
      </c>
      <c r="S66" s="706">
        <f t="shared" si="50"/>
        <v>0.12016236232976817</v>
      </c>
      <c r="T66" s="706">
        <f t="shared" si="50"/>
        <v>0.14679096653005977</v>
      </c>
      <c r="U66" s="706">
        <f t="shared" si="50"/>
        <v>0.10758223700696061</v>
      </c>
      <c r="V66" s="706">
        <f t="shared" si="50"/>
        <v>0.1657308225029282</v>
      </c>
      <c r="W66" s="706">
        <f t="shared" si="50"/>
        <v>0.12234818626194599</v>
      </c>
      <c r="X66" s="706">
        <f t="shared" si="50"/>
        <v>0.18501691930313938</v>
      </c>
      <c r="Y66" s="706">
        <f t="shared" si="50"/>
        <v>0.10860805699514527</v>
      </c>
      <c r="Z66" s="706">
        <f t="shared" si="50"/>
        <v>0.13030246782805119</v>
      </c>
      <c r="AA66" s="706">
        <f t="shared" si="50"/>
        <v>5.0925275195199252E-2</v>
      </c>
      <c r="AB66" s="706">
        <f t="shared" si="50"/>
        <v>9.1008381034736394E-3</v>
      </c>
      <c r="AC66" s="706">
        <f t="shared" si="50"/>
        <v>0.28624951607603277</v>
      </c>
    </row>
    <row r="67" spans="1:29" s="459" customFormat="1">
      <c r="B67" s="459" t="s">
        <v>575</v>
      </c>
      <c r="C67" s="706">
        <f t="shared" si="51"/>
        <v>0</v>
      </c>
      <c r="D67" s="706">
        <f t="shared" si="50"/>
        <v>0</v>
      </c>
      <c r="E67" s="706">
        <f t="shared" si="50"/>
        <v>0</v>
      </c>
      <c r="F67" s="706">
        <f t="shared" si="50"/>
        <v>0</v>
      </c>
      <c r="G67" s="706">
        <f t="shared" si="50"/>
        <v>0</v>
      </c>
      <c r="H67" s="706">
        <f t="shared" si="50"/>
        <v>0</v>
      </c>
      <c r="I67" s="706">
        <f t="shared" si="50"/>
        <v>0</v>
      </c>
      <c r="J67" s="706">
        <f t="shared" si="50"/>
        <v>0</v>
      </c>
      <c r="K67" s="706">
        <f t="shared" si="50"/>
        <v>0</v>
      </c>
      <c r="L67" s="706">
        <f t="shared" si="50"/>
        <v>0</v>
      </c>
      <c r="M67" s="706">
        <f t="shared" si="50"/>
        <v>0</v>
      </c>
      <c r="N67" s="706">
        <f t="shared" si="50"/>
        <v>0</v>
      </c>
      <c r="O67" s="706">
        <f t="shared" si="50"/>
        <v>0</v>
      </c>
      <c r="P67" s="706">
        <f t="shared" si="50"/>
        <v>0</v>
      </c>
      <c r="Q67" s="706">
        <f t="shared" si="50"/>
        <v>0</v>
      </c>
      <c r="R67" s="706">
        <f t="shared" si="50"/>
        <v>0</v>
      </c>
      <c r="S67" s="706">
        <f t="shared" si="50"/>
        <v>0</v>
      </c>
      <c r="T67" s="706">
        <f t="shared" si="50"/>
        <v>0</v>
      </c>
      <c r="U67" s="706">
        <f t="shared" si="50"/>
        <v>0</v>
      </c>
      <c r="V67" s="706">
        <f t="shared" si="50"/>
        <v>0</v>
      </c>
      <c r="W67" s="706">
        <f t="shared" si="50"/>
        <v>0</v>
      </c>
      <c r="X67" s="706">
        <f t="shared" si="50"/>
        <v>0</v>
      </c>
      <c r="Y67" s="706">
        <f t="shared" si="50"/>
        <v>0</v>
      </c>
      <c r="Z67" s="706">
        <f t="shared" si="50"/>
        <v>0</v>
      </c>
      <c r="AA67" s="706">
        <f t="shared" si="50"/>
        <v>0</v>
      </c>
      <c r="AB67" s="706">
        <f t="shared" si="50"/>
        <v>0</v>
      </c>
      <c r="AC67" s="706">
        <f t="shared" si="50"/>
        <v>0</v>
      </c>
    </row>
    <row r="68" spans="1:29" s="459" customFormat="1">
      <c r="B68" s="459" t="s">
        <v>366</v>
      </c>
      <c r="C68" s="706">
        <f t="shared" si="51"/>
        <v>8.4074838493522847E-2</v>
      </c>
      <c r="D68" s="706">
        <f t="shared" si="50"/>
        <v>7.2940360290157685E-2</v>
      </c>
      <c r="E68" s="706">
        <f t="shared" si="50"/>
        <v>9.6900168790040125E-2</v>
      </c>
      <c r="F68" s="706">
        <f t="shared" si="50"/>
        <v>7.91995412085085E-2</v>
      </c>
      <c r="G68" s="706">
        <f t="shared" si="50"/>
        <v>7.3350678459075919E-2</v>
      </c>
      <c r="H68" s="706">
        <f t="shared" si="50"/>
        <v>8.426286570298451E-2</v>
      </c>
      <c r="I68" s="706">
        <f t="shared" si="50"/>
        <v>7.8971697728025606E-2</v>
      </c>
      <c r="J68" s="706">
        <f t="shared" si="50"/>
        <v>9.1644108987707917E-2</v>
      </c>
      <c r="K68" s="706">
        <f t="shared" si="50"/>
        <v>8.1556381609468237E-2</v>
      </c>
      <c r="L68" s="706">
        <f t="shared" si="50"/>
        <v>7.5632388860092645E-2</v>
      </c>
      <c r="M68" s="706">
        <f t="shared" si="50"/>
        <v>7.7708207344464181E-2</v>
      </c>
      <c r="N68" s="706">
        <f t="shared" si="50"/>
        <v>7.3740069944264783E-2</v>
      </c>
      <c r="O68" s="706">
        <f t="shared" si="50"/>
        <v>8.1917381458864319E-2</v>
      </c>
      <c r="P68" s="706">
        <f t="shared" si="50"/>
        <v>7.6219960425357156E-2</v>
      </c>
      <c r="Q68" s="706">
        <f t="shared" si="50"/>
        <v>8.5404192532583911E-2</v>
      </c>
      <c r="R68" s="706">
        <f t="shared" si="50"/>
        <v>6.987313824182402E-2</v>
      </c>
      <c r="S68" s="706">
        <f t="shared" si="50"/>
        <v>8.3227436019752521E-2</v>
      </c>
      <c r="T68" s="706">
        <f t="shared" si="50"/>
        <v>7.0427469521239974E-2</v>
      </c>
      <c r="U68" s="706">
        <f t="shared" si="50"/>
        <v>8.1430456922674907E-2</v>
      </c>
      <c r="V68" s="706">
        <f t="shared" si="50"/>
        <v>7.9612717838730945E-2</v>
      </c>
      <c r="W68" s="706">
        <f t="shared" si="50"/>
        <v>7.6629394715590618E-2</v>
      </c>
      <c r="X68" s="706">
        <f t="shared" si="50"/>
        <v>7.2607758830443E-2</v>
      </c>
      <c r="Y68" s="706">
        <f t="shared" si="50"/>
        <v>6.8507648625875522E-2</v>
      </c>
      <c r="Z68" s="706">
        <f t="shared" si="50"/>
        <v>8.3453986180072076E-2</v>
      </c>
      <c r="AA68" s="706">
        <f t="shared" si="50"/>
        <v>9.070115859164736E-2</v>
      </c>
      <c r="AB68" s="706">
        <f t="shared" si="50"/>
        <v>0.10289850788887757</v>
      </c>
      <c r="AC68" s="706">
        <f t="shared" si="50"/>
        <v>6.8690270774633036E-2</v>
      </c>
    </row>
    <row r="69" spans="1:29" s="459" customFormat="1">
      <c r="A69" s="458"/>
      <c r="B69" s="673" t="s">
        <v>16</v>
      </c>
      <c r="C69" s="399">
        <f>SUM(C61:C68)</f>
        <v>1.0000000000000002</v>
      </c>
      <c r="D69" s="399">
        <f>SUM(D61:D68)</f>
        <v>1</v>
      </c>
      <c r="E69" s="399">
        <f t="shared" ref="E69" si="52">SUM(E61:E68)</f>
        <v>1</v>
      </c>
      <c r="F69" s="399">
        <f t="shared" ref="F69" si="53">SUM(F61:F68)</f>
        <v>1</v>
      </c>
      <c r="G69" s="399">
        <f t="shared" ref="G69" si="54">SUM(G61:G68)</f>
        <v>1</v>
      </c>
      <c r="H69" s="399">
        <f t="shared" ref="H69" si="55">SUM(H61:H68)</f>
        <v>1</v>
      </c>
      <c r="I69" s="399">
        <f t="shared" ref="I69" si="56">SUM(I61:I68)</f>
        <v>0.99999999999999989</v>
      </c>
      <c r="J69" s="399">
        <f t="shared" ref="J69" si="57">SUM(J61:J68)</f>
        <v>1.0000000000000002</v>
      </c>
      <c r="K69" s="399">
        <f t="shared" ref="K69" si="58">SUM(K61:K68)</f>
        <v>0.99999999999999978</v>
      </c>
      <c r="L69" s="399">
        <f t="shared" ref="L69" si="59">SUM(L61:L68)</f>
        <v>0.99999999999999989</v>
      </c>
      <c r="M69" s="399">
        <f t="shared" ref="M69" si="60">SUM(M61:M68)</f>
        <v>1</v>
      </c>
      <c r="N69" s="399">
        <f t="shared" ref="N69" si="61">SUM(N61:N68)</f>
        <v>1</v>
      </c>
      <c r="O69" s="399">
        <f t="shared" ref="O69" si="62">SUM(O61:O68)</f>
        <v>1</v>
      </c>
      <c r="P69" s="399">
        <f t="shared" ref="P69" si="63">SUM(P61:P68)</f>
        <v>1</v>
      </c>
      <c r="Q69" s="399">
        <f t="shared" ref="Q69" si="64">SUM(Q61:Q68)</f>
        <v>1</v>
      </c>
      <c r="R69" s="399">
        <f t="shared" ref="R69" si="65">SUM(R61:R68)</f>
        <v>1</v>
      </c>
      <c r="S69" s="399">
        <f t="shared" ref="S69" si="66">SUM(S61:S68)</f>
        <v>1.0000000000000002</v>
      </c>
      <c r="T69" s="399">
        <f t="shared" ref="T69" si="67">SUM(T61:T68)</f>
        <v>1</v>
      </c>
      <c r="U69" s="399">
        <f t="shared" ref="U69" si="68">SUM(U61:U68)</f>
        <v>1</v>
      </c>
      <c r="V69" s="399">
        <f t="shared" ref="V69" si="69">SUM(V61:V68)</f>
        <v>1</v>
      </c>
      <c r="W69" s="399">
        <f t="shared" ref="W69" si="70">SUM(W61:W68)</f>
        <v>1.0000000000000002</v>
      </c>
      <c r="X69" s="399">
        <f t="shared" ref="X69" si="71">SUM(X61:X68)</f>
        <v>0.99999999999999989</v>
      </c>
      <c r="Y69" s="399">
        <f t="shared" ref="Y69" si="72">SUM(Y61:Y68)</f>
        <v>1.0000000000000002</v>
      </c>
      <c r="Z69" s="399">
        <f t="shared" ref="Z69" si="73">SUM(Z61:Z68)</f>
        <v>1.0000000000000002</v>
      </c>
      <c r="AA69" s="399">
        <f t="shared" ref="AA69" si="74">SUM(AA61:AA68)</f>
        <v>0.99999999999999989</v>
      </c>
      <c r="AB69" s="399">
        <f t="shared" ref="AB69" si="75">SUM(AB61:AB68)</f>
        <v>1</v>
      </c>
      <c r="AC69" s="399">
        <f t="shared" ref="AC69" si="76">SUM(AC61:AC68)</f>
        <v>1</v>
      </c>
    </row>
    <row r="70" spans="1:29" s="459"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459" customFormat="1">
      <c r="A71" s="1"/>
      <c r="B71" s="1"/>
      <c r="C71" s="703"/>
      <c r="D71" s="402"/>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row>
    <row r="72" spans="1:29" s="459" customFormat="1">
      <c r="C72" s="9"/>
      <c r="D72" s="9"/>
      <c r="E72" s="9"/>
      <c r="F72" s="9"/>
      <c r="G72" s="9"/>
      <c r="H72" s="9"/>
      <c r="I72" s="9"/>
      <c r="J72" s="9"/>
      <c r="K72" s="9"/>
      <c r="L72" s="9"/>
      <c r="M72" s="9"/>
      <c r="T72" s="9"/>
      <c r="U72" s="9"/>
      <c r="V72" s="9"/>
      <c r="W72" s="9"/>
      <c r="X72" s="9"/>
      <c r="Y72" s="9"/>
      <c r="Z72" s="9"/>
      <c r="AA72" s="9"/>
      <c r="AB72" s="9"/>
      <c r="AC72" s="9"/>
    </row>
    <row r="73" spans="1:29" s="459" customFormat="1">
      <c r="A73" s="593" t="s">
        <v>783</v>
      </c>
      <c r="B73" s="846" t="s">
        <v>784</v>
      </c>
      <c r="C73" s="846"/>
      <c r="D73" s="471"/>
      <c r="E73" s="9"/>
      <c r="F73" s="9"/>
      <c r="G73" s="9"/>
      <c r="H73" s="9"/>
      <c r="I73" s="9"/>
      <c r="J73" s="517"/>
      <c r="K73" s="9"/>
      <c r="L73" s="9"/>
      <c r="M73" s="9"/>
      <c r="T73" s="9"/>
      <c r="U73" s="9"/>
      <c r="V73" s="9"/>
      <c r="W73" s="9"/>
      <c r="X73" s="9"/>
      <c r="Y73" s="9"/>
      <c r="Z73" s="9"/>
      <c r="AA73" s="9"/>
      <c r="AB73" s="9"/>
    </row>
    <row r="74" spans="1:29" s="459" customFormat="1">
      <c r="A74" s="586"/>
      <c r="B74" s="598" t="s">
        <v>772</v>
      </c>
      <c r="C74" s="598" t="s">
        <v>559</v>
      </c>
      <c r="D74" s="587" t="s">
        <v>216</v>
      </c>
      <c r="E74" s="9"/>
      <c r="F74" s="9"/>
      <c r="G74" s="9"/>
      <c r="H74" s="9"/>
      <c r="I74" s="9"/>
      <c r="J74" s="9"/>
      <c r="K74" s="9"/>
      <c r="T74" s="9"/>
      <c r="U74" s="9"/>
      <c r="V74" s="9"/>
      <c r="W74" s="9"/>
      <c r="X74" s="9"/>
      <c r="Y74" s="9"/>
      <c r="Z74" s="9"/>
      <c r="AA74" s="9"/>
      <c r="AB74" s="9"/>
    </row>
    <row r="75" spans="1:29" s="459" customFormat="1">
      <c r="A75" s="589" t="str">
        <f>Commodities!K13</f>
        <v>T-CAR-ICE_GSL00</v>
      </c>
      <c r="B75" s="604">
        <f>Stock!E54*AF!D7/Efficiency!D8/0.041868/2</f>
        <v>357.72587236873608</v>
      </c>
      <c r="C75" s="853">
        <f>'EB2018'!AM48</f>
        <v>2058.4846677479868</v>
      </c>
      <c r="D75" s="850">
        <f>(B84-C75)/C75</f>
        <v>-0.19157003288049379</v>
      </c>
      <c r="E75" s="9"/>
      <c r="F75" s="9"/>
      <c r="G75" s="9"/>
      <c r="H75" s="9"/>
      <c r="I75" s="9"/>
      <c r="J75" s="9"/>
      <c r="K75" s="9"/>
      <c r="T75" s="9"/>
      <c r="U75" s="9"/>
      <c r="V75" s="9"/>
      <c r="W75" s="9"/>
      <c r="X75" s="9"/>
      <c r="Y75" s="9"/>
      <c r="Z75" s="9"/>
      <c r="AA75" s="9"/>
      <c r="AB75" s="9"/>
    </row>
    <row r="76" spans="1:29" s="459" customFormat="1">
      <c r="A76" s="594" t="str">
        <f>Commodities!K14</f>
        <v>T-CAR-ICE_DST00</v>
      </c>
      <c r="B76" s="605">
        <f>Stock!E55*AF!D8/Efficiency!D9/0.041868</f>
        <v>1277.6817654050137</v>
      </c>
      <c r="C76" s="853"/>
      <c r="D76" s="851"/>
      <c r="E76" s="9"/>
      <c r="F76" s="9"/>
      <c r="G76" s="9"/>
      <c r="H76" s="9"/>
      <c r="I76" s="9"/>
      <c r="J76" s="9"/>
      <c r="K76" s="9"/>
      <c r="T76" s="9"/>
      <c r="U76" s="9"/>
      <c r="V76" s="9"/>
      <c r="W76" s="9"/>
      <c r="X76" s="9"/>
      <c r="Y76" s="9"/>
      <c r="Z76" s="9"/>
      <c r="AA76" s="9"/>
      <c r="AB76" s="9"/>
    </row>
    <row r="77" spans="1:29" s="459" customFormat="1">
      <c r="A77" s="594" t="str">
        <f>Commodities!K15</f>
        <v>T-CAR-ICE_DF00</v>
      </c>
      <c r="B77" s="605">
        <f>Stock!E56*AF!D9/Efficiency!D10/0.041868</f>
        <v>6.2102813626156654E-2</v>
      </c>
      <c r="C77" s="853"/>
      <c r="D77" s="851"/>
      <c r="E77" s="9"/>
      <c r="F77" s="9"/>
      <c r="G77" s="9"/>
      <c r="H77" s="9"/>
      <c r="I77" s="9"/>
      <c r="J77" s="9"/>
      <c r="K77" s="9"/>
      <c r="T77" s="9"/>
      <c r="U77" s="9"/>
      <c r="V77" s="9"/>
      <c r="W77" s="9"/>
      <c r="X77" s="9"/>
      <c r="Y77" s="9"/>
      <c r="Z77" s="9"/>
      <c r="AA77" s="9"/>
      <c r="AB77" s="9"/>
    </row>
    <row r="78" spans="1:29" s="459" customFormat="1">
      <c r="A78" s="594" t="str">
        <f>Commodities!K16</f>
        <v>T-CAR-ICE_E8500</v>
      </c>
      <c r="B78" s="605">
        <f>Stock!E57*AF!D10/Efficiency!D11/0.041868</f>
        <v>6.5998055493933458</v>
      </c>
      <c r="C78" s="853"/>
      <c r="D78" s="851"/>
      <c r="E78" s="9"/>
      <c r="F78" s="9"/>
      <c r="G78" s="9"/>
      <c r="H78" s="9"/>
      <c r="I78" s="9"/>
      <c r="J78" s="9"/>
      <c r="K78" s="9"/>
      <c r="T78" s="9"/>
      <c r="U78" s="9"/>
      <c r="V78" s="9"/>
      <c r="W78" s="9"/>
      <c r="X78" s="9"/>
      <c r="Y78" s="9"/>
      <c r="Z78" s="9"/>
      <c r="AA78" s="9"/>
      <c r="AB78" s="9"/>
    </row>
    <row r="79" spans="1:29" s="459" customFormat="1">
      <c r="A79" s="594" t="str">
        <f>Commodities!K17</f>
        <v>T-CAR-HEV_GSL00</v>
      </c>
      <c r="B79" s="605">
        <f>Stock!E58*AF!D11/Efficiency!D12/0.041868</f>
        <v>18.720592814009517</v>
      </c>
      <c r="C79" s="853"/>
      <c r="D79" s="851"/>
      <c r="E79" s="9"/>
      <c r="F79" s="9"/>
      <c r="G79" s="9"/>
      <c r="H79" s="9"/>
      <c r="I79" s="9"/>
      <c r="J79" s="9"/>
      <c r="K79" s="9"/>
      <c r="T79" s="398"/>
      <c r="U79" s="398"/>
      <c r="V79" s="398"/>
      <c r="W79" s="398"/>
      <c r="X79" s="398"/>
      <c r="Y79" s="398"/>
      <c r="Z79" s="398"/>
      <c r="AA79" s="398"/>
      <c r="AB79" s="398"/>
    </row>
    <row r="80" spans="1:29" s="459" customFormat="1">
      <c r="A80" s="594" t="str">
        <f>Commodities!K18</f>
        <v>T-CAR-HEV_DST00</v>
      </c>
      <c r="B80" s="605">
        <f>Stock!E59*AF!D12/Efficiency!D13/0.041868</f>
        <v>0.77280168412880923</v>
      </c>
      <c r="C80" s="853"/>
      <c r="D80" s="851"/>
      <c r="E80" s="9"/>
      <c r="F80" s="9"/>
      <c r="G80" s="9"/>
      <c r="H80" s="9"/>
      <c r="I80" s="9"/>
      <c r="J80" s="9"/>
      <c r="K80" s="9"/>
    </row>
    <row r="81" spans="1:17" s="459" customFormat="1">
      <c r="A81" s="594" t="str">
        <f>Commodities!K19</f>
        <v>T-CAR-PHEV_GSL00</v>
      </c>
      <c r="B81" s="605">
        <f>Stock!E60*AF!D13/Efficiency!D14/0.041868</f>
        <v>1.3184587114421897</v>
      </c>
      <c r="C81" s="853"/>
      <c r="D81" s="851"/>
      <c r="E81" s="9"/>
      <c r="F81" s="9"/>
      <c r="G81" s="9"/>
      <c r="H81" s="9"/>
      <c r="I81" s="9"/>
      <c r="J81" s="9"/>
      <c r="K81" s="9"/>
    </row>
    <row r="82" spans="1:17" s="459" customFormat="1">
      <c r="A82" s="594" t="str">
        <f>Commodities!K20</f>
        <v>T-CAR-PHEV_DST00</v>
      </c>
      <c r="B82" s="605">
        <f>Stock!E61*AF!D14/Efficiency!D15/0.041868</f>
        <v>1.9463942395372347E-2</v>
      </c>
      <c r="C82" s="853"/>
      <c r="D82" s="851"/>
      <c r="E82" s="9"/>
      <c r="F82" s="9"/>
      <c r="G82" s="9"/>
      <c r="H82" s="9"/>
      <c r="I82" s="9"/>
      <c r="J82" s="9"/>
      <c r="K82" s="9"/>
    </row>
    <row r="83" spans="1:17" s="459" customFormat="1">
      <c r="A83" s="594" t="str">
        <f>Commodities!K21</f>
        <v>T-CAR-BEV_ELC00</v>
      </c>
      <c r="B83" s="605">
        <f>Stock!E62*AF!D15/Efficiency!D16/0.041868</f>
        <v>1.2398289747677393</v>
      </c>
      <c r="C83" s="853"/>
      <c r="D83" s="851"/>
      <c r="E83" s="9"/>
      <c r="F83" s="9"/>
      <c r="G83" s="9"/>
      <c r="H83" s="9"/>
      <c r="I83" s="9"/>
      <c r="J83" s="9"/>
      <c r="K83" s="9"/>
    </row>
    <row r="84" spans="1:17" s="459" customFormat="1" ht="15.6">
      <c r="A84" s="590" t="s">
        <v>771</v>
      </c>
      <c r="B84" s="603">
        <f>SUM(B75:B83)</f>
        <v>1664.1406922635126</v>
      </c>
      <c r="C84" s="853"/>
      <c r="D84" s="852"/>
      <c r="E84" s="9"/>
      <c r="F84" s="9"/>
      <c r="G84" s="9"/>
      <c r="H84" s="9"/>
      <c r="I84" s="9"/>
      <c r="J84" s="9"/>
      <c r="K84" s="9"/>
    </row>
    <row r="85" spans="1:17" s="459" customFormat="1">
      <c r="A85" s="459" t="s">
        <v>785</v>
      </c>
      <c r="F85" s="9"/>
      <c r="G85" s="9"/>
      <c r="H85" s="9"/>
      <c r="I85" s="9"/>
      <c r="J85" s="9"/>
      <c r="K85" s="9"/>
    </row>
    <row r="86" spans="1:17" s="459" customFormat="1">
      <c r="F86" s="9"/>
      <c r="G86" s="9"/>
      <c r="H86" s="9"/>
      <c r="I86" s="9"/>
      <c r="J86" s="9"/>
      <c r="K86" s="9"/>
    </row>
    <row r="87" spans="1:17" s="459" customFormat="1">
      <c r="F87" s="9"/>
      <c r="G87" s="9"/>
      <c r="H87" s="9"/>
      <c r="I87" s="9"/>
      <c r="J87" s="9"/>
      <c r="K87" s="9"/>
    </row>
    <row r="88" spans="1:17" s="459" customFormat="1">
      <c r="F88" s="9"/>
      <c r="G88" s="9"/>
      <c r="H88" s="9"/>
      <c r="I88" s="9"/>
      <c r="J88" s="9"/>
      <c r="K88" s="9"/>
    </row>
    <row r="89" spans="1:17" s="459" customFormat="1">
      <c r="A89" s="593" t="s">
        <v>786</v>
      </c>
      <c r="B89" s="846" t="s">
        <v>784</v>
      </c>
      <c r="C89" s="846"/>
      <c r="D89" s="471"/>
      <c r="F89" s="9"/>
      <c r="G89" s="9"/>
      <c r="H89" s="9"/>
      <c r="I89" s="9"/>
      <c r="J89" s="9"/>
      <c r="K89" s="9"/>
    </row>
    <row r="90" spans="1:17" s="459" customFormat="1">
      <c r="A90" s="586"/>
      <c r="B90" s="599" t="s">
        <v>772</v>
      </c>
      <c r="C90" s="598" t="s">
        <v>559</v>
      </c>
      <c r="D90" s="598" t="s">
        <v>216</v>
      </c>
      <c r="F90" s="9"/>
      <c r="G90" s="9"/>
      <c r="H90" s="9"/>
      <c r="I90" s="9"/>
      <c r="J90" s="9"/>
      <c r="K90" s="9"/>
    </row>
    <row r="91" spans="1:17" s="459" customFormat="1">
      <c r="A91" s="589" t="str">
        <f>Commodities!K34</f>
        <v>T-LGT-ICE_GSL00</v>
      </c>
      <c r="B91" s="606">
        <f>(Stock!E74*AF!D23/1000)/Efficiency!D24/0.041868</f>
        <v>1.5179759916566669E-3</v>
      </c>
      <c r="C91" s="847">
        <f>'EB2018'!AM46+'EB2018'!AM47</f>
        <v>1058.3361520244771</v>
      </c>
      <c r="D91" s="850">
        <f>(B94-C91)/C91</f>
        <v>-0.99984557718687606</v>
      </c>
      <c r="F91" s="9"/>
      <c r="G91" s="9"/>
      <c r="H91" s="9"/>
      <c r="I91" s="9"/>
      <c r="J91" s="9"/>
      <c r="K91" s="9"/>
    </row>
    <row r="92" spans="1:17" s="459" customFormat="1">
      <c r="A92" s="588" t="str">
        <f>Commodities!K37</f>
        <v>T-HGT-ICE_DST00</v>
      </c>
      <c r="B92" s="607">
        <f>(Stock!E77*AF!D26/1000)/Efficiency!D27/0.041868</f>
        <v>0.15911937712801305</v>
      </c>
      <c r="C92" s="848"/>
      <c r="D92" s="851"/>
      <c r="F92" s="9"/>
      <c r="G92" s="9"/>
      <c r="H92" s="9"/>
      <c r="I92" s="9"/>
      <c r="J92" s="9"/>
      <c r="K92" s="9"/>
    </row>
    <row r="93" spans="1:17" s="459" customFormat="1">
      <c r="A93" s="588" t="str">
        <f>Commodities!K38</f>
        <v>T-GTR-ICE_DST00</v>
      </c>
      <c r="B93" s="607">
        <f>(Stock!E78*AF!D27/1000)/Efficiency!D28/0.041868</f>
        <v>2.7938927066507233E-3</v>
      </c>
      <c r="C93" s="848"/>
      <c r="D93" s="851"/>
      <c r="F93" s="9"/>
      <c r="G93" s="9"/>
      <c r="H93" s="9"/>
      <c r="I93" s="9"/>
      <c r="J93" s="9"/>
      <c r="K93" s="9"/>
    </row>
    <row r="94" spans="1:17" s="459" customFormat="1" ht="15.6">
      <c r="A94" s="590" t="s">
        <v>787</v>
      </c>
      <c r="B94" s="603">
        <f>SUM(B91:B93)</f>
        <v>0.16343124582632046</v>
      </c>
      <c r="C94" s="849"/>
      <c r="D94" s="852"/>
      <c r="G94" s="9"/>
      <c r="H94" s="9"/>
      <c r="I94" s="9"/>
      <c r="J94" s="9"/>
      <c r="K94" s="9"/>
      <c r="L94" s="9"/>
    </row>
    <row r="95" spans="1:17" s="459" customFormat="1">
      <c r="A95" s="459" t="s">
        <v>788</v>
      </c>
      <c r="G95" s="9"/>
      <c r="H95" s="9"/>
      <c r="I95" s="9"/>
      <c r="J95" s="9"/>
      <c r="K95" s="9"/>
      <c r="L95" s="9"/>
      <c r="O95" s="461"/>
      <c r="Q95" s="135"/>
    </row>
    <row r="96" spans="1:17" s="459" customFormat="1">
      <c r="O96" s="461"/>
      <c r="Q96" s="135"/>
    </row>
    <row r="97" spans="1:17" s="459" customFormat="1">
      <c r="Q97" s="135"/>
    </row>
    <row r="98" spans="1:17" s="459" customFormat="1">
      <c r="Q98" s="135"/>
    </row>
    <row r="99" spans="1:17" s="459" customFormat="1">
      <c r="A99" s="593" t="s">
        <v>795</v>
      </c>
      <c r="B99" s="846" t="s">
        <v>784</v>
      </c>
      <c r="C99" s="846"/>
      <c r="D99" s="471"/>
      <c r="Q99" s="135"/>
    </row>
    <row r="100" spans="1:17" s="459" customFormat="1">
      <c r="A100" s="586"/>
      <c r="B100" s="598" t="s">
        <v>772</v>
      </c>
      <c r="C100" s="598" t="s">
        <v>559</v>
      </c>
      <c r="D100" s="598" t="s">
        <v>216</v>
      </c>
      <c r="Q100" s="135"/>
    </row>
    <row r="101" spans="1:17" s="459" customFormat="1">
      <c r="A101" s="595" t="str">
        <f>Commodities!K23</f>
        <v>T-TAX-ICE_GSL00</v>
      </c>
      <c r="B101" s="609">
        <f>(Stock!E64*AF!D16)/Efficiency!D17/0.041868</f>
        <v>5.5926270242130149</v>
      </c>
      <c r="C101" s="847">
        <f>'EB2018'!AM49</f>
        <v>139.18657889221006</v>
      </c>
      <c r="D101" s="850">
        <f>(B105-C101)/C101</f>
        <v>1.8672189714068362E-2</v>
      </c>
      <c r="Q101" s="135"/>
    </row>
    <row r="102" spans="1:17" s="459" customFormat="1">
      <c r="A102" s="597" t="str">
        <f>Commodities!K24</f>
        <v>T-TAX-ICE_DST00</v>
      </c>
      <c r="B102" s="609">
        <f>(Stock!E65*AF!D17)/Efficiency!D18/0.041868</f>
        <v>39.815351909987868</v>
      </c>
      <c r="C102" s="848"/>
      <c r="D102" s="851"/>
      <c r="Q102" s="135"/>
    </row>
    <row r="103" spans="1:17" s="459" customFormat="1">
      <c r="A103" s="597" t="str">
        <f>Commodities!K25</f>
        <v>T-TAX-HEV_GSL00</v>
      </c>
      <c r="B103" s="609">
        <f>(Stock!E66*AF!D18)/Efficiency!D19/0.041868</f>
        <v>2.6942012356171219</v>
      </c>
      <c r="C103" s="848"/>
      <c r="D103" s="851"/>
      <c r="Q103" s="135"/>
    </row>
    <row r="104" spans="1:17" s="459" customFormat="1">
      <c r="A104" s="597" t="str">
        <f>Commodities!K27</f>
        <v>T-BUS-ICE_DST00</v>
      </c>
      <c r="B104" s="609">
        <f>(Stock!E68*AF!D19)/Efficiency!D20/0.041868</f>
        <v>93.683316929119542</v>
      </c>
      <c r="C104" s="848"/>
      <c r="D104" s="851"/>
      <c r="Q104" s="135"/>
    </row>
    <row r="105" spans="1:17" s="459" customFormat="1" ht="15.6">
      <c r="A105" s="596" t="s">
        <v>879</v>
      </c>
      <c r="B105" s="608">
        <f>SUM(B101:B104)</f>
        <v>141.78549709893755</v>
      </c>
      <c r="C105" s="849"/>
      <c r="D105" s="852"/>
      <c r="Q105" s="135"/>
    </row>
    <row r="106" spans="1:17" s="459" customFormat="1">
      <c r="A106" s="459" t="s">
        <v>880</v>
      </c>
      <c r="Q106" s="135"/>
    </row>
    <row r="107" spans="1:17" s="459" customFormat="1">
      <c r="Q107" s="135"/>
    </row>
    <row r="108" spans="1:17" s="459" customFormat="1">
      <c r="Q108" s="135"/>
    </row>
    <row r="109" spans="1:17" s="459" customFormat="1"/>
    <row r="110" spans="1:17" s="459" customFormat="1">
      <c r="A110" s="593" t="s">
        <v>797</v>
      </c>
      <c r="B110" s="846" t="s">
        <v>784</v>
      </c>
      <c r="C110" s="846"/>
      <c r="D110" s="471"/>
    </row>
    <row r="111" spans="1:17" s="459" customFormat="1">
      <c r="A111" s="586"/>
      <c r="B111" s="598" t="s">
        <v>772</v>
      </c>
      <c r="C111" s="598" t="s">
        <v>559</v>
      </c>
      <c r="D111" s="598" t="s">
        <v>216</v>
      </c>
    </row>
    <row r="112" spans="1:17" s="459" customFormat="1">
      <c r="A112" s="595" t="str">
        <f>Commodities!K29</f>
        <v>T-LPT-EV_ELC00</v>
      </c>
      <c r="B112" s="609">
        <f>C134/Efficiency!D21/0.041868</f>
        <v>2.4094862952239589</v>
      </c>
      <c r="C112" s="847">
        <f>'EB2018'!AM50</f>
        <v>42.228937759939136</v>
      </c>
      <c r="D112" s="850" t="e">
        <f>(B116-C112)/C112</f>
        <v>#REF!</v>
      </c>
    </row>
    <row r="113" spans="1:88" s="459" customFormat="1">
      <c r="A113" s="597" t="str">
        <f>Commodities!K30</f>
        <v>T-HPT-EV_ELC00</v>
      </c>
      <c r="B113" s="609">
        <f>B112</f>
        <v>2.4094862952239589</v>
      </c>
      <c r="C113" s="848"/>
      <c r="D113" s="851"/>
    </row>
    <row r="114" spans="1:88" s="459" customFormat="1">
      <c r="A114" s="597" t="str">
        <f>Commodities!K31</f>
        <v>T-HPT-ICE_DST00</v>
      </c>
      <c r="B114" s="609" t="e">
        <f>#REF!/ACT2FLO!D68/Efficiency!D23/0.041868</f>
        <v>#REF!</v>
      </c>
      <c r="C114" s="848"/>
      <c r="D114" s="851"/>
    </row>
    <row r="115" spans="1:88" s="459" customFormat="1">
      <c r="A115" s="597" t="str">
        <f>Commodities!K38</f>
        <v>T-GTR-ICE_DST00</v>
      </c>
      <c r="B115" s="609" t="e">
        <f>#REF!/ACT2FLO!D74/Efficiency!D28/0.041868</f>
        <v>#REF!</v>
      </c>
      <c r="C115" s="848"/>
      <c r="D115" s="851"/>
    </row>
    <row r="116" spans="1:88" s="459" customFormat="1" ht="15.6">
      <c r="A116" s="596" t="s">
        <v>787</v>
      </c>
      <c r="B116" s="608" t="e">
        <f>SUM(B112:B115)</f>
        <v>#REF!</v>
      </c>
      <c r="C116" s="849"/>
      <c r="D116" s="852"/>
    </row>
    <row r="117" spans="1:88" s="459" customFormat="1"/>
    <row r="118" spans="1:88">
      <c r="A118" s="459"/>
      <c r="B118" s="459"/>
      <c r="C118" s="459"/>
      <c r="D118" s="459"/>
      <c r="E118" s="459"/>
      <c r="F118" s="459"/>
      <c r="G118" s="459"/>
      <c r="H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c r="A119" s="459"/>
      <c r="B119" s="459"/>
      <c r="C119" s="459"/>
      <c r="D119" s="459"/>
      <c r="E119" s="459"/>
      <c r="F119" s="459"/>
      <c r="G119" s="459"/>
      <c r="H119" s="459"/>
      <c r="AC119" s="7"/>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459" customFormat="1">
      <c r="AC120" s="7"/>
    </row>
    <row r="121" spans="1:88" s="520" customFormat="1" ht="18">
      <c r="A121" s="522" t="s">
        <v>21</v>
      </c>
      <c r="AC121" s="521"/>
    </row>
    <row r="122" spans="1:88" s="459" customFormat="1">
      <c r="AC122" s="7"/>
    </row>
    <row r="123" spans="1:88" s="391" customFormat="1">
      <c r="P123"/>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ht="15.6">
      <c r="A124" s="425" t="s">
        <v>461</v>
      </c>
      <c r="B124" s="11"/>
      <c r="C124" s="11"/>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39" customFormat="1">
      <c r="A125" s="131" t="s">
        <v>56</v>
      </c>
      <c r="B125" s="131" t="s">
        <v>57</v>
      </c>
      <c r="C125" s="130" t="str">
        <f>Regions!C3</f>
        <v>IE</v>
      </c>
      <c r="D125" s="130" t="str">
        <f>Regions!E3</f>
        <v>IE-CW</v>
      </c>
      <c r="E125" s="130" t="str">
        <f>Regions!F3</f>
        <v>IE-D</v>
      </c>
      <c r="F125" s="130" t="str">
        <f>Regions!G3</f>
        <v>IE-KE</v>
      </c>
      <c r="G125" s="130" t="str">
        <f>Regions!H3</f>
        <v>IE-KK</v>
      </c>
      <c r="H125" s="130" t="str">
        <f>Regions!I3</f>
        <v>IE-LS</v>
      </c>
      <c r="I125" s="130" t="str">
        <f>Regions!J3</f>
        <v>IE-LD</v>
      </c>
      <c r="J125" s="130" t="str">
        <f>Regions!K3</f>
        <v>IE-LH</v>
      </c>
      <c r="K125" s="130" t="str">
        <f>Regions!L3</f>
        <v>IE-MH</v>
      </c>
      <c r="L125" s="130" t="str">
        <f>Regions!M3</f>
        <v>IE-OY</v>
      </c>
      <c r="M125" s="130" t="str">
        <f>Regions!N3</f>
        <v>IE-WH</v>
      </c>
      <c r="N125" s="130" t="str">
        <f>Regions!O3</f>
        <v>IE-WX</v>
      </c>
      <c r="O125" s="130" t="str">
        <f>Regions!P3</f>
        <v>IE-WW</v>
      </c>
      <c r="P125" s="130" t="str">
        <f>Regions!Q3</f>
        <v>IE-CE</v>
      </c>
      <c r="Q125" s="130" t="str">
        <f>Regions!R3</f>
        <v>IE-CO</v>
      </c>
      <c r="R125" s="130" t="str">
        <f>Regions!S3</f>
        <v>IE-KY</v>
      </c>
      <c r="S125" s="130" t="str">
        <f>Regions!T3</f>
        <v>IE-LK</v>
      </c>
      <c r="T125" s="130" t="str">
        <f>Regions!U3</f>
        <v>IE-TA</v>
      </c>
      <c r="U125" s="130" t="str">
        <f>Regions!V3</f>
        <v>IE-WD</v>
      </c>
      <c r="V125" s="130" t="str">
        <f>Regions!W3</f>
        <v>IE-G</v>
      </c>
      <c r="W125" s="130" t="str">
        <f>Regions!X3</f>
        <v>IE-LM</v>
      </c>
      <c r="X125" s="130" t="str">
        <f>Regions!Y3</f>
        <v>IE-MO</v>
      </c>
      <c r="Y125" s="130" t="str">
        <f>Regions!Z3</f>
        <v>IE-RN</v>
      </c>
      <c r="Z125" s="130" t="str">
        <f>Regions!AA3</f>
        <v>IE-SO</v>
      </c>
      <c r="AA125" s="130" t="str">
        <f>Regions!AB3</f>
        <v>IE-CN</v>
      </c>
      <c r="AB125" s="130" t="str">
        <f>Regions!AC3</f>
        <v>IE-DL</v>
      </c>
      <c r="AC125" s="130" t="str">
        <f>Regions!AD3</f>
        <v>IE-MN</v>
      </c>
      <c r="AD125" s="459"/>
      <c r="AE125" s="459"/>
      <c r="AF125" s="459"/>
      <c r="AG125" s="459"/>
      <c r="AH125" s="459"/>
      <c r="AI125" s="459"/>
      <c r="AJ125" s="459"/>
      <c r="AK125" s="459"/>
      <c r="AL125" s="459"/>
      <c r="AM125" s="459"/>
      <c r="AN125" s="459"/>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row>
    <row r="126" spans="1:88" s="39" customFormat="1">
      <c r="A126" s="459" t="s">
        <v>537</v>
      </c>
      <c r="B126" s="459"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459"/>
      <c r="AE126" s="459"/>
      <c r="AF126" s="459"/>
      <c r="AG126" s="459"/>
      <c r="AH126" s="459"/>
      <c r="AI126" s="459"/>
      <c r="AJ126" s="459"/>
      <c r="AK126" s="459"/>
      <c r="AL126" s="459"/>
      <c r="AM126" s="459"/>
      <c r="AN126" s="459"/>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row>
    <row r="127" spans="1:88" s="391" customFormat="1">
      <c r="A127" s="411" t="s">
        <v>562</v>
      </c>
      <c r="B127" s="411" t="s">
        <v>20</v>
      </c>
      <c r="C127" s="36">
        <f t="shared" ref="C127:C132" si="77">SUM(D127:AC127)</f>
        <v>12136</v>
      </c>
      <c r="D127" s="463">
        <v>146</v>
      </c>
      <c r="E127" s="463">
        <v>3300</v>
      </c>
      <c r="F127" s="463">
        <v>602</v>
      </c>
      <c r="G127" s="463">
        <v>239</v>
      </c>
      <c r="H127" s="463">
        <v>175</v>
      </c>
      <c r="I127" s="463">
        <v>81</v>
      </c>
      <c r="J127" s="463">
        <v>273</v>
      </c>
      <c r="K127" s="463">
        <v>477</v>
      </c>
      <c r="L127" s="463">
        <v>173</v>
      </c>
      <c r="M127" s="463">
        <v>200</v>
      </c>
      <c r="N127" s="463">
        <v>408</v>
      </c>
      <c r="O127" s="463">
        <v>441</v>
      </c>
      <c r="P127" s="463">
        <v>342</v>
      </c>
      <c r="Q127" s="463">
        <v>1584</v>
      </c>
      <c r="R127" s="463">
        <v>441</v>
      </c>
      <c r="S127" s="463">
        <v>541</v>
      </c>
      <c r="T127" s="463">
        <v>439</v>
      </c>
      <c r="U127" s="463">
        <v>357</v>
      </c>
      <c r="V127" s="463">
        <v>621</v>
      </c>
      <c r="W127" s="463">
        <v>72</v>
      </c>
      <c r="X127" s="463">
        <v>313</v>
      </c>
      <c r="Y127" s="463">
        <v>184</v>
      </c>
      <c r="Z127" s="463">
        <v>158</v>
      </c>
      <c r="AA127" s="463">
        <v>150</v>
      </c>
      <c r="AB127" s="463">
        <v>311</v>
      </c>
      <c r="AC127" s="463">
        <v>108</v>
      </c>
      <c r="AD127" s="459"/>
      <c r="AE127" s="459"/>
      <c r="AF127" s="459"/>
      <c r="AG127" s="459"/>
      <c r="AH127" s="459"/>
      <c r="AI127" s="459"/>
      <c r="AJ127" s="459"/>
      <c r="AK127" s="459"/>
      <c r="AL127" s="459"/>
      <c r="AM127" s="459"/>
      <c r="AN127" s="459"/>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row>
    <row r="128" spans="1:88" s="391" customFormat="1">
      <c r="A128" s="411"/>
      <c r="B128" s="411" t="s">
        <v>19</v>
      </c>
      <c r="C128" s="36">
        <f t="shared" si="77"/>
        <v>23286</v>
      </c>
      <c r="D128" s="463">
        <v>378</v>
      </c>
      <c r="E128" s="463">
        <v>4087</v>
      </c>
      <c r="F128" s="463">
        <v>1188</v>
      </c>
      <c r="G128" s="463">
        <v>580</v>
      </c>
      <c r="H128" s="463">
        <v>492</v>
      </c>
      <c r="I128" s="463">
        <v>256</v>
      </c>
      <c r="J128" s="463">
        <v>617</v>
      </c>
      <c r="K128" s="463">
        <v>1111</v>
      </c>
      <c r="L128" s="463">
        <v>480</v>
      </c>
      <c r="M128" s="463">
        <v>575</v>
      </c>
      <c r="N128" s="463">
        <v>963</v>
      </c>
      <c r="O128" s="463">
        <v>698</v>
      </c>
      <c r="P128" s="463">
        <v>718</v>
      </c>
      <c r="Q128" s="463">
        <v>2655</v>
      </c>
      <c r="R128" s="463">
        <v>824</v>
      </c>
      <c r="S128" s="463">
        <v>1023</v>
      </c>
      <c r="T128" s="463">
        <v>1063</v>
      </c>
      <c r="U128" s="463">
        <v>616</v>
      </c>
      <c r="V128" s="463">
        <v>1419</v>
      </c>
      <c r="W128" s="463">
        <v>211</v>
      </c>
      <c r="X128" s="463">
        <v>815</v>
      </c>
      <c r="Y128" s="463">
        <v>472</v>
      </c>
      <c r="Z128" s="463">
        <v>362</v>
      </c>
      <c r="AA128" s="463">
        <v>457</v>
      </c>
      <c r="AB128" s="463">
        <v>845</v>
      </c>
      <c r="AC128" s="463">
        <v>381</v>
      </c>
      <c r="AD128" s="459"/>
      <c r="AE128" s="459"/>
      <c r="AF128" s="459"/>
      <c r="AG128" s="459"/>
      <c r="AH128" s="459"/>
      <c r="AI128" s="459"/>
      <c r="AJ128" s="459"/>
      <c r="AK128" s="459"/>
      <c r="AL128" s="459"/>
      <c r="AM128" s="459"/>
      <c r="AN128" s="459"/>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row>
    <row r="129" spans="1:88" s="391" customFormat="1">
      <c r="A129" s="411"/>
      <c r="B129" s="411" t="s">
        <v>563</v>
      </c>
      <c r="C129" s="36">
        <f t="shared" si="77"/>
        <v>555</v>
      </c>
      <c r="D129" s="463">
        <v>5</v>
      </c>
      <c r="E129" s="463">
        <v>224</v>
      </c>
      <c r="F129" s="463">
        <v>30</v>
      </c>
      <c r="G129" s="463">
        <v>8</v>
      </c>
      <c r="H129" s="463">
        <v>6</v>
      </c>
      <c r="I129" s="463">
        <v>3</v>
      </c>
      <c r="J129" s="463">
        <v>12</v>
      </c>
      <c r="K129" s="463">
        <v>24</v>
      </c>
      <c r="L129" s="463">
        <v>6</v>
      </c>
      <c r="M129" s="463">
        <v>10</v>
      </c>
      <c r="N129" s="463">
        <v>14</v>
      </c>
      <c r="O129" s="463">
        <v>22</v>
      </c>
      <c r="P129" s="463">
        <v>11</v>
      </c>
      <c r="Q129" s="463">
        <v>59</v>
      </c>
      <c r="R129" s="463">
        <v>13</v>
      </c>
      <c r="S129" s="463">
        <v>16</v>
      </c>
      <c r="T129" s="463">
        <v>11</v>
      </c>
      <c r="U129" s="463">
        <v>11</v>
      </c>
      <c r="V129" s="463">
        <v>30</v>
      </c>
      <c r="W129" s="463">
        <v>2</v>
      </c>
      <c r="X129" s="463">
        <v>8</v>
      </c>
      <c r="Y129" s="463">
        <v>5</v>
      </c>
      <c r="Z129" s="463">
        <v>5</v>
      </c>
      <c r="AA129" s="463">
        <v>6</v>
      </c>
      <c r="AB129" s="463">
        <v>11</v>
      </c>
      <c r="AC129" s="463">
        <v>3</v>
      </c>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row>
    <row r="130" spans="1:88" s="459" customFormat="1">
      <c r="A130" s="411" t="s">
        <v>560</v>
      </c>
      <c r="B130" s="411" t="s">
        <v>20</v>
      </c>
      <c r="C130" s="36">
        <f t="shared" si="77"/>
        <v>89</v>
      </c>
      <c r="D130" s="463">
        <v>0</v>
      </c>
      <c r="E130" s="463">
        <v>56</v>
      </c>
      <c r="F130" s="463">
        <v>3</v>
      </c>
      <c r="G130" s="463">
        <v>0</v>
      </c>
      <c r="H130" s="463">
        <v>0</v>
      </c>
      <c r="I130" s="463">
        <v>0</v>
      </c>
      <c r="J130" s="463">
        <v>2</v>
      </c>
      <c r="K130" s="463">
        <v>4</v>
      </c>
      <c r="L130" s="463">
        <v>0</v>
      </c>
      <c r="M130" s="463">
        <v>1</v>
      </c>
      <c r="N130" s="463">
        <v>1</v>
      </c>
      <c r="O130" s="463">
        <v>1</v>
      </c>
      <c r="P130" s="463">
        <v>2</v>
      </c>
      <c r="Q130" s="463">
        <v>6</v>
      </c>
      <c r="R130" s="463">
        <v>1</v>
      </c>
      <c r="S130" s="463">
        <v>5</v>
      </c>
      <c r="T130" s="463">
        <v>0</v>
      </c>
      <c r="U130" s="463">
        <v>1</v>
      </c>
      <c r="V130" s="463">
        <v>4</v>
      </c>
      <c r="W130" s="463">
        <v>0</v>
      </c>
      <c r="X130" s="463">
        <v>1</v>
      </c>
      <c r="Y130" s="463">
        <v>0</v>
      </c>
      <c r="Z130" s="463">
        <v>0</v>
      </c>
      <c r="AA130" s="463">
        <v>0</v>
      </c>
      <c r="AB130" s="463">
        <v>1</v>
      </c>
      <c r="AC130" s="463">
        <v>0</v>
      </c>
    </row>
    <row r="131" spans="1:88" s="459" customFormat="1">
      <c r="A131" s="411"/>
      <c r="B131" s="411" t="s">
        <v>19</v>
      </c>
      <c r="C131" s="36">
        <f t="shared" si="77"/>
        <v>696</v>
      </c>
      <c r="D131" s="463">
        <v>5</v>
      </c>
      <c r="E131" s="463">
        <v>331</v>
      </c>
      <c r="F131" s="463">
        <v>30</v>
      </c>
      <c r="G131" s="463">
        <v>9</v>
      </c>
      <c r="H131" s="463">
        <v>8</v>
      </c>
      <c r="I131" s="463">
        <v>4</v>
      </c>
      <c r="J131" s="463">
        <v>22</v>
      </c>
      <c r="K131" s="463">
        <v>36</v>
      </c>
      <c r="L131" s="463">
        <v>6</v>
      </c>
      <c r="M131" s="463">
        <v>11</v>
      </c>
      <c r="N131" s="463">
        <v>10</v>
      </c>
      <c r="O131" s="463">
        <v>12</v>
      </c>
      <c r="P131" s="463">
        <v>12</v>
      </c>
      <c r="Q131" s="463">
        <v>62</v>
      </c>
      <c r="R131" s="463">
        <v>17</v>
      </c>
      <c r="S131" s="463">
        <v>20</v>
      </c>
      <c r="T131" s="463">
        <v>10</v>
      </c>
      <c r="U131" s="463">
        <v>10</v>
      </c>
      <c r="V131" s="463">
        <v>33</v>
      </c>
      <c r="W131" s="463">
        <v>3</v>
      </c>
      <c r="X131" s="463">
        <v>10</v>
      </c>
      <c r="Y131" s="463">
        <v>5</v>
      </c>
      <c r="Z131" s="463">
        <v>6</v>
      </c>
      <c r="AA131" s="643">
        <v>7</v>
      </c>
      <c r="AB131" s="643">
        <v>14</v>
      </c>
      <c r="AC131" s="463">
        <v>3</v>
      </c>
    </row>
    <row r="132" spans="1:88" s="459" customFormat="1">
      <c r="A132" s="411"/>
      <c r="B132" s="411" t="s">
        <v>563</v>
      </c>
      <c r="C132" s="36">
        <f t="shared" si="77"/>
        <v>55</v>
      </c>
      <c r="D132" s="463">
        <v>0</v>
      </c>
      <c r="E132" s="463">
        <v>43</v>
      </c>
      <c r="F132" s="463">
        <v>2</v>
      </c>
      <c r="G132" s="463">
        <v>0</v>
      </c>
      <c r="H132" s="463">
        <v>1</v>
      </c>
      <c r="I132" s="463">
        <v>0</v>
      </c>
      <c r="J132" s="463">
        <v>1</v>
      </c>
      <c r="K132" s="463">
        <v>2</v>
      </c>
      <c r="L132" s="463">
        <v>0</v>
      </c>
      <c r="M132" s="463">
        <v>0</v>
      </c>
      <c r="N132" s="463">
        <v>0</v>
      </c>
      <c r="O132" s="463">
        <v>1</v>
      </c>
      <c r="P132" s="463">
        <v>0</v>
      </c>
      <c r="Q132" s="463">
        <v>2</v>
      </c>
      <c r="R132" s="463">
        <v>0</v>
      </c>
      <c r="S132" s="463">
        <v>2</v>
      </c>
      <c r="T132" s="463">
        <v>0</v>
      </c>
      <c r="U132" s="463">
        <v>0</v>
      </c>
      <c r="V132" s="463">
        <v>1</v>
      </c>
      <c r="W132" s="463">
        <v>0</v>
      </c>
      <c r="X132" s="463">
        <v>0</v>
      </c>
      <c r="Y132" s="463">
        <v>0</v>
      </c>
      <c r="Z132" s="463">
        <v>0</v>
      </c>
      <c r="AA132" s="463">
        <v>0</v>
      </c>
      <c r="AB132" s="463">
        <v>0</v>
      </c>
      <c r="AC132" s="642">
        <v>0</v>
      </c>
    </row>
    <row r="133" spans="1:88" s="459" customFormat="1">
      <c r="A133" s="411" t="s">
        <v>561</v>
      </c>
      <c r="B133" s="411"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459" customFormat="1">
      <c r="A134" s="411" t="s">
        <v>798</v>
      </c>
      <c r="B134" s="411"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33" customFormat="1">
      <c r="A135" s="839" t="s">
        <v>16</v>
      </c>
      <c r="B135" s="839"/>
      <c r="C135" s="400">
        <f>SUM(C127:C134)</f>
        <v>37181.287811015805</v>
      </c>
      <c r="D135" s="400">
        <f t="shared" ref="D135:AC135" si="78">SUM(D127:D134)</f>
        <v>538</v>
      </c>
      <c r="E135" s="400">
        <f>SUM(E127:E134)</f>
        <v>8175.0654789999999</v>
      </c>
      <c r="F135" s="400">
        <f t="shared" si="78"/>
        <v>1872</v>
      </c>
      <c r="G135" s="400">
        <f t="shared" si="78"/>
        <v>847</v>
      </c>
      <c r="H135" s="400">
        <f t="shared" si="78"/>
        <v>687</v>
      </c>
      <c r="I135" s="400">
        <f t="shared" si="78"/>
        <v>347</v>
      </c>
      <c r="J135" s="400">
        <f t="shared" si="78"/>
        <v>935</v>
      </c>
      <c r="K135" s="400">
        <f t="shared" si="78"/>
        <v>1665</v>
      </c>
      <c r="L135" s="400">
        <f t="shared" si="78"/>
        <v>672</v>
      </c>
      <c r="M135" s="400">
        <f t="shared" si="78"/>
        <v>802</v>
      </c>
      <c r="N135" s="400">
        <f t="shared" si="78"/>
        <v>1406</v>
      </c>
      <c r="O135" s="400">
        <f t="shared" si="78"/>
        <v>1184</v>
      </c>
      <c r="P135" s="400">
        <f t="shared" si="78"/>
        <v>1092</v>
      </c>
      <c r="Q135" s="400">
        <f t="shared" si="78"/>
        <v>4397</v>
      </c>
      <c r="R135" s="400">
        <f t="shared" si="78"/>
        <v>1314</v>
      </c>
      <c r="S135" s="400">
        <f t="shared" si="78"/>
        <v>1618</v>
      </c>
      <c r="T135" s="400">
        <f t="shared" si="78"/>
        <v>1536</v>
      </c>
      <c r="U135" s="400">
        <f t="shared" si="78"/>
        <v>1001</v>
      </c>
      <c r="V135" s="400">
        <f t="shared" si="78"/>
        <v>2129</v>
      </c>
      <c r="W135" s="400">
        <f t="shared" si="78"/>
        <v>290</v>
      </c>
      <c r="X135" s="400">
        <f t="shared" si="78"/>
        <v>1160</v>
      </c>
      <c r="Y135" s="400">
        <f t="shared" si="78"/>
        <v>670</v>
      </c>
      <c r="Z135" s="400">
        <f t="shared" si="78"/>
        <v>535</v>
      </c>
      <c r="AA135" s="400">
        <f t="shared" si="78"/>
        <v>621.67193675889337</v>
      </c>
      <c r="AB135" s="400">
        <f t="shared" si="78"/>
        <v>1182.550395256917</v>
      </c>
      <c r="AC135" s="400">
        <f t="shared" si="78"/>
        <v>505</v>
      </c>
      <c r="AD135" s="459"/>
      <c r="AE135" s="459"/>
      <c r="AF135" s="459"/>
      <c r="AG135" s="459"/>
      <c r="AH135" s="459"/>
      <c r="AI135" s="459"/>
      <c r="AJ135" s="459"/>
      <c r="AK135" s="459"/>
      <c r="AL135" s="459"/>
      <c r="AM135" s="459"/>
      <c r="AN135" s="459"/>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row>
    <row r="136" spans="1:88" s="391" customFormat="1">
      <c r="A136" s="411" t="s">
        <v>564</v>
      </c>
      <c r="AA136" s="459"/>
      <c r="AB136" s="459"/>
      <c r="AD136" s="459"/>
      <c r="AE136" s="459"/>
      <c r="AF136" s="459"/>
      <c r="AG136" s="459"/>
      <c r="AH136" s="459"/>
      <c r="AI136" s="459"/>
      <c r="AJ136" s="459"/>
      <c r="AK136" s="459"/>
      <c r="AL136" s="459"/>
      <c r="AM136" s="459"/>
      <c r="AN136" s="459"/>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row>
    <row r="137" spans="1:88" s="459" customFormat="1">
      <c r="A137" s="411"/>
    </row>
    <row r="138" spans="1:88" s="391" customFormat="1">
      <c r="B138" s="8"/>
      <c r="D138" s="9"/>
      <c r="AA138" s="459"/>
      <c r="AB138" s="459"/>
      <c r="AD138" s="459"/>
      <c r="AE138" s="459"/>
      <c r="AF138" s="459"/>
      <c r="AG138" s="459"/>
      <c r="AH138" s="459"/>
      <c r="AI138" s="459"/>
      <c r="AJ138" s="459"/>
      <c r="AK138" s="459"/>
      <c r="AL138" s="459"/>
      <c r="AM138" s="459"/>
      <c r="AN138" s="459"/>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row>
    <row r="139" spans="1:88" s="459" customFormat="1">
      <c r="B139" s="8"/>
      <c r="E139" s="35"/>
    </row>
    <row r="140" spans="1:88" s="459" customFormat="1" ht="15.6">
      <c r="A140" s="425" t="s">
        <v>565</v>
      </c>
      <c r="B140" s="11"/>
      <c r="C140" s="11"/>
    </row>
    <row r="141" spans="1:88" s="459" customFormat="1">
      <c r="A141" s="131" t="s">
        <v>567</v>
      </c>
      <c r="B141" s="131" t="s">
        <v>568</v>
      </c>
      <c r="C141" s="130" t="str">
        <f>Regions!C3</f>
        <v>IE</v>
      </c>
      <c r="D141" s="130" t="str">
        <f>Regions!E3</f>
        <v>IE-CW</v>
      </c>
      <c r="E141" s="130" t="str">
        <f>Regions!F3</f>
        <v>IE-D</v>
      </c>
      <c r="F141" s="130" t="str">
        <f>Regions!G3</f>
        <v>IE-KE</v>
      </c>
      <c r="G141" s="130" t="str">
        <f>Regions!H3</f>
        <v>IE-KK</v>
      </c>
      <c r="H141" s="130" t="str">
        <f>Regions!I3</f>
        <v>IE-LS</v>
      </c>
      <c r="I141" s="130" t="str">
        <f>Regions!J3</f>
        <v>IE-LD</v>
      </c>
      <c r="J141" s="130" t="str">
        <f>Regions!K3</f>
        <v>IE-LH</v>
      </c>
      <c r="K141" s="130" t="str">
        <f>Regions!L3</f>
        <v>IE-MH</v>
      </c>
      <c r="L141" s="130" t="str">
        <f>Regions!M3</f>
        <v>IE-OY</v>
      </c>
      <c r="M141" s="130" t="str">
        <f>Regions!N3</f>
        <v>IE-WH</v>
      </c>
      <c r="N141" s="130" t="str">
        <f>Regions!O3</f>
        <v>IE-WX</v>
      </c>
      <c r="O141" s="130" t="str">
        <f>Regions!P3</f>
        <v>IE-WW</v>
      </c>
      <c r="P141" s="130" t="str">
        <f>Regions!Q3</f>
        <v>IE-CE</v>
      </c>
      <c r="Q141" s="130" t="str">
        <f>Regions!R3</f>
        <v>IE-CO</v>
      </c>
      <c r="R141" s="130" t="str">
        <f>Regions!S3</f>
        <v>IE-KY</v>
      </c>
      <c r="S141" s="130" t="str">
        <f>Regions!T3</f>
        <v>IE-LK</v>
      </c>
      <c r="T141" s="130" t="str">
        <f>Regions!U3</f>
        <v>IE-TA</v>
      </c>
      <c r="U141" s="130" t="str">
        <f>Regions!V3</f>
        <v>IE-WD</v>
      </c>
      <c r="V141" s="130" t="str">
        <f>Regions!W3</f>
        <v>IE-G</v>
      </c>
      <c r="W141" s="130" t="str">
        <f>Regions!X3</f>
        <v>IE-LM</v>
      </c>
      <c r="X141" s="130" t="str">
        <f>Regions!Y3</f>
        <v>IE-MO</v>
      </c>
      <c r="Y141" s="130" t="str">
        <f>Regions!Z3</f>
        <v>IE-RN</v>
      </c>
      <c r="Z141" s="130" t="str">
        <f>Regions!AA3</f>
        <v>IE-SO</v>
      </c>
      <c r="AA141" s="130" t="str">
        <f>Regions!AB3</f>
        <v>IE-CN</v>
      </c>
      <c r="AB141" s="130" t="str">
        <f>Regions!AC3</f>
        <v>IE-DL</v>
      </c>
      <c r="AC141" s="130" t="str">
        <f>Regions!AD3</f>
        <v>IE-MN</v>
      </c>
    </row>
    <row r="142" spans="1:88" s="459" customFormat="1" ht="16.2">
      <c r="A142" s="459" t="s">
        <v>578</v>
      </c>
      <c r="B142" s="459" t="s">
        <v>360</v>
      </c>
      <c r="C142" s="463">
        <f>C135*B240*I240/H240</f>
        <v>4713.1209901287639</v>
      </c>
      <c r="D142" s="463">
        <f t="shared" ref="D142:AC142" si="79">$C$142*C185</f>
        <v>56.349225400134316</v>
      </c>
      <c r="E142" s="463">
        <f>$C$142*D185</f>
        <v>1333.5669919535535</v>
      </c>
      <c r="F142" s="463">
        <f t="shared" si="79"/>
        <v>220.22637617563907</v>
      </c>
      <c r="G142" s="463">
        <f t="shared" si="79"/>
        <v>98.216228744926028</v>
      </c>
      <c r="H142" s="463">
        <f t="shared" si="79"/>
        <v>83.830013765811429</v>
      </c>
      <c r="I142" s="463">
        <f t="shared" si="79"/>
        <v>40.454610584200275</v>
      </c>
      <c r="J142" s="463">
        <f t="shared" si="79"/>
        <v>127.56470116052328</v>
      </c>
      <c r="K142" s="463">
        <f t="shared" si="79"/>
        <v>193.04746573006037</v>
      </c>
      <c r="L142" s="463">
        <f t="shared" si="79"/>
        <v>77.162965668163267</v>
      </c>
      <c r="M142" s="463">
        <f t="shared" si="79"/>
        <v>87.861321203715363</v>
      </c>
      <c r="N142" s="463">
        <f t="shared" si="79"/>
        <v>148.18939656711356</v>
      </c>
      <c r="O142" s="463">
        <f t="shared" si="79"/>
        <v>140.96709104921888</v>
      </c>
      <c r="P142" s="463">
        <f t="shared" si="79"/>
        <v>117.60075026993182</v>
      </c>
      <c r="Q142" s="463">
        <f t="shared" si="79"/>
        <v>537.31102533759781</v>
      </c>
      <c r="R142" s="463">
        <f t="shared" si="79"/>
        <v>146.19502276711938</v>
      </c>
      <c r="S142" s="463">
        <f t="shared" si="79"/>
        <v>192.90394999755458</v>
      </c>
      <c r="T142" s="463">
        <f t="shared" si="79"/>
        <v>157.91976323100596</v>
      </c>
      <c r="U142" s="463">
        <f t="shared" si="79"/>
        <v>114.98678441098158</v>
      </c>
      <c r="V142" s="463">
        <f t="shared" si="79"/>
        <v>255.41643378605812</v>
      </c>
      <c r="W142" s="463">
        <f t="shared" si="79"/>
        <v>31.715987120106512</v>
      </c>
      <c r="X142" s="463">
        <f t="shared" si="79"/>
        <v>129.17108760091566</v>
      </c>
      <c r="Y142" s="463">
        <f t="shared" si="79"/>
        <v>63.883306474851913</v>
      </c>
      <c r="Z142" s="463">
        <f t="shared" si="79"/>
        <v>64.86416227425353</v>
      </c>
      <c r="AA142" s="463">
        <f t="shared" si="79"/>
        <v>75.396237512833409</v>
      </c>
      <c r="AB142" s="463">
        <f t="shared" si="79"/>
        <v>157.56245854525014</v>
      </c>
      <c r="AC142" s="463">
        <f t="shared" si="79"/>
        <v>60.757632797243112</v>
      </c>
    </row>
    <row r="143" spans="1:88" s="459" customFormat="1">
      <c r="B143" s="459" t="s">
        <v>361</v>
      </c>
      <c r="C143" s="463">
        <f>C135*B240*K240/H240</f>
        <v>785.52016502146068</v>
      </c>
      <c r="D143" s="463">
        <f t="shared" ref="D143:AC143" si="80">$C$143*C185</f>
        <v>9.3915375666890526</v>
      </c>
      <c r="E143" s="463">
        <f t="shared" si="80"/>
        <v>222.26116532559226</v>
      </c>
      <c r="F143" s="463">
        <f t="shared" si="80"/>
        <v>36.704396029273184</v>
      </c>
      <c r="G143" s="463">
        <f t="shared" si="80"/>
        <v>16.36937145748767</v>
      </c>
      <c r="H143" s="463">
        <f t="shared" si="80"/>
        <v>13.971668960968572</v>
      </c>
      <c r="I143" s="463">
        <f t="shared" si="80"/>
        <v>6.7424350973667124</v>
      </c>
      <c r="J143" s="463">
        <f t="shared" si="80"/>
        <v>21.260783526753883</v>
      </c>
      <c r="K143" s="463">
        <f t="shared" si="80"/>
        <v>32.174577621676733</v>
      </c>
      <c r="L143" s="463">
        <f t="shared" si="80"/>
        <v>12.860494278027211</v>
      </c>
      <c r="M143" s="463">
        <f t="shared" si="80"/>
        <v>14.643553533952561</v>
      </c>
      <c r="N143" s="463">
        <f t="shared" si="80"/>
        <v>24.698232761185597</v>
      </c>
      <c r="O143" s="463">
        <f t="shared" si="80"/>
        <v>23.494515174869814</v>
      </c>
      <c r="P143" s="463">
        <f t="shared" si="80"/>
        <v>19.600125044988637</v>
      </c>
      <c r="Q143" s="463">
        <f t="shared" si="80"/>
        <v>89.551837556266307</v>
      </c>
      <c r="R143" s="463">
        <f t="shared" si="80"/>
        <v>24.365837127853229</v>
      </c>
      <c r="S143" s="463">
        <f t="shared" si="80"/>
        <v>32.150658332925765</v>
      </c>
      <c r="T143" s="463">
        <f t="shared" si="80"/>
        <v>26.319960538500993</v>
      </c>
      <c r="U143" s="463">
        <f t="shared" si="80"/>
        <v>19.164464068496933</v>
      </c>
      <c r="V143" s="463">
        <f t="shared" si="80"/>
        <v>42.569405631009687</v>
      </c>
      <c r="W143" s="463">
        <f t="shared" si="80"/>
        <v>5.2859978533510859</v>
      </c>
      <c r="X143" s="463">
        <f t="shared" si="80"/>
        <v>21.528514600152608</v>
      </c>
      <c r="Y143" s="463">
        <f t="shared" si="80"/>
        <v>10.647217745808652</v>
      </c>
      <c r="Z143" s="463">
        <f t="shared" si="80"/>
        <v>10.81069371237559</v>
      </c>
      <c r="AA143" s="463">
        <f t="shared" si="80"/>
        <v>12.566039585472234</v>
      </c>
      <c r="AB143" s="463">
        <f t="shared" si="80"/>
        <v>26.260409757541691</v>
      </c>
      <c r="AC143" s="463">
        <f t="shared" si="80"/>
        <v>10.126272132873853</v>
      </c>
    </row>
    <row r="144" spans="1:88" s="459" customFormat="1" ht="16.2">
      <c r="A144" s="459" t="s">
        <v>579</v>
      </c>
      <c r="B144" s="459" t="s">
        <v>566</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459" customFormat="1" ht="16.2">
      <c r="A145" s="411" t="s">
        <v>580</v>
      </c>
      <c r="B145" s="411" t="s">
        <v>569</v>
      </c>
      <c r="C145" s="463">
        <f>C127*ACT2FLO!D53</f>
        <v>18107.051841077624</v>
      </c>
      <c r="D145" s="463">
        <f>D127*ACT2FLO!E53</f>
        <v>217.83368233333329</v>
      </c>
      <c r="E145" s="463">
        <f>E127*ACT2FLO!F53</f>
        <v>4923.638025342465</v>
      </c>
      <c r="F145" s="463">
        <f>F127*ACT2FLO!G53</f>
        <v>898.19093674429212</v>
      </c>
      <c r="G145" s="463">
        <f>G127*ACT2FLO!H53</f>
        <v>356.59075395662097</v>
      </c>
      <c r="H145" s="463">
        <f>H127*ACT2FLO!I53</f>
        <v>261.10201649543376</v>
      </c>
      <c r="I145" s="463">
        <f>I127*ACT2FLO!J53</f>
        <v>120.85293334931505</v>
      </c>
      <c r="J145" s="463">
        <f>J127*ACT2FLO!K53</f>
        <v>407.31914573287662</v>
      </c>
      <c r="K145" s="463">
        <f>K127*ACT2FLO!L53</f>
        <v>711.6894963904108</v>
      </c>
      <c r="L145" s="463">
        <f>L127*ACT2FLO!M53</f>
        <v>258.11799344977163</v>
      </c>
      <c r="M145" s="463">
        <f>M127*ACT2FLO!N53</f>
        <v>298.40230456620998</v>
      </c>
      <c r="N145" s="463">
        <f>N127*ACT2FLO!O53</f>
        <v>608.74070131506835</v>
      </c>
      <c r="O145" s="463">
        <f>O127*ACT2FLO!P53</f>
        <v>657.97708156849308</v>
      </c>
      <c r="P145" s="463">
        <f>P127*ACT2FLO!Q53</f>
        <v>510.26794080821912</v>
      </c>
      <c r="Q145" s="463">
        <f>Q127*ACT2FLO!R53</f>
        <v>2363.3462521643833</v>
      </c>
      <c r="R145" s="463">
        <f>R127*ACT2FLO!S53</f>
        <v>657.97708156849308</v>
      </c>
      <c r="S145" s="463">
        <f>S127*ACT2FLO!T53</f>
        <v>807.17823385159807</v>
      </c>
      <c r="T145" s="463">
        <f>T127*ACT2FLO!U53</f>
        <v>654.99305852283089</v>
      </c>
      <c r="U145" s="463">
        <f>U127*ACT2FLO!V53</f>
        <v>532.64811365068488</v>
      </c>
      <c r="V145" s="463">
        <f>V127*ACT2FLO!W53</f>
        <v>926.53915567808201</v>
      </c>
      <c r="W145" s="463">
        <f>W127*ACT2FLO!X53</f>
        <v>107.42482964383559</v>
      </c>
      <c r="X145" s="463">
        <f>X127*ACT2FLO!Y53</f>
        <v>466.99960664611865</v>
      </c>
      <c r="Y145" s="463">
        <f>Y127*ACT2FLO!Z53</f>
        <v>274.53012020091319</v>
      </c>
      <c r="Z145" s="463">
        <f>Z127*ACT2FLO!AA53</f>
        <v>235.73782060730591</v>
      </c>
      <c r="AA145" s="463">
        <f>AA127*ACT2FLO!AB53</f>
        <v>223.80172842465751</v>
      </c>
      <c r="AB145" s="463">
        <f>AB127*ACT2FLO!AC53</f>
        <v>464.01558360045652</v>
      </c>
      <c r="AC145" s="463">
        <f>AC127*ACT2FLO!AD53</f>
        <v>161.13724446575341</v>
      </c>
    </row>
    <row r="146" spans="1:29" s="459" customFormat="1">
      <c r="A146" s="411"/>
      <c r="B146" s="411" t="s">
        <v>570</v>
      </c>
      <c r="C146" s="463">
        <f>C128*ACT2FLO!D54</f>
        <v>34742.98032064383</v>
      </c>
      <c r="D146" s="463">
        <f>D128*ACT2FLO!E54</f>
        <v>563.98035563013684</v>
      </c>
      <c r="E146" s="463">
        <f>E128*ACT2FLO!F54</f>
        <v>6097.851093810501</v>
      </c>
      <c r="F146" s="463">
        <f>F128*ACT2FLO!G54</f>
        <v>1772.5096891232874</v>
      </c>
      <c r="G146" s="463">
        <f>G128*ACT2FLO!H54</f>
        <v>865.366683242009</v>
      </c>
      <c r="H146" s="463">
        <f>H128*ACT2FLO!I54</f>
        <v>734.06966923287655</v>
      </c>
      <c r="I146" s="463">
        <f>I128*ACT2FLO!J54</f>
        <v>381.9549498447488</v>
      </c>
      <c r="J146" s="463">
        <f>J128*ACT2FLO!K54</f>
        <v>920.57110958675787</v>
      </c>
      <c r="K146" s="463">
        <f>K128*ACT2FLO!L54</f>
        <v>1657.6248018652966</v>
      </c>
      <c r="L146" s="463">
        <f>L128*ACT2FLO!M54</f>
        <v>716.16553095890401</v>
      </c>
      <c r="M146" s="463">
        <f>M128*ACT2FLO!N54</f>
        <v>857.90662562785371</v>
      </c>
      <c r="N146" s="463">
        <f>N128*ACT2FLO!O54</f>
        <v>1436.8070964863011</v>
      </c>
      <c r="O146" s="463">
        <f>O128*ACT2FLO!P54</f>
        <v>1041.424042936073</v>
      </c>
      <c r="P146" s="463">
        <f>P128*ACT2FLO!Q54</f>
        <v>1071.2642733926939</v>
      </c>
      <c r="Q146" s="463">
        <f>Q128*ACT2FLO!R54</f>
        <v>3961.2905931164378</v>
      </c>
      <c r="R146" s="463">
        <f>R128*ACT2FLO!S54</f>
        <v>1229.4174948127852</v>
      </c>
      <c r="S146" s="463">
        <f>S128*ACT2FLO!T54</f>
        <v>1526.3277878561642</v>
      </c>
      <c r="T146" s="463">
        <f>T128*ACT2FLO!U54</f>
        <v>1586.0082487694062</v>
      </c>
      <c r="U146" s="463">
        <f>U128*ACT2FLO!V54</f>
        <v>919.07909806392684</v>
      </c>
      <c r="V146" s="463">
        <f>V128*ACT2FLO!W54</f>
        <v>2117.1643508972597</v>
      </c>
      <c r="W146" s="463">
        <f>W128*ACT2FLO!X54</f>
        <v>314.81443131735153</v>
      </c>
      <c r="X146" s="463">
        <f>X128*ACT2FLO!Y54</f>
        <v>1215.9893911073057</v>
      </c>
      <c r="Y146" s="463">
        <f>Y128*ACT2FLO!Z54</f>
        <v>704.22943877625562</v>
      </c>
      <c r="Z146" s="463">
        <f>Z128*ACT2FLO!AA54</f>
        <v>540.10817126484005</v>
      </c>
      <c r="AA146" s="463">
        <f>AA128*ACT2FLO!AB54</f>
        <v>681.84926593378987</v>
      </c>
      <c r="AB146" s="463">
        <f>AB128*ACT2FLO!AC54</f>
        <v>1260.7497367922372</v>
      </c>
      <c r="AC146" s="463">
        <f>AC128*ACT2FLO!AD54</f>
        <v>568.45639019863006</v>
      </c>
    </row>
    <row r="147" spans="1:29" s="459" customFormat="1">
      <c r="A147" s="411"/>
      <c r="B147" s="411" t="s">
        <v>571</v>
      </c>
      <c r="C147" s="463">
        <f>C129*ACT2FLO!D55</f>
        <v>828.06639517123278</v>
      </c>
      <c r="D147" s="463">
        <f>D129*ACT2FLO!E55</f>
        <v>7.4600576141552501</v>
      </c>
      <c r="E147" s="463">
        <f>E129*ACT2FLO!F55</f>
        <v>334.21058111415522</v>
      </c>
      <c r="F147" s="463">
        <f>F129*ACT2FLO!G55</f>
        <v>44.760345684931501</v>
      </c>
      <c r="G147" s="463">
        <f>G129*ACT2FLO!H55</f>
        <v>11.9360921826484</v>
      </c>
      <c r="H147" s="463">
        <f>H129*ACT2FLO!I55</f>
        <v>8.9520691369862995</v>
      </c>
      <c r="I147" s="463">
        <f>I129*ACT2FLO!J55</f>
        <v>4.4760345684931497</v>
      </c>
      <c r="J147" s="463">
        <f>J129*ACT2FLO!K55</f>
        <v>17.904138273972599</v>
      </c>
      <c r="K147" s="463">
        <f>K129*ACT2FLO!L55</f>
        <v>35.808276547945198</v>
      </c>
      <c r="L147" s="463">
        <f>L129*ACT2FLO!M55</f>
        <v>8.9520691369862995</v>
      </c>
      <c r="M147" s="463">
        <f>M129*ACT2FLO!N55</f>
        <v>14.9201152283105</v>
      </c>
      <c r="N147" s="463">
        <f>N129*ACT2FLO!O55</f>
        <v>20.888161319634701</v>
      </c>
      <c r="O147" s="463">
        <f>O129*ACT2FLO!P55</f>
        <v>32.824253502283099</v>
      </c>
      <c r="P147" s="463">
        <f>P129*ACT2FLO!Q55</f>
        <v>16.41212675114155</v>
      </c>
      <c r="Q147" s="463">
        <f>Q129*ACT2FLO!R55</f>
        <v>88.028679847031952</v>
      </c>
      <c r="R147" s="463">
        <f>R129*ACT2FLO!S55</f>
        <v>19.396149796803648</v>
      </c>
      <c r="S147" s="463">
        <f>S129*ACT2FLO!T55</f>
        <v>23.8721843652968</v>
      </c>
      <c r="T147" s="463">
        <f>T129*ACT2FLO!U55</f>
        <v>16.41212675114155</v>
      </c>
      <c r="U147" s="463">
        <f>U129*ACT2FLO!V55</f>
        <v>16.41212675114155</v>
      </c>
      <c r="V147" s="463">
        <f>V129*ACT2FLO!W55</f>
        <v>44.760345684931501</v>
      </c>
      <c r="W147" s="463">
        <f>W129*ACT2FLO!X55</f>
        <v>2.9840230456621</v>
      </c>
      <c r="X147" s="463">
        <f>X129*ACT2FLO!Y55</f>
        <v>11.9360921826484</v>
      </c>
      <c r="Y147" s="463">
        <f>Y129*ACT2FLO!Z55</f>
        <v>7.4600576141552501</v>
      </c>
      <c r="Z147" s="463">
        <f>Z129*ACT2FLO!AA55</f>
        <v>7.4600576141552501</v>
      </c>
      <c r="AA147" s="463">
        <f>AA129*ACT2FLO!AB55</f>
        <v>8.9520691369862995</v>
      </c>
      <c r="AB147" s="463">
        <f>AB129*ACT2FLO!AC55</f>
        <v>16.41212675114155</v>
      </c>
      <c r="AC147" s="463">
        <f>AC129*ACT2FLO!AD55</f>
        <v>4.4760345684931497</v>
      </c>
    </row>
    <row r="148" spans="1:29" s="459" customFormat="1">
      <c r="A148" s="411"/>
      <c r="B148" s="39" t="s">
        <v>586</v>
      </c>
      <c r="C148" s="463">
        <f>SUM(C145:C147)</f>
        <v>53678.098556892684</v>
      </c>
      <c r="D148" s="463">
        <f>SUM(D145:D147)</f>
        <v>789.27409557762542</v>
      </c>
      <c r="E148" s="463">
        <f>SUM(E145:E147)</f>
        <v>11355.699700267121</v>
      </c>
      <c r="F148" s="463">
        <f t="shared" ref="F148:AC148" si="81">SUM(F145:F147)</f>
        <v>2715.4609715525112</v>
      </c>
      <c r="G148" s="463">
        <f t="shared" si="81"/>
        <v>1233.8935293812785</v>
      </c>
      <c r="H148" s="463">
        <f t="shared" si="81"/>
        <v>1004.1237548652966</v>
      </c>
      <c r="I148" s="463">
        <f t="shared" si="81"/>
        <v>507.283917762557</v>
      </c>
      <c r="J148" s="463">
        <f t="shared" si="81"/>
        <v>1345.7943935936071</v>
      </c>
      <c r="K148" s="463">
        <f t="shared" si="81"/>
        <v>2405.1225748036527</v>
      </c>
      <c r="L148" s="463">
        <f t="shared" si="81"/>
        <v>983.23559354566203</v>
      </c>
      <c r="M148" s="463">
        <f t="shared" si="81"/>
        <v>1171.2290454223742</v>
      </c>
      <c r="N148" s="463">
        <f t="shared" si="81"/>
        <v>2066.4359591210041</v>
      </c>
      <c r="O148" s="463">
        <f t="shared" si="81"/>
        <v>1732.225378006849</v>
      </c>
      <c r="P148" s="463">
        <f t="shared" si="81"/>
        <v>1597.9443409520547</v>
      </c>
      <c r="Q148" s="463">
        <f t="shared" si="81"/>
        <v>6412.6655251278526</v>
      </c>
      <c r="R148" s="463">
        <f t="shared" si="81"/>
        <v>1906.790726178082</v>
      </c>
      <c r="S148" s="463">
        <f t="shared" si="81"/>
        <v>2357.3782060730591</v>
      </c>
      <c r="T148" s="463">
        <f t="shared" si="81"/>
        <v>2257.4134340433784</v>
      </c>
      <c r="U148" s="463">
        <f t="shared" si="81"/>
        <v>1468.1393384657533</v>
      </c>
      <c r="V148" s="463">
        <f t="shared" si="81"/>
        <v>3088.4638522602731</v>
      </c>
      <c r="W148" s="463">
        <f t="shared" si="81"/>
        <v>425.22328400684927</v>
      </c>
      <c r="X148" s="463">
        <f t="shared" si="81"/>
        <v>1694.9250899360729</v>
      </c>
      <c r="Y148" s="463">
        <f t="shared" si="81"/>
        <v>986.2196165913241</v>
      </c>
      <c r="Z148" s="463">
        <f t="shared" si="81"/>
        <v>783.30604948630128</v>
      </c>
      <c r="AA148" s="463">
        <f t="shared" ref="AA148" si="82">SUM(AA145:AA147)</f>
        <v>914.60306349543373</v>
      </c>
      <c r="AB148" s="463">
        <f t="shared" ref="AB148" si="83">SUM(AB145:AB147)</f>
        <v>1741.1774471438353</v>
      </c>
      <c r="AC148" s="463">
        <f t="shared" si="81"/>
        <v>734.06966923287655</v>
      </c>
    </row>
    <row r="149" spans="1:29" s="459" customFormat="1" ht="16.2">
      <c r="A149" s="411" t="s">
        <v>581</v>
      </c>
      <c r="B149" s="411" t="s">
        <v>572</v>
      </c>
      <c r="C149" s="463">
        <f>C130*ACT2FLO!D62</f>
        <v>132.78902553196346</v>
      </c>
      <c r="D149" s="463">
        <f>D130*ACT2FLO!E62</f>
        <v>0</v>
      </c>
      <c r="E149" s="463">
        <f>E130*ACT2FLO!F62</f>
        <v>83.552645278538805</v>
      </c>
      <c r="F149" s="463">
        <f>F130*ACT2FLO!G62</f>
        <v>4.4760345684931497</v>
      </c>
      <c r="G149" s="463">
        <f>G130*ACT2FLO!H62</f>
        <v>0</v>
      </c>
      <c r="H149" s="463">
        <f>H130*ACT2FLO!I62</f>
        <v>0</v>
      </c>
      <c r="I149" s="463">
        <f>I130*ACT2FLO!J62</f>
        <v>0</v>
      </c>
      <c r="J149" s="463">
        <f>J130*ACT2FLO!K62</f>
        <v>2.9840230456621</v>
      </c>
      <c r="K149" s="463">
        <f>K130*ACT2FLO!L62</f>
        <v>5.9680460913241999</v>
      </c>
      <c r="L149" s="463">
        <f>L130*ACT2FLO!M62</f>
        <v>0</v>
      </c>
      <c r="M149" s="463">
        <f>M130*ACT2FLO!N62</f>
        <v>1.49201152283105</v>
      </c>
      <c r="N149" s="463">
        <f>N130*ACT2FLO!O62</f>
        <v>1.49201152283105</v>
      </c>
      <c r="O149" s="463">
        <f>O130*ACT2FLO!P62</f>
        <v>1.49201152283105</v>
      </c>
      <c r="P149" s="463">
        <f>P130*ACT2FLO!Q62</f>
        <v>2.9840230456621</v>
      </c>
      <c r="Q149" s="463">
        <f>Q130*ACT2FLO!R62</f>
        <v>8.9520691369862995</v>
      </c>
      <c r="R149" s="463">
        <f>R130*ACT2FLO!S62</f>
        <v>1.49201152283105</v>
      </c>
      <c r="S149" s="463">
        <f>S130*ACT2FLO!T62</f>
        <v>7.4600576141552501</v>
      </c>
      <c r="T149" s="463">
        <f>T130*ACT2FLO!U62</f>
        <v>0</v>
      </c>
      <c r="U149" s="463">
        <f>U130*ACT2FLO!V62</f>
        <v>1.49201152283105</v>
      </c>
      <c r="V149" s="463">
        <f>V130*ACT2FLO!W62</f>
        <v>5.9680460913241999</v>
      </c>
      <c r="W149" s="463">
        <f>W130*ACT2FLO!X62</f>
        <v>0</v>
      </c>
      <c r="X149" s="463">
        <f>X130*ACT2FLO!Y62</f>
        <v>1.49201152283105</v>
      </c>
      <c r="Y149" s="463">
        <f>Y130*ACT2FLO!Z62</f>
        <v>0</v>
      </c>
      <c r="Z149" s="463">
        <f>Z130*ACT2FLO!AA62</f>
        <v>0</v>
      </c>
      <c r="AA149" s="463">
        <f>AA130*ACT2FLO!AB62</f>
        <v>0</v>
      </c>
      <c r="AB149" s="463">
        <f>AB130*ACT2FLO!AC62</f>
        <v>1.49201152283105</v>
      </c>
      <c r="AC149" s="463">
        <f>AC130*ACT2FLO!AD62</f>
        <v>0</v>
      </c>
    </row>
    <row r="150" spans="1:29" s="459" customFormat="1">
      <c r="A150" s="411"/>
      <c r="B150" s="411" t="s">
        <v>573</v>
      </c>
      <c r="C150" s="463">
        <f>C131*ACT2FLO!D63</f>
        <v>1038.4400198904109</v>
      </c>
      <c r="D150" s="463">
        <f>D131*ACT2FLO!E63</f>
        <v>7.4600576141552501</v>
      </c>
      <c r="E150" s="463">
        <f>E131*ACT2FLO!F63</f>
        <v>493.85581405707757</v>
      </c>
      <c r="F150" s="463">
        <f>F131*ACT2FLO!G63</f>
        <v>44.760345684931501</v>
      </c>
      <c r="G150" s="463">
        <f>G131*ACT2FLO!H63</f>
        <v>13.428103705479449</v>
      </c>
      <c r="H150" s="463">
        <f>H131*ACT2FLO!I63</f>
        <v>11.9360921826484</v>
      </c>
      <c r="I150" s="463">
        <f>I131*ACT2FLO!J63</f>
        <v>5.9680460913241999</v>
      </c>
      <c r="J150" s="463">
        <f>J131*ACT2FLO!K63</f>
        <v>32.824253502283099</v>
      </c>
      <c r="K150" s="463">
        <f>K131*ACT2FLO!L63</f>
        <v>53.712414821917797</v>
      </c>
      <c r="L150" s="463">
        <f>L131*ACT2FLO!M63</f>
        <v>8.9520691369862995</v>
      </c>
      <c r="M150" s="463">
        <f>M131*ACT2FLO!N63</f>
        <v>16.41212675114155</v>
      </c>
      <c r="N150" s="463">
        <f>N131*ACT2FLO!O63</f>
        <v>14.9201152283105</v>
      </c>
      <c r="O150" s="463">
        <f>O131*ACT2FLO!P63</f>
        <v>17.904138273972599</v>
      </c>
      <c r="P150" s="463">
        <f>P131*ACT2FLO!Q63</f>
        <v>17.904138273972599</v>
      </c>
      <c r="Q150" s="463">
        <f>Q131*ACT2FLO!R63</f>
        <v>92.5047144155251</v>
      </c>
      <c r="R150" s="463">
        <f>R131*ACT2FLO!S63</f>
        <v>25.364195888127849</v>
      </c>
      <c r="S150" s="463">
        <f>S131*ACT2FLO!T63</f>
        <v>29.840230456621001</v>
      </c>
      <c r="T150" s="463">
        <f>T131*ACT2FLO!U63</f>
        <v>14.9201152283105</v>
      </c>
      <c r="U150" s="463">
        <f>U131*ACT2FLO!V63</f>
        <v>14.9201152283105</v>
      </c>
      <c r="V150" s="463">
        <f>V131*ACT2FLO!W63</f>
        <v>49.236380253424649</v>
      </c>
      <c r="W150" s="463">
        <f>W131*ACT2FLO!X63</f>
        <v>4.4760345684931497</v>
      </c>
      <c r="X150" s="463">
        <f>X131*ACT2FLO!Y63</f>
        <v>14.9201152283105</v>
      </c>
      <c r="Y150" s="463">
        <f>Y131*ACT2FLO!Z63</f>
        <v>7.4600576141552501</v>
      </c>
      <c r="Z150" s="463">
        <f>Z131*ACT2FLO!AA63</f>
        <v>8.9520691369862995</v>
      </c>
      <c r="AA150" s="463">
        <f>AA131*ACT2FLO!AB63</f>
        <v>10.444080659817351</v>
      </c>
      <c r="AB150" s="463">
        <f>AB131*ACT2FLO!AC63</f>
        <v>20.888161319634701</v>
      </c>
      <c r="AC150" s="463">
        <f>AC131*ACT2FLO!AD63</f>
        <v>4.4760345684931497</v>
      </c>
    </row>
    <row r="151" spans="1:29" s="459" customFormat="1">
      <c r="A151" s="411"/>
      <c r="B151" s="411" t="s">
        <v>574</v>
      </c>
      <c r="C151" s="463">
        <f>C132*ACT2FLO!D64</f>
        <v>82.060633755707755</v>
      </c>
      <c r="D151" s="463">
        <f>D132*ACT2FLO!E64</f>
        <v>0</v>
      </c>
      <c r="E151" s="463">
        <f>E132*ACT2FLO!F64</f>
        <v>64.156495481735149</v>
      </c>
      <c r="F151" s="463">
        <f>F132*ACT2FLO!G64</f>
        <v>2.9840230456621</v>
      </c>
      <c r="G151" s="463">
        <f>G132*ACT2FLO!H64</f>
        <v>0</v>
      </c>
      <c r="H151" s="463">
        <f>H132*ACT2FLO!I64</f>
        <v>1.49201152283105</v>
      </c>
      <c r="I151" s="463">
        <f>I132*ACT2FLO!J64</f>
        <v>0</v>
      </c>
      <c r="J151" s="463">
        <f>J132*ACT2FLO!K64</f>
        <v>1.49201152283105</v>
      </c>
      <c r="K151" s="463">
        <f>K132*ACT2FLO!L64</f>
        <v>2.9840230456621</v>
      </c>
      <c r="L151" s="463">
        <f>L132*ACT2FLO!M64</f>
        <v>0</v>
      </c>
      <c r="M151" s="463">
        <f>M132*ACT2FLO!N64</f>
        <v>0</v>
      </c>
      <c r="N151" s="463">
        <f>N132*ACT2FLO!O64</f>
        <v>0</v>
      </c>
      <c r="O151" s="463">
        <f>O132*ACT2FLO!P64</f>
        <v>1.49201152283105</v>
      </c>
      <c r="P151" s="463">
        <f>P132*ACT2FLO!Q64</f>
        <v>0</v>
      </c>
      <c r="Q151" s="463">
        <f>Q132*ACT2FLO!R64</f>
        <v>2.9840230456621</v>
      </c>
      <c r="R151" s="463">
        <f>R132*ACT2FLO!S64</f>
        <v>0</v>
      </c>
      <c r="S151" s="463">
        <f>S132*ACT2FLO!T64</f>
        <v>2.9840230456621</v>
      </c>
      <c r="T151" s="463">
        <f>T132*ACT2FLO!U64</f>
        <v>0</v>
      </c>
      <c r="U151" s="463">
        <f>U132*ACT2FLO!V64</f>
        <v>0</v>
      </c>
      <c r="V151" s="463">
        <f>V132*ACT2FLO!W64</f>
        <v>1.49201152283105</v>
      </c>
      <c r="W151" s="463">
        <f>W132*ACT2FLO!X64</f>
        <v>0</v>
      </c>
      <c r="X151" s="463">
        <f>X132*ACT2FLO!Y64</f>
        <v>0</v>
      </c>
      <c r="Y151" s="463">
        <f>Y132*ACT2FLO!Z64</f>
        <v>0</v>
      </c>
      <c r="Z151" s="463">
        <f>Z132*ACT2FLO!AA64</f>
        <v>0</v>
      </c>
      <c r="AA151" s="463">
        <f>AA132*ACT2FLO!AB64</f>
        <v>0</v>
      </c>
      <c r="AB151" s="463">
        <f>AB132*ACT2FLO!AC64</f>
        <v>0</v>
      </c>
      <c r="AC151" s="463">
        <f>AC132*ACT2FLO!AD64</f>
        <v>0</v>
      </c>
    </row>
    <row r="152" spans="1:29" s="459" customFormat="1">
      <c r="A152" s="411"/>
      <c r="B152" s="39" t="s">
        <v>587</v>
      </c>
      <c r="C152" s="463">
        <f>SUM(C149:C151)</f>
        <v>1253.2896791780822</v>
      </c>
      <c r="D152" s="463">
        <f t="shared" ref="D152:AC152" si="84">SUM(D149:D151)</f>
        <v>7.4600576141552501</v>
      </c>
      <c r="E152" s="463">
        <f t="shared" si="84"/>
        <v>641.56495481735158</v>
      </c>
      <c r="F152" s="463">
        <f t="shared" si="84"/>
        <v>52.220403299086747</v>
      </c>
      <c r="G152" s="463">
        <f t="shared" si="84"/>
        <v>13.428103705479449</v>
      </c>
      <c r="H152" s="463">
        <f t="shared" si="84"/>
        <v>13.428103705479449</v>
      </c>
      <c r="I152" s="463">
        <f t="shared" si="84"/>
        <v>5.9680460913241999</v>
      </c>
      <c r="J152" s="463">
        <f t="shared" si="84"/>
        <v>37.300288070776247</v>
      </c>
      <c r="K152" s="463">
        <f t="shared" si="84"/>
        <v>62.664483958904093</v>
      </c>
      <c r="L152" s="463">
        <f t="shared" si="84"/>
        <v>8.9520691369862995</v>
      </c>
      <c r="M152" s="463">
        <f t="shared" si="84"/>
        <v>17.904138273972599</v>
      </c>
      <c r="N152" s="463">
        <f t="shared" si="84"/>
        <v>16.41212675114155</v>
      </c>
      <c r="O152" s="463">
        <f t="shared" si="84"/>
        <v>20.888161319634698</v>
      </c>
      <c r="P152" s="463">
        <f t="shared" si="84"/>
        <v>20.888161319634698</v>
      </c>
      <c r="Q152" s="463">
        <f t="shared" si="84"/>
        <v>104.44080659817349</v>
      </c>
      <c r="R152" s="463">
        <f t="shared" si="84"/>
        <v>26.856207410958898</v>
      </c>
      <c r="S152" s="463">
        <f t="shared" si="84"/>
        <v>40.284311116438346</v>
      </c>
      <c r="T152" s="463">
        <f t="shared" si="84"/>
        <v>14.9201152283105</v>
      </c>
      <c r="U152" s="463">
        <f t="shared" si="84"/>
        <v>16.41212675114155</v>
      </c>
      <c r="V152" s="463">
        <f t="shared" si="84"/>
        <v>56.696437867579895</v>
      </c>
      <c r="W152" s="463">
        <f t="shared" si="84"/>
        <v>4.4760345684931497</v>
      </c>
      <c r="X152" s="463">
        <f t="shared" si="84"/>
        <v>16.41212675114155</v>
      </c>
      <c r="Y152" s="463">
        <f t="shared" si="84"/>
        <v>7.4600576141552501</v>
      </c>
      <c r="Z152" s="463">
        <f t="shared" si="84"/>
        <v>8.9520691369862995</v>
      </c>
      <c r="AA152" s="463">
        <f t="shared" si="84"/>
        <v>10.444080659817351</v>
      </c>
      <c r="AB152" s="463">
        <f t="shared" si="84"/>
        <v>22.38017284246575</v>
      </c>
      <c r="AC152" s="463">
        <f t="shared" si="84"/>
        <v>4.4760345684931497</v>
      </c>
    </row>
    <row r="153" spans="1:29" s="459" customFormat="1" ht="16.2">
      <c r="A153" s="411" t="s">
        <v>561</v>
      </c>
      <c r="B153" s="411" t="s">
        <v>583</v>
      </c>
      <c r="C153" s="402">
        <f>C133*ACT2FLO!D65</f>
        <v>9816.0585474308318</v>
      </c>
      <c r="D153" s="402">
        <f>D133*ACT2FLO!E65</f>
        <v>109</v>
      </c>
      <c r="E153" s="402">
        <f>E133*ACT2FLO!F65</f>
        <v>3542.5</v>
      </c>
      <c r="F153" s="402">
        <f>F133*ACT2FLO!G65</f>
        <v>463.25</v>
      </c>
      <c r="G153" s="402">
        <f>G133*ACT2FLO!H65</f>
        <v>299.75</v>
      </c>
      <c r="H153" s="402">
        <f>H133*ACT2FLO!I65</f>
        <v>136.25</v>
      </c>
      <c r="I153" s="402">
        <f>I133*ACT2FLO!J65</f>
        <v>81.75</v>
      </c>
      <c r="J153" s="402">
        <f>J133*ACT2FLO!K65</f>
        <v>218</v>
      </c>
      <c r="K153" s="402">
        <f>K133*ACT2FLO!L65</f>
        <v>299.75</v>
      </c>
      <c r="L153" s="402">
        <f>L133*ACT2FLO!M65</f>
        <v>190.75</v>
      </c>
      <c r="M153" s="402">
        <f>M133*ACT2FLO!N65</f>
        <v>136.25</v>
      </c>
      <c r="N153" s="402">
        <f>N133*ACT2FLO!O65</f>
        <v>272.5</v>
      </c>
      <c r="O153" s="402">
        <f>O133*ACT2FLO!P65</f>
        <v>245.25</v>
      </c>
      <c r="P153" s="402">
        <f>P133*ACT2FLO!Q65</f>
        <v>190.75</v>
      </c>
      <c r="Q153" s="402">
        <f>Q133*ACT2FLO!R65</f>
        <v>790.25</v>
      </c>
      <c r="R153" s="402">
        <f>R133*ACT2FLO!S65</f>
        <v>490.5</v>
      </c>
      <c r="S153" s="402">
        <f>S133*ACT2FLO!T65</f>
        <v>299.75</v>
      </c>
      <c r="T153" s="402">
        <f>T133*ACT2FLO!U65</f>
        <v>354.25</v>
      </c>
      <c r="U153" s="402">
        <f>U133*ACT2FLO!V65</f>
        <v>163.5</v>
      </c>
      <c r="V153" s="402">
        <f>V133*ACT2FLO!W65</f>
        <v>572.25</v>
      </c>
      <c r="W153" s="402">
        <f>W133*ACT2FLO!X65</f>
        <v>54.5</v>
      </c>
      <c r="X153" s="402">
        <f>X133*ACT2FLO!Y65</f>
        <v>354.25</v>
      </c>
      <c r="Y153" s="402">
        <f>Y133*ACT2FLO!Z65</f>
        <v>109</v>
      </c>
      <c r="Z153" s="402">
        <f>Z133*ACT2FLO!AA65</f>
        <v>109</v>
      </c>
      <c r="AA153" s="402">
        <f>AA133*ACT2FLO!AB65</f>
        <v>45.560276679842701</v>
      </c>
      <c r="AB153" s="402">
        <f>AB133*ACT2FLO!AC65</f>
        <v>14.998270750988439</v>
      </c>
      <c r="AC153" s="402">
        <f>AC133*ACT2FLO!AD65</f>
        <v>272.5</v>
      </c>
    </row>
    <row r="154" spans="1:29" s="459" customFormat="1" ht="16.2">
      <c r="A154" s="411"/>
      <c r="B154" s="411" t="s">
        <v>584</v>
      </c>
      <c r="C154" s="402">
        <f>SUM(B173:C173)/1000000</f>
        <v>317.18623700000001</v>
      </c>
      <c r="D154" s="402">
        <f>C652*0</f>
        <v>0</v>
      </c>
      <c r="E154" s="402">
        <f>$C$154*1</f>
        <v>317.18623700000001</v>
      </c>
      <c r="F154" s="402">
        <f t="shared" ref="F154:AC154" si="85">E652*0</f>
        <v>0</v>
      </c>
      <c r="G154" s="402">
        <f t="shared" si="85"/>
        <v>0</v>
      </c>
      <c r="H154" s="402">
        <f>G652*0</f>
        <v>0</v>
      </c>
      <c r="I154" s="402">
        <f>H652*0</f>
        <v>0</v>
      </c>
      <c r="J154" s="402">
        <f>I652*0</f>
        <v>0</v>
      </c>
      <c r="K154" s="402">
        <f>J652*0</f>
        <v>0</v>
      </c>
      <c r="L154" s="402">
        <f>K652*0</f>
        <v>0</v>
      </c>
      <c r="M154" s="402">
        <f t="shared" si="85"/>
        <v>0</v>
      </c>
      <c r="N154" s="402">
        <f t="shared" si="85"/>
        <v>0</v>
      </c>
      <c r="O154" s="402">
        <f t="shared" si="85"/>
        <v>0</v>
      </c>
      <c r="P154" s="402">
        <f t="shared" si="85"/>
        <v>0</v>
      </c>
      <c r="Q154" s="402">
        <f t="shared" si="85"/>
        <v>0</v>
      </c>
      <c r="R154" s="402">
        <f t="shared" si="85"/>
        <v>0</v>
      </c>
      <c r="S154" s="402">
        <f t="shared" si="85"/>
        <v>0</v>
      </c>
      <c r="T154" s="402">
        <f t="shared" si="85"/>
        <v>0</v>
      </c>
      <c r="U154" s="402">
        <f t="shared" si="85"/>
        <v>0</v>
      </c>
      <c r="V154" s="402">
        <f t="shared" si="85"/>
        <v>0</v>
      </c>
      <c r="W154" s="402">
        <f t="shared" si="85"/>
        <v>0</v>
      </c>
      <c r="X154" s="402">
        <f t="shared" si="85"/>
        <v>0</v>
      </c>
      <c r="Y154" s="402">
        <f t="shared" si="85"/>
        <v>0</v>
      </c>
      <c r="Z154" s="402">
        <f t="shared" si="85"/>
        <v>0</v>
      </c>
      <c r="AA154" s="402">
        <f t="shared" si="85"/>
        <v>0</v>
      </c>
      <c r="AB154" s="402">
        <f t="shared" si="85"/>
        <v>0</v>
      </c>
      <c r="AC154" s="402">
        <f t="shared" si="85"/>
        <v>0</v>
      </c>
    </row>
    <row r="155" spans="1:29" s="459" customFormat="1" ht="16.2">
      <c r="A155" s="411"/>
      <c r="B155" s="500" t="s">
        <v>604</v>
      </c>
      <c r="C155" s="402">
        <f>K172/1000</f>
        <v>2281.0830000000001</v>
      </c>
      <c r="D155" s="402">
        <f>$C$155*C185</f>
        <v>27.272217367775003</v>
      </c>
      <c r="E155" s="402">
        <f>$C$155*D185</f>
        <v>645.42730837539557</v>
      </c>
      <c r="F155" s="402">
        <f t="shared" ref="F155:AC155" si="86">$C$155*E185</f>
        <v>106.58640928123741</v>
      </c>
      <c r="G155" s="402">
        <f t="shared" si="86"/>
        <v>47.535246853071193</v>
      </c>
      <c r="H155" s="402">
        <f t="shared" si="86"/>
        <v>40.572525019293884</v>
      </c>
      <c r="I155" s="402">
        <f t="shared" si="86"/>
        <v>19.579451634811139</v>
      </c>
      <c r="J155" s="402">
        <f t="shared" si="86"/>
        <v>61.739486812834848</v>
      </c>
      <c r="K155" s="402">
        <f t="shared" si="86"/>
        <v>93.43220621584183</v>
      </c>
      <c r="L155" s="402">
        <f t="shared" si="86"/>
        <v>37.345769307403692</v>
      </c>
      <c r="M155" s="402">
        <f t="shared" si="86"/>
        <v>42.523620033327248</v>
      </c>
      <c r="N155" s="402">
        <f t="shared" si="86"/>
        <v>71.721543749350261</v>
      </c>
      <c r="O155" s="402">
        <f t="shared" si="86"/>
        <v>68.226051405279179</v>
      </c>
      <c r="P155" s="402">
        <f t="shared" si="86"/>
        <v>56.917077407906312</v>
      </c>
      <c r="Q155" s="402">
        <f t="shared" si="86"/>
        <v>260.0508342937062</v>
      </c>
      <c r="R155" s="402">
        <f t="shared" si="86"/>
        <v>70.756295418076704</v>
      </c>
      <c r="S155" s="402">
        <f t="shared" si="86"/>
        <v>93.362746658504534</v>
      </c>
      <c r="T155" s="402">
        <f t="shared" si="86"/>
        <v>76.430901736819465</v>
      </c>
      <c r="U155" s="402">
        <f t="shared" si="86"/>
        <v>55.651955401507564</v>
      </c>
      <c r="V155" s="402">
        <f t="shared" si="86"/>
        <v>123.6178927403443</v>
      </c>
      <c r="W155" s="402">
        <f t="shared" si="86"/>
        <v>15.35008314011421</v>
      </c>
      <c r="X155" s="402">
        <f t="shared" si="86"/>
        <v>62.516954823582736</v>
      </c>
      <c r="Y155" s="402">
        <f t="shared" si="86"/>
        <v>30.918604612268489</v>
      </c>
      <c r="Z155" s="402">
        <f t="shared" si="86"/>
        <v>31.393324759311717</v>
      </c>
      <c r="AA155" s="402">
        <f t="shared" si="86"/>
        <v>36.490698205009984</v>
      </c>
      <c r="AB155" s="402">
        <f t="shared" si="86"/>
        <v>76.257971390621051</v>
      </c>
      <c r="AC155" s="402">
        <f t="shared" si="86"/>
        <v>29.405823356605008</v>
      </c>
    </row>
    <row r="156" spans="1:29" s="459" customFormat="1">
      <c r="A156" s="838" t="s">
        <v>16</v>
      </c>
      <c r="B156" s="838"/>
      <c r="C156" s="400">
        <f>SUM(C142:C155)-C148-C152</f>
        <v>72964.257175651815</v>
      </c>
      <c r="D156" s="400">
        <f t="shared" ref="D156:AC156" si="87">SUM(D142:D155)-D148-D152</f>
        <v>999.84713352637891</v>
      </c>
      <c r="E156" s="400">
        <f t="shared" si="87"/>
        <v>18095.606357739016</v>
      </c>
      <c r="F156" s="400">
        <f t="shared" si="87"/>
        <v>3601.0485563377479</v>
      </c>
      <c r="G156" s="400">
        <f t="shared" si="87"/>
        <v>1711.3924801422427</v>
      </c>
      <c r="H156" s="400">
        <f t="shared" si="87"/>
        <v>1293.2760663168494</v>
      </c>
      <c r="I156" s="400">
        <f t="shared" si="87"/>
        <v>662.87846117025913</v>
      </c>
      <c r="J156" s="400">
        <f t="shared" si="87"/>
        <v>1813.8596531644955</v>
      </c>
      <c r="K156" s="400">
        <f t="shared" si="87"/>
        <v>3091.6913083301361</v>
      </c>
      <c r="L156" s="400">
        <f t="shared" si="87"/>
        <v>1312.506891936242</v>
      </c>
      <c r="M156" s="400">
        <f t="shared" si="87"/>
        <v>1472.6116784673418</v>
      </c>
      <c r="N156" s="400">
        <f t="shared" si="87"/>
        <v>2604.3572589497958</v>
      </c>
      <c r="O156" s="400">
        <f t="shared" si="87"/>
        <v>2235.4511969558516</v>
      </c>
      <c r="P156" s="400">
        <f t="shared" si="87"/>
        <v>2007.0004549945156</v>
      </c>
      <c r="Q156" s="400">
        <f t="shared" si="87"/>
        <v>8210.7700289135973</v>
      </c>
      <c r="R156" s="400">
        <f t="shared" si="87"/>
        <v>2668.7640889020909</v>
      </c>
      <c r="S156" s="400">
        <f t="shared" si="87"/>
        <v>3020.2298721784828</v>
      </c>
      <c r="T156" s="400">
        <f t="shared" si="87"/>
        <v>2891.6541747780157</v>
      </c>
      <c r="U156" s="400">
        <f t="shared" si="87"/>
        <v>1841.1546690978807</v>
      </c>
      <c r="V156" s="400">
        <f t="shared" si="87"/>
        <v>4143.4140222852657</v>
      </c>
      <c r="W156" s="400">
        <f t="shared" si="87"/>
        <v>537.65138668891404</v>
      </c>
      <c r="X156" s="400">
        <f t="shared" si="87"/>
        <v>2281.0037737118651</v>
      </c>
      <c r="Y156" s="400">
        <f t="shared" si="87"/>
        <v>1209.2288030384084</v>
      </c>
      <c r="Z156" s="400">
        <f t="shared" si="87"/>
        <v>1009.4262993692282</v>
      </c>
      <c r="AA156" s="400">
        <f t="shared" si="87"/>
        <v>1096.1603961384094</v>
      </c>
      <c r="AB156" s="400">
        <f t="shared" si="87"/>
        <v>2040.8367304307019</v>
      </c>
      <c r="AC156" s="400">
        <f t="shared" si="87"/>
        <v>1112.4354320880916</v>
      </c>
    </row>
    <row r="157" spans="1:29" s="459" customFormat="1">
      <c r="A157" s="466" t="s">
        <v>577</v>
      </c>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459" customFormat="1">
      <c r="A158" s="446" t="s">
        <v>582</v>
      </c>
      <c r="B158" s="464"/>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c r="AA158" s="465"/>
      <c r="AB158" s="465"/>
      <c r="AC158" s="465"/>
    </row>
    <row r="159" spans="1:29" s="459" customFormat="1">
      <c r="A159" s="446" t="s">
        <v>603</v>
      </c>
      <c r="B159" s="464"/>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c r="AA159" s="465"/>
      <c r="AB159" s="465"/>
      <c r="AC159" s="465"/>
    </row>
    <row r="160" spans="1:29" s="459" customFormat="1">
      <c r="A160" s="468" t="s">
        <v>585</v>
      </c>
      <c r="B160" s="464"/>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c r="AA160" s="465"/>
      <c r="AB160" s="465"/>
      <c r="AC160" s="465"/>
    </row>
    <row r="161" spans="1:29" s="459" customFormat="1">
      <c r="A161" s="468"/>
      <c r="B161" s="464"/>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c r="AA161" s="465"/>
      <c r="AB161" s="465"/>
      <c r="AC161" s="465"/>
    </row>
    <row r="162" spans="1:29" s="459" customFormat="1">
      <c r="A162" s="446"/>
      <c r="B162" s="464"/>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c r="AA162" s="465"/>
      <c r="AB162" s="465"/>
      <c r="AC162" s="465"/>
    </row>
    <row r="163" spans="1:29" s="133" customFormat="1">
      <c r="A163" s="446"/>
      <c r="B163" s="445"/>
      <c r="C163" s="445"/>
      <c r="D163" s="445"/>
      <c r="E163" s="445"/>
      <c r="F163" s="445"/>
      <c r="G163" s="445"/>
      <c r="H163" s="445"/>
      <c r="I163" s="445"/>
      <c r="J163" s="445"/>
      <c r="K163" s="445"/>
      <c r="L163" s="445"/>
      <c r="M163" s="445"/>
      <c r="Z163" s="445"/>
      <c r="AA163" s="445"/>
      <c r="AB163" s="445"/>
    </row>
    <row r="164" spans="1:29" s="133" customFormat="1" ht="15.6">
      <c r="A164" s="401" t="s">
        <v>336</v>
      </c>
      <c r="B164" s="401"/>
      <c r="C164" s="401"/>
      <c r="D164" s="445"/>
      <c r="E164" s="445"/>
      <c r="F164" s="445"/>
      <c r="G164" s="401" t="s">
        <v>576</v>
      </c>
      <c r="H164" s="137"/>
      <c r="I164" s="137"/>
      <c r="J164" s="137"/>
      <c r="K164" s="441" t="s">
        <v>25</v>
      </c>
      <c r="Z164" s="445"/>
      <c r="AA164" s="445"/>
      <c r="AB164" s="445"/>
    </row>
    <row r="165" spans="1:29" s="133" customFormat="1">
      <c r="A165" s="476"/>
      <c r="B165" s="502" t="s">
        <v>30</v>
      </c>
      <c r="C165" s="503" t="s">
        <v>31</v>
      </c>
      <c r="D165" s="445"/>
      <c r="E165" s="445"/>
      <c r="F165" s="445"/>
      <c r="G165" s="477"/>
      <c r="H165" s="477">
        <v>2015</v>
      </c>
      <c r="I165" s="477">
        <v>2016</v>
      </c>
      <c r="J165" s="477">
        <v>2017</v>
      </c>
      <c r="K165" s="477">
        <v>2018</v>
      </c>
      <c r="M165" s="19"/>
      <c r="Z165" s="445"/>
      <c r="AA165" s="445"/>
      <c r="AB165" s="445"/>
    </row>
    <row r="166" spans="1:29" s="133" customFormat="1">
      <c r="A166" s="128" t="s">
        <v>553</v>
      </c>
      <c r="B166" s="478" t="s">
        <v>552</v>
      </c>
      <c r="C166" s="479" t="s">
        <v>551</v>
      </c>
      <c r="D166" s="445"/>
      <c r="E166" s="445"/>
      <c r="F166" s="445"/>
      <c r="G166" s="480" t="s">
        <v>21</v>
      </c>
      <c r="H166" s="474"/>
      <c r="I166" s="474"/>
      <c r="J166" s="474"/>
      <c r="K166" s="474"/>
      <c r="Z166" s="445"/>
      <c r="AA166" s="445"/>
      <c r="AB166" s="445"/>
    </row>
    <row r="167" spans="1:29" s="133" customFormat="1">
      <c r="A167" s="128" t="s">
        <v>550</v>
      </c>
      <c r="B167" s="479" t="s">
        <v>549</v>
      </c>
      <c r="C167" s="479" t="s">
        <v>548</v>
      </c>
      <c r="D167" s="445"/>
      <c r="E167" s="445"/>
      <c r="F167" s="445"/>
      <c r="G167" s="481" t="s">
        <v>38</v>
      </c>
      <c r="H167" s="482">
        <v>10490</v>
      </c>
      <c r="I167" s="482">
        <v>10771.652254326058</v>
      </c>
      <c r="J167" s="482">
        <v>11557.033844917567</v>
      </c>
      <c r="K167" s="482">
        <v>12438</v>
      </c>
      <c r="Z167" s="445"/>
      <c r="AA167" s="445"/>
      <c r="AB167" s="445"/>
    </row>
    <row r="168" spans="1:29" s="133" customFormat="1">
      <c r="A168" s="128" t="s">
        <v>32</v>
      </c>
      <c r="B168" s="479">
        <v>40</v>
      </c>
      <c r="C168" s="479">
        <v>33</v>
      </c>
      <c r="D168" s="445"/>
      <c r="E168" s="445"/>
      <c r="F168" s="445"/>
      <c r="G168" s="481" t="s">
        <v>39</v>
      </c>
      <c r="H168" s="482">
        <v>10962</v>
      </c>
      <c r="I168" s="482">
        <v>11953.521212477279</v>
      </c>
      <c r="J168" s="482">
        <v>12695.598551411398</v>
      </c>
      <c r="K168" s="482">
        <v>13299</v>
      </c>
      <c r="Z168" s="445"/>
      <c r="AA168" s="445"/>
      <c r="AB168" s="445"/>
    </row>
    <row r="169" spans="1:29" s="133" customFormat="1">
      <c r="A169" s="128" t="s">
        <v>547</v>
      </c>
      <c r="B169" s="479" t="s">
        <v>546</v>
      </c>
      <c r="C169" s="479" t="s">
        <v>545</v>
      </c>
      <c r="D169" s="445"/>
      <c r="E169" s="445"/>
      <c r="F169" s="445"/>
      <c r="G169" s="481" t="s">
        <v>40</v>
      </c>
      <c r="H169" s="482">
        <v>17150</v>
      </c>
      <c r="I169" s="482">
        <v>18986.617545944344</v>
      </c>
      <c r="J169" s="482">
        <v>20077.245353236714</v>
      </c>
      <c r="K169" s="482">
        <v>20934</v>
      </c>
      <c r="Z169" s="445"/>
      <c r="AA169" s="445"/>
      <c r="AB169" s="445"/>
    </row>
    <row r="170" spans="1:29" s="133" customFormat="1">
      <c r="A170" s="128" t="s">
        <v>33</v>
      </c>
      <c r="B170" s="479">
        <v>262</v>
      </c>
      <c r="C170" s="479" t="s">
        <v>544</v>
      </c>
      <c r="D170" s="445"/>
      <c r="E170" s="445"/>
      <c r="F170" s="445"/>
      <c r="G170" s="481" t="s">
        <v>41</v>
      </c>
      <c r="H170" s="482">
        <v>1058</v>
      </c>
      <c r="I170" s="482">
        <v>1102.8053175033033</v>
      </c>
      <c r="J170" s="482">
        <v>1175.0163992303337</v>
      </c>
      <c r="K170" s="482">
        <v>1290</v>
      </c>
      <c r="Z170" s="445"/>
      <c r="AA170" s="445"/>
      <c r="AB170" s="445"/>
    </row>
    <row r="171" spans="1:29" s="133" customFormat="1">
      <c r="A171" s="128" t="s">
        <v>34</v>
      </c>
      <c r="B171" s="483">
        <v>21837268</v>
      </c>
      <c r="C171" s="483">
        <v>19999700</v>
      </c>
      <c r="D171" s="445"/>
      <c r="E171" s="445"/>
      <c r="F171" s="445"/>
      <c r="G171" s="480" t="s">
        <v>1</v>
      </c>
      <c r="H171" s="482">
        <v>39660</v>
      </c>
      <c r="I171" s="482">
        <v>42815</v>
      </c>
      <c r="J171" s="482">
        <v>45505</v>
      </c>
      <c r="K171" s="482">
        <v>47960</v>
      </c>
      <c r="Z171" s="445"/>
      <c r="AA171" s="445"/>
      <c r="AB171" s="445"/>
    </row>
    <row r="172" spans="1:29" s="133" customFormat="1">
      <c r="A172" s="128" t="s">
        <v>26</v>
      </c>
      <c r="B172" s="483">
        <v>2119703</v>
      </c>
      <c r="C172" s="483">
        <v>1945776</v>
      </c>
      <c r="D172" s="445"/>
      <c r="E172" s="445"/>
      <c r="F172" s="445"/>
      <c r="G172" s="480" t="s">
        <v>35</v>
      </c>
      <c r="H172" s="482">
        <v>1916722</v>
      </c>
      <c r="I172" s="482">
        <v>1989798</v>
      </c>
      <c r="J172" s="482">
        <v>2120987</v>
      </c>
      <c r="K172" s="482">
        <v>2281083</v>
      </c>
      <c r="Z172" s="445"/>
      <c r="AA172" s="445"/>
      <c r="AB172" s="445"/>
    </row>
    <row r="173" spans="1:29" s="133" customFormat="1">
      <c r="A173" s="128" t="s">
        <v>35</v>
      </c>
      <c r="B173" s="484">
        <v>112040329</v>
      </c>
      <c r="C173" s="485">
        <v>205145908</v>
      </c>
      <c r="D173" s="445"/>
      <c r="E173" s="445"/>
      <c r="F173" s="445"/>
      <c r="G173" s="486" t="s">
        <v>42</v>
      </c>
      <c r="H173" s="482">
        <v>540</v>
      </c>
      <c r="I173" s="482">
        <v>581</v>
      </c>
      <c r="J173" s="482">
        <v>546</v>
      </c>
      <c r="K173" s="482">
        <v>516</v>
      </c>
      <c r="Z173" s="445"/>
      <c r="AA173" s="445"/>
      <c r="AB173" s="445"/>
    </row>
    <row r="174" spans="1:29" s="133" customFormat="1">
      <c r="A174" s="128" t="s">
        <v>601</v>
      </c>
      <c r="B174" s="487">
        <f>B173/(B173+C173)</f>
        <v>0.35323200041620972</v>
      </c>
      <c r="C174" s="488">
        <f>C173/(B173+C173)</f>
        <v>0.64676799958379028</v>
      </c>
      <c r="D174" s="445"/>
      <c r="E174" s="445"/>
      <c r="F174" s="445"/>
      <c r="G174" s="489" t="s">
        <v>43</v>
      </c>
      <c r="H174" s="490">
        <v>96406</v>
      </c>
      <c r="I174" s="490">
        <v>101480</v>
      </c>
      <c r="J174" s="490">
        <v>100399</v>
      </c>
      <c r="K174" s="490">
        <v>88551</v>
      </c>
      <c r="Z174" s="445"/>
      <c r="AA174" s="445"/>
      <c r="AB174" s="445"/>
    </row>
    <row r="175" spans="1:29" s="133" customFormat="1">
      <c r="A175" s="128" t="s">
        <v>112</v>
      </c>
      <c r="B175" s="491">
        <v>4.45</v>
      </c>
      <c r="C175" s="492">
        <v>8.1</v>
      </c>
      <c r="D175" s="612"/>
      <c r="E175" s="445"/>
      <c r="F175" s="445"/>
      <c r="G175" s="493" t="s">
        <v>799</v>
      </c>
      <c r="H175" s="493"/>
      <c r="I175" s="494"/>
      <c r="J175" s="494"/>
      <c r="Z175" s="445"/>
      <c r="AA175" s="445"/>
      <c r="AB175" s="445"/>
    </row>
    <row r="176" spans="1:29" s="133" customFormat="1">
      <c r="A176" s="128" t="s">
        <v>36</v>
      </c>
      <c r="B176" s="479">
        <v>7</v>
      </c>
      <c r="C176" s="479">
        <v>7</v>
      </c>
      <c r="D176" s="445"/>
      <c r="E176" s="445"/>
      <c r="F176" s="445"/>
      <c r="G176" s="840"/>
      <c r="H176" s="840"/>
      <c r="I176" s="495"/>
      <c r="J176" s="495"/>
      <c r="Z176" s="445"/>
      <c r="AA176" s="445"/>
      <c r="AB176" s="445"/>
    </row>
    <row r="177" spans="1:30" s="133" customFormat="1">
      <c r="A177" s="496" t="s">
        <v>37</v>
      </c>
      <c r="B177" s="497">
        <v>0.97050000000000003</v>
      </c>
      <c r="C177" s="497">
        <v>0.97640000000000005</v>
      </c>
      <c r="D177" s="445"/>
      <c r="E177" s="445"/>
      <c r="F177" s="445"/>
      <c r="G177" s="840"/>
      <c r="H177" s="840"/>
      <c r="I177" s="495"/>
      <c r="J177" s="495"/>
      <c r="Z177" s="445"/>
      <c r="AA177" s="445"/>
      <c r="AB177" s="445"/>
    </row>
    <row r="178" spans="1:30" s="133" customFormat="1">
      <c r="A178" s="498" t="s">
        <v>602</v>
      </c>
      <c r="B178" s="498"/>
      <c r="C178" s="498"/>
      <c r="D178" s="445"/>
      <c r="E178" s="445"/>
      <c r="F178" s="445"/>
      <c r="G178" s="486"/>
      <c r="H178" s="499"/>
      <c r="I178" s="499"/>
      <c r="J178" s="499"/>
      <c r="K178" s="499"/>
      <c r="Z178" s="445"/>
      <c r="AA178" s="445"/>
      <c r="AB178" s="445"/>
    </row>
    <row r="179" spans="1:30" s="133" customFormat="1">
      <c r="A179" s="498"/>
      <c r="B179" s="498"/>
      <c r="C179" s="498"/>
      <c r="D179" s="445"/>
      <c r="E179" s="445"/>
      <c r="F179" s="445"/>
      <c r="G179" s="486"/>
      <c r="H179" s="499"/>
      <c r="I179" s="499"/>
      <c r="J179" s="499"/>
      <c r="K179" s="499"/>
      <c r="Z179" s="445"/>
      <c r="AA179" s="445"/>
      <c r="AB179" s="445"/>
    </row>
    <row r="180" spans="1:30" s="133" customFormat="1">
      <c r="A180" s="475"/>
      <c r="B180" s="28"/>
      <c r="C180" s="28"/>
      <c r="D180" s="445"/>
      <c r="E180" s="445"/>
      <c r="F180" s="445"/>
      <c r="Z180" s="445"/>
      <c r="AA180" s="445"/>
      <c r="AB180" s="445"/>
    </row>
    <row r="181" spans="1:30" s="391" customFormat="1">
      <c r="AC181" s="459"/>
      <c r="AD181" s="459"/>
    </row>
    <row r="182" spans="1:30" ht="15.6">
      <c r="A182" s="401" t="s">
        <v>432</v>
      </c>
      <c r="B182" s="391"/>
      <c r="C182" s="391"/>
      <c r="AC182" s="459"/>
      <c r="AD182" s="459"/>
    </row>
    <row r="183" spans="1:30">
      <c r="A183" s="130"/>
      <c r="B183" s="130" t="str">
        <f>Regions!C3</f>
        <v>IE</v>
      </c>
      <c r="C183" s="130" t="str">
        <f>Regions!E3</f>
        <v>IE-CW</v>
      </c>
      <c r="D183" s="130" t="str">
        <f>Regions!F3</f>
        <v>IE-D</v>
      </c>
      <c r="E183" s="130" t="str">
        <f>Regions!G3</f>
        <v>IE-KE</v>
      </c>
      <c r="F183" s="130" t="str">
        <f>Regions!H3</f>
        <v>IE-KK</v>
      </c>
      <c r="G183" s="130" t="str">
        <f>Regions!I3</f>
        <v>IE-LS</v>
      </c>
      <c r="H183" s="130" t="str">
        <f>Regions!J3</f>
        <v>IE-LD</v>
      </c>
      <c r="I183" s="130" t="str">
        <f>Regions!K3</f>
        <v>IE-LH</v>
      </c>
      <c r="J183" s="130" t="str">
        <f>Regions!L3</f>
        <v>IE-MH</v>
      </c>
      <c r="K183" s="130" t="str">
        <f>Regions!M3</f>
        <v>IE-OY</v>
      </c>
      <c r="L183" s="130" t="str">
        <f>Regions!N3</f>
        <v>IE-WH</v>
      </c>
      <c r="M183" s="130" t="str">
        <f>Regions!O3</f>
        <v>IE-WX</v>
      </c>
      <c r="N183" s="130" t="str">
        <f>Regions!P3</f>
        <v>IE-WW</v>
      </c>
      <c r="O183" s="130" t="str">
        <f>Regions!Q3</f>
        <v>IE-CE</v>
      </c>
      <c r="P183" s="130" t="str">
        <f>Regions!R3</f>
        <v>IE-CO</v>
      </c>
      <c r="Q183" s="130" t="str">
        <f>Regions!S3</f>
        <v>IE-KY</v>
      </c>
      <c r="R183" s="130" t="str">
        <f>Regions!T3</f>
        <v>IE-LK</v>
      </c>
      <c r="S183" s="130" t="str">
        <f>Regions!U3</f>
        <v>IE-TA</v>
      </c>
      <c r="T183" s="130" t="str">
        <f>Regions!V3</f>
        <v>IE-WD</v>
      </c>
      <c r="U183" s="130" t="str">
        <f>Regions!W3</f>
        <v>IE-G</v>
      </c>
      <c r="V183" s="130" t="str">
        <f>Regions!X3</f>
        <v>IE-LM</v>
      </c>
      <c r="W183" s="130" t="str">
        <f>Regions!Y3</f>
        <v>IE-MO</v>
      </c>
      <c r="X183" s="130" t="str">
        <f>Regions!Z3</f>
        <v>IE-RN</v>
      </c>
      <c r="Y183" s="130" t="str">
        <f>Regions!AA3</f>
        <v>IE-SO</v>
      </c>
      <c r="Z183" s="130" t="str">
        <f>Regions!AB3</f>
        <v>IE-CN</v>
      </c>
      <c r="AA183" s="130" t="str">
        <f>Regions!AC3</f>
        <v>IE-DL</v>
      </c>
      <c r="AB183" s="130" t="str">
        <f>Regions!AD3</f>
        <v>IE-MN</v>
      </c>
      <c r="AC183" s="459" t="s">
        <v>400</v>
      </c>
      <c r="AD183" s="459"/>
    </row>
    <row r="184" spans="1:30">
      <c r="A184" s="406" t="s">
        <v>398</v>
      </c>
      <c r="B184" s="396">
        <f>SUM(C184:AB184)</f>
        <v>4857000.0000000037</v>
      </c>
      <c r="C184" s="396">
        <v>58069.41691963128</v>
      </c>
      <c r="D184" s="396">
        <v>1374277.23444491</v>
      </c>
      <c r="E184" s="396">
        <v>226949.29990665423</v>
      </c>
      <c r="F184" s="396">
        <v>101214.50818114332</v>
      </c>
      <c r="G184" s="396">
        <v>86389.120439155668</v>
      </c>
      <c r="H184" s="396">
        <v>41689.581918009018</v>
      </c>
      <c r="I184" s="396">
        <v>131458.91116190821</v>
      </c>
      <c r="J184" s="396">
        <v>198940.68983476012</v>
      </c>
      <c r="K184" s="396">
        <v>79518.545149851998</v>
      </c>
      <c r="L184" s="396">
        <v>90543.492938166033</v>
      </c>
      <c r="M184" s="396">
        <v>152713.2234954162</v>
      </c>
      <c r="N184" s="396">
        <v>145270.44025817615</v>
      </c>
      <c r="O184" s="396">
        <v>121190.78743307506</v>
      </c>
      <c r="P184" s="396">
        <v>553713.69746937393</v>
      </c>
      <c r="Q184" s="396">
        <v>150657.96678402266</v>
      </c>
      <c r="R184" s="396">
        <v>198792.79294982113</v>
      </c>
      <c r="S184" s="396">
        <v>162740.63229427967</v>
      </c>
      <c r="T184" s="396">
        <v>118497.02417015182</v>
      </c>
      <c r="U184" s="396">
        <v>263213.61609369441</v>
      </c>
      <c r="V184" s="396">
        <v>32684.191592999803</v>
      </c>
      <c r="W184" s="396">
        <v>133114.33629470808</v>
      </c>
      <c r="X184" s="396">
        <v>65833.493389669806</v>
      </c>
      <c r="Y184" s="396">
        <v>66844.292099839033</v>
      </c>
      <c r="Z184" s="396">
        <v>77697.883497327202</v>
      </c>
      <c r="AA184" s="396">
        <v>162372.42004970741</v>
      </c>
      <c r="AB184" s="396">
        <v>62612.401233550299</v>
      </c>
      <c r="AC184" s="459">
        <f>SUM(C184:AB184)</f>
        <v>4857000.0000000037</v>
      </c>
      <c r="AD184" s="459"/>
    </row>
    <row r="185" spans="1:30">
      <c r="A185" s="397" t="s">
        <v>401</v>
      </c>
      <c r="B185" s="467">
        <f>SUM(C185:AB185)</f>
        <v>0.99999999999999956</v>
      </c>
      <c r="C185" s="397">
        <f t="shared" ref="C185:AB185" si="88">C184/$AC$184</f>
        <v>1.1955819831095581E-2</v>
      </c>
      <c r="D185" s="397">
        <f t="shared" si="88"/>
        <v>0.28294775261373462</v>
      </c>
      <c r="E185" s="397">
        <f t="shared" si="88"/>
        <v>4.6726230164021831E-2</v>
      </c>
      <c r="F185" s="397">
        <f t="shared" si="88"/>
        <v>2.0838894004764925E-2</v>
      </c>
      <c r="G185" s="397">
        <f t="shared" si="88"/>
        <v>1.7786518517429607E-2</v>
      </c>
      <c r="H185" s="397">
        <f t="shared" si="88"/>
        <v>8.5834016714039507E-3</v>
      </c>
      <c r="I185" s="397">
        <f t="shared" si="88"/>
        <v>2.7065865999981082E-2</v>
      </c>
      <c r="J185" s="397">
        <f t="shared" si="88"/>
        <v>4.0959582012509772E-2</v>
      </c>
      <c r="K185" s="397">
        <f t="shared" si="88"/>
        <v>1.6371946705754981E-2</v>
      </c>
      <c r="L185" s="397">
        <f t="shared" si="88"/>
        <v>1.8641855659494742E-2</v>
      </c>
      <c r="M185" s="397">
        <f t="shared" si="88"/>
        <v>3.1441882539719183E-2</v>
      </c>
      <c r="N185" s="397">
        <f t="shared" si="88"/>
        <v>2.9909499744322842E-2</v>
      </c>
      <c r="O185" s="397">
        <f t="shared" si="88"/>
        <v>2.4951778347349182E-2</v>
      </c>
      <c r="P185" s="397">
        <f t="shared" si="88"/>
        <v>0.11400323192698651</v>
      </c>
      <c r="Q185" s="397">
        <f t="shared" si="88"/>
        <v>3.1018729006387184E-2</v>
      </c>
      <c r="R185" s="397">
        <f t="shared" si="88"/>
        <v>4.0929131758250151E-2</v>
      </c>
      <c r="S185" s="397">
        <f t="shared" si="88"/>
        <v>3.350640977852163E-2</v>
      </c>
      <c r="T185" s="397">
        <f t="shared" si="88"/>
        <v>2.4397163716317012E-2</v>
      </c>
      <c r="U185" s="397">
        <f t="shared" si="88"/>
        <v>5.4192632508481407E-2</v>
      </c>
      <c r="V185" s="397">
        <f t="shared" si="88"/>
        <v>6.7292961896231783E-3</v>
      </c>
      <c r="W185" s="397">
        <f t="shared" si="88"/>
        <v>2.7406698845935346E-2</v>
      </c>
      <c r="X185" s="397">
        <f t="shared" si="88"/>
        <v>1.3554353178849033E-2</v>
      </c>
      <c r="Y185" s="397">
        <f t="shared" si="88"/>
        <v>1.3762464916582043E-2</v>
      </c>
      <c r="Z185" s="397">
        <f t="shared" si="88"/>
        <v>1.5997093575731345E-2</v>
      </c>
      <c r="AA185" s="397">
        <f t="shared" si="88"/>
        <v>3.3430599145502837E-2</v>
      </c>
      <c r="AB185" s="397">
        <f t="shared" si="88"/>
        <v>1.2891167641249795E-2</v>
      </c>
      <c r="AC185" s="459">
        <f>SUM(C185:AB185)</f>
        <v>0.99999999999999956</v>
      </c>
      <c r="AD185" s="459"/>
    </row>
    <row r="186" spans="1:30" s="391" customFormat="1">
      <c r="A186" s="133" t="s">
        <v>402</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402"/>
      <c r="AC186" s="459"/>
      <c r="AD186" s="459"/>
    </row>
    <row r="187" spans="1:30" s="459" customFormat="1">
      <c r="A187" s="1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402"/>
    </row>
    <row r="188" spans="1:30" s="391" customFormat="1">
      <c r="A188" s="1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402"/>
      <c r="AC188" s="459"/>
      <c r="AD188" s="459"/>
    </row>
    <row r="189" spans="1:30" s="391"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402"/>
      <c r="AC189" s="459"/>
      <c r="AD189" s="459"/>
    </row>
    <row r="190" spans="1:30" s="391" customFormat="1" ht="15.6">
      <c r="A190" s="401" t="s">
        <v>419</v>
      </c>
      <c r="B190" s="40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402"/>
      <c r="AC190" s="459"/>
      <c r="AD190" s="459"/>
    </row>
    <row r="191" spans="1:30" s="391" customFormat="1">
      <c r="A191" s="132" t="s">
        <v>416</v>
      </c>
      <c r="B191" s="130" t="s">
        <v>363</v>
      </c>
      <c r="C191" s="130" t="s">
        <v>360</v>
      </c>
      <c r="D191" s="130" t="s">
        <v>406</v>
      </c>
      <c r="E191" s="130" t="s">
        <v>407</v>
      </c>
      <c r="F191" s="130" t="s">
        <v>24</v>
      </c>
      <c r="G191" s="130" t="s">
        <v>408</v>
      </c>
      <c r="H191" s="130" t="s">
        <v>13</v>
      </c>
      <c r="I191" s="130" t="s">
        <v>1</v>
      </c>
      <c r="K191" s="409" t="s">
        <v>442</v>
      </c>
      <c r="L191" s="34"/>
      <c r="M191" s="408" t="s">
        <v>441</v>
      </c>
      <c r="O191" s="34"/>
      <c r="P191" s="34"/>
      <c r="Q191" s="34"/>
      <c r="R191" s="34"/>
      <c r="S191" s="34"/>
      <c r="T191" s="34"/>
      <c r="U191" s="34"/>
      <c r="V191" s="34"/>
      <c r="W191" s="34"/>
      <c r="X191" s="34"/>
      <c r="Y191" s="34"/>
      <c r="Z191" s="34"/>
      <c r="AA191" s="34"/>
      <c r="AB191" s="402"/>
    </row>
    <row r="192" spans="1:30" s="391" customFormat="1">
      <c r="A192" s="391" t="s">
        <v>399</v>
      </c>
      <c r="B192" s="357">
        <v>0.71</v>
      </c>
      <c r="C192" s="357">
        <v>0.18</v>
      </c>
      <c r="D192" s="357">
        <v>0.05</v>
      </c>
      <c r="E192" s="357">
        <v>0.03</v>
      </c>
      <c r="F192" s="357">
        <v>0.01</v>
      </c>
      <c r="G192" s="357">
        <v>1.7999999999999999E-2</v>
      </c>
      <c r="H192" s="357">
        <v>4.0000000000000001E-3</v>
      </c>
      <c r="I192" s="4">
        <f t="shared" ref="I192:I198" si="89">SUM(B192:H192)</f>
        <v>1.002</v>
      </c>
      <c r="K192" s="33">
        <f>SUM(K194:K198)</f>
        <v>1</v>
      </c>
      <c r="L192" s="34"/>
      <c r="M192" s="34" t="s">
        <v>418</v>
      </c>
      <c r="O192" s="34"/>
      <c r="P192" s="34"/>
      <c r="Q192" s="34"/>
      <c r="R192" s="34"/>
      <c r="S192" s="34"/>
      <c r="T192" s="34"/>
      <c r="U192" s="34"/>
      <c r="V192" s="34"/>
      <c r="W192" s="34"/>
      <c r="X192" s="34"/>
      <c r="Y192" s="34"/>
      <c r="Z192" s="34"/>
      <c r="AA192" s="34"/>
      <c r="AB192" s="402"/>
    </row>
    <row r="193" spans="1:33" s="391" customFormat="1">
      <c r="A193" s="391" t="s">
        <v>403</v>
      </c>
      <c r="B193" s="4">
        <v>0.42</v>
      </c>
      <c r="C193" s="4">
        <v>0.28999999999999998</v>
      </c>
      <c r="D193" s="4">
        <v>0.16</v>
      </c>
      <c r="E193" s="4">
        <v>0.09</v>
      </c>
      <c r="F193" s="4">
        <v>0.02</v>
      </c>
      <c r="G193" s="4">
        <v>0.01</v>
      </c>
      <c r="H193" s="4">
        <v>6.0000000000000001E-3</v>
      </c>
      <c r="I193" s="4">
        <f t="shared" si="89"/>
        <v>0.996</v>
      </c>
      <c r="K193" s="388">
        <f>SUM(D206:G206)/$B$205</f>
        <v>0.27670776050980028</v>
      </c>
      <c r="L193" s="34"/>
      <c r="M193" s="391" t="s">
        <v>410</v>
      </c>
      <c r="O193" s="34"/>
      <c r="P193" s="34"/>
      <c r="Q193" s="34"/>
      <c r="R193" s="34"/>
      <c r="S193" s="34"/>
      <c r="T193" s="34"/>
      <c r="U193" s="34"/>
      <c r="V193" s="34"/>
      <c r="W193" s="34"/>
      <c r="X193" s="34"/>
      <c r="Y193" s="34"/>
      <c r="Z193" s="34"/>
      <c r="AA193" s="34"/>
      <c r="AB193" s="402"/>
    </row>
    <row r="194" spans="1:33" s="391" customFormat="1">
      <c r="A194" s="391" t="s">
        <v>409</v>
      </c>
      <c r="B194" s="4">
        <v>0.63</v>
      </c>
      <c r="C194" s="4">
        <v>0.2</v>
      </c>
      <c r="D194" s="4">
        <v>0.09</v>
      </c>
      <c r="E194" s="4">
        <v>0.05</v>
      </c>
      <c r="F194" s="4">
        <v>0.02</v>
      </c>
      <c r="G194" s="4">
        <v>8.9999999999999993E-3</v>
      </c>
      <c r="H194" s="4">
        <v>1E-3</v>
      </c>
      <c r="I194" s="4">
        <f t="shared" si="89"/>
        <v>1</v>
      </c>
      <c r="K194" s="388">
        <f>(D206+E206+F206+G206+H206+M206+Q206)/B205</f>
        <v>0.35174369705987046</v>
      </c>
      <c r="L194" s="34"/>
      <c r="M194" s="391" t="s">
        <v>411</v>
      </c>
      <c r="O194" s="34"/>
      <c r="P194" s="34"/>
      <c r="Q194" s="34"/>
      <c r="R194" s="34"/>
      <c r="S194" s="34"/>
      <c r="T194" s="34"/>
      <c r="U194" s="34"/>
      <c r="V194" s="34"/>
      <c r="W194" s="34"/>
      <c r="X194" s="34"/>
      <c r="Y194" s="34"/>
      <c r="Z194" s="34"/>
      <c r="AA194" s="34"/>
      <c r="AB194" s="402"/>
    </row>
    <row r="195" spans="1:33" s="391" customFormat="1">
      <c r="A195" s="391" t="s">
        <v>404</v>
      </c>
      <c r="B195" s="4">
        <v>0.62</v>
      </c>
      <c r="C195" s="4">
        <v>0.27</v>
      </c>
      <c r="D195" s="4">
        <v>0.05</v>
      </c>
      <c r="E195" s="4">
        <v>0.05</v>
      </c>
      <c r="F195" s="4">
        <v>0</v>
      </c>
      <c r="G195" s="4">
        <v>8.9999999999999993E-3</v>
      </c>
      <c r="H195" s="4">
        <v>1E-3</v>
      </c>
      <c r="I195" s="404">
        <f t="shared" si="89"/>
        <v>1</v>
      </c>
      <c r="K195" s="388">
        <f>(S206+V206+X206+Y206)/$B$205</f>
        <v>7.9993447945290341E-2</v>
      </c>
      <c r="L195" s="34"/>
      <c r="M195" s="391" t="s">
        <v>412</v>
      </c>
      <c r="O195" s="34"/>
      <c r="P195" s="34"/>
      <c r="Q195" s="34"/>
      <c r="R195" s="34"/>
      <c r="S195" s="34"/>
      <c r="T195" s="34"/>
      <c r="U195" s="34"/>
      <c r="V195" s="34"/>
      <c r="W195" s="34"/>
      <c r="X195" s="34"/>
      <c r="Y195" s="34"/>
      <c r="Z195" s="34"/>
      <c r="AA195" s="34"/>
      <c r="AB195" s="402"/>
    </row>
    <row r="196" spans="1:33" s="391" customFormat="1">
      <c r="A196" s="391" t="s">
        <v>405</v>
      </c>
      <c r="B196" s="4">
        <v>0.76</v>
      </c>
      <c r="C196" s="4">
        <v>0.18</v>
      </c>
      <c r="D196" s="4">
        <v>0.03</v>
      </c>
      <c r="E196" s="4">
        <v>0.01</v>
      </c>
      <c r="F196" s="4">
        <v>0</v>
      </c>
      <c r="G196" s="4">
        <v>0.01</v>
      </c>
      <c r="H196" s="4">
        <v>0.01</v>
      </c>
      <c r="I196" s="404">
        <f t="shared" si="89"/>
        <v>1</v>
      </c>
      <c r="K196" s="388">
        <f>(C206+I206+J206+K206+L206+N206+O206+P206+R206+T206+U206+W206+Z206+AA206+AB206+AC206+AD206+AE206+AF206+AG206)/B205</f>
        <v>0.19528210060554005</v>
      </c>
      <c r="L196" s="34"/>
      <c r="M196" s="391" t="s">
        <v>420</v>
      </c>
      <c r="O196" s="34"/>
      <c r="P196" s="34"/>
      <c r="Q196" s="34"/>
      <c r="R196" s="34"/>
      <c r="S196" s="34"/>
      <c r="T196" s="34"/>
      <c r="U196" s="34"/>
      <c r="V196" s="34"/>
      <c r="W196" s="34"/>
      <c r="X196" s="34"/>
      <c r="Y196" s="34"/>
      <c r="Z196" s="34"/>
      <c r="AA196" s="34"/>
      <c r="AB196" s="402"/>
    </row>
    <row r="197" spans="1:33" s="391" customFormat="1">
      <c r="A197" s="391" t="s">
        <v>415</v>
      </c>
      <c r="B197" s="4">
        <v>0.64</v>
      </c>
      <c r="C197" s="4">
        <v>0.28999999999999998</v>
      </c>
      <c r="D197" s="4">
        <v>0.03</v>
      </c>
      <c r="E197" s="4">
        <v>0.02</v>
      </c>
      <c r="F197" s="4">
        <v>0</v>
      </c>
      <c r="G197" s="4">
        <v>0.01</v>
      </c>
      <c r="H197" s="4">
        <v>0.01</v>
      </c>
      <c r="I197" s="404">
        <f t="shared" si="89"/>
        <v>1</v>
      </c>
      <c r="K197" s="391">
        <v>0</v>
      </c>
      <c r="L197" s="34"/>
      <c r="M197" s="391" t="s">
        <v>413</v>
      </c>
      <c r="O197" s="34"/>
      <c r="P197" s="34"/>
      <c r="Q197" s="34"/>
      <c r="R197" s="34"/>
      <c r="S197" s="34"/>
      <c r="T197" s="34"/>
      <c r="U197" s="34"/>
      <c r="V197" s="34"/>
      <c r="W197" s="34"/>
      <c r="X197" s="34"/>
      <c r="Y197" s="34"/>
      <c r="Z197" s="34"/>
      <c r="AA197" s="34"/>
      <c r="AB197" s="402"/>
    </row>
    <row r="198" spans="1:33" s="391" customFormat="1">
      <c r="A198" s="392" t="s">
        <v>113</v>
      </c>
      <c r="B198" s="403">
        <v>0.81</v>
      </c>
      <c r="C198" s="403">
        <v>0.11</v>
      </c>
      <c r="D198" s="403">
        <v>0.04</v>
      </c>
      <c r="E198" s="403">
        <v>0.01</v>
      </c>
      <c r="F198" s="403">
        <v>0</v>
      </c>
      <c r="G198" s="403">
        <v>0.02</v>
      </c>
      <c r="H198" s="403">
        <v>0.01</v>
      </c>
      <c r="I198" s="405">
        <f t="shared" si="89"/>
        <v>1</v>
      </c>
      <c r="K198" s="388">
        <f>B207/B205</f>
        <v>0.37298075438929917</v>
      </c>
      <c r="L198" s="34"/>
      <c r="M198" s="391" t="s">
        <v>414</v>
      </c>
      <c r="O198" s="34"/>
      <c r="P198" s="34"/>
      <c r="Q198" s="34"/>
      <c r="R198" s="34"/>
      <c r="S198" s="34"/>
      <c r="T198" s="34"/>
      <c r="U198" s="34"/>
      <c r="V198" s="34"/>
      <c r="W198" s="34"/>
      <c r="X198" s="34"/>
      <c r="Y198" s="34"/>
      <c r="Z198" s="34"/>
      <c r="AA198" s="34"/>
      <c r="AB198" s="402"/>
    </row>
    <row r="199" spans="1:33" s="391" customFormat="1">
      <c r="A199" s="391" t="s">
        <v>417</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402"/>
    </row>
    <row r="200" spans="1:33" s="391"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402"/>
    </row>
    <row r="201" spans="1:33" s="459"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402"/>
    </row>
    <row r="202" spans="1:33" s="391"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402"/>
    </row>
    <row r="203" spans="1:33" s="391" customFormat="1" ht="15.6">
      <c r="A203" s="401" t="s">
        <v>433</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402"/>
      <c r="AB203" s="402"/>
      <c r="AC203" s="402"/>
      <c r="AD203" s="402"/>
    </row>
    <row r="204" spans="1:33">
      <c r="A204" s="132"/>
      <c r="B204" s="132" t="s">
        <v>399</v>
      </c>
      <c r="C204" s="132" t="s">
        <v>372</v>
      </c>
      <c r="D204" s="132" t="s">
        <v>421</v>
      </c>
      <c r="E204" s="132" t="s">
        <v>422</v>
      </c>
      <c r="F204" s="132" t="s">
        <v>423</v>
      </c>
      <c r="G204" s="132" t="s">
        <v>424</v>
      </c>
      <c r="H204" s="132" t="s">
        <v>374</v>
      </c>
      <c r="I204" s="132" t="s">
        <v>375</v>
      </c>
      <c r="J204" s="132" t="s">
        <v>376</v>
      </c>
      <c r="K204" s="132" t="s">
        <v>377</v>
      </c>
      <c r="L204" s="132" t="s">
        <v>378</v>
      </c>
      <c r="M204" s="132" t="s">
        <v>379</v>
      </c>
      <c r="N204" s="132" t="s">
        <v>380</v>
      </c>
      <c r="O204" s="132" t="s">
        <v>381</v>
      </c>
      <c r="P204" s="132" t="s">
        <v>382</v>
      </c>
      <c r="Q204" s="132" t="s">
        <v>383</v>
      </c>
      <c r="R204" s="132" t="s">
        <v>384</v>
      </c>
      <c r="S204" s="132" t="s">
        <v>425</v>
      </c>
      <c r="T204" s="132" t="s">
        <v>426</v>
      </c>
      <c r="U204" s="132" t="s">
        <v>386</v>
      </c>
      <c r="V204" s="132" t="s">
        <v>427</v>
      </c>
      <c r="W204" s="132" t="s">
        <v>388</v>
      </c>
      <c r="X204" s="132" t="s">
        <v>428</v>
      </c>
      <c r="Y204" s="132" t="s">
        <v>429</v>
      </c>
      <c r="Z204" s="132" t="s">
        <v>430</v>
      </c>
      <c r="AA204" s="132" t="s">
        <v>391</v>
      </c>
      <c r="AB204" s="132" t="s">
        <v>392</v>
      </c>
      <c r="AC204" s="132" t="s">
        <v>393</v>
      </c>
      <c r="AD204" s="132" t="s">
        <v>394</v>
      </c>
      <c r="AE204" s="132" t="s">
        <v>395</v>
      </c>
      <c r="AF204" s="132" t="s">
        <v>396</v>
      </c>
      <c r="AG204" s="132" t="s">
        <v>397</v>
      </c>
    </row>
    <row r="205" spans="1:33">
      <c r="A205" s="391" t="s">
        <v>431</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391" t="s">
        <v>434</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391" customFormat="1">
      <c r="A207" s="391" t="s">
        <v>435</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391" customFormat="1">
      <c r="A208" s="391" t="s">
        <v>436</v>
      </c>
      <c r="B208" s="395">
        <f>B206/B205</f>
        <v>0.62701924561070088</v>
      </c>
      <c r="C208" s="395">
        <f t="shared" ref="C208:AG208" si="90">C206/C205</f>
        <v>0.49188505585610903</v>
      </c>
      <c r="D208" s="395">
        <f t="shared" si="90"/>
        <v>1</v>
      </c>
      <c r="E208" s="395">
        <f t="shared" si="90"/>
        <v>0.98823491638305094</v>
      </c>
      <c r="F208" s="395">
        <f t="shared" si="90"/>
        <v>0.92704209175055741</v>
      </c>
      <c r="G208" s="395">
        <f t="shared" si="90"/>
        <v>0.98008372583555448</v>
      </c>
      <c r="H208" s="395">
        <f>H206/H205</f>
        <v>0.67566425772120953</v>
      </c>
      <c r="I208" s="395">
        <f t="shared" si="90"/>
        <v>0.38735488552079972</v>
      </c>
      <c r="J208" s="395">
        <f t="shared" si="90"/>
        <v>0.48383059612501034</v>
      </c>
      <c r="K208" s="395">
        <f t="shared" si="90"/>
        <v>0.34147236562033617</v>
      </c>
      <c r="L208" s="395">
        <f t="shared" si="90"/>
        <v>0.66124577139132867</v>
      </c>
      <c r="M208" s="395">
        <f t="shared" si="90"/>
        <v>0.58643177949590863</v>
      </c>
      <c r="N208" s="395">
        <f t="shared" si="90"/>
        <v>0.42868870332602199</v>
      </c>
      <c r="O208" s="395">
        <f t="shared" si="90"/>
        <v>0.48929818632420863</v>
      </c>
      <c r="P208" s="395">
        <f t="shared" si="90"/>
        <v>0.38573489533936228</v>
      </c>
      <c r="Q208" s="395">
        <f t="shared" si="90"/>
        <v>0.65011760575741617</v>
      </c>
      <c r="R208" s="395">
        <f t="shared" si="90"/>
        <v>0.39265424981273722</v>
      </c>
      <c r="S208" s="395">
        <f t="shared" si="90"/>
        <v>1</v>
      </c>
      <c r="T208" s="395">
        <f t="shared" si="90"/>
        <v>0.51531479275474523</v>
      </c>
      <c r="U208" s="395">
        <f t="shared" si="90"/>
        <v>0.35290135200092076</v>
      </c>
      <c r="V208" s="395">
        <f t="shared" si="90"/>
        <v>0.53898172899809649</v>
      </c>
      <c r="W208" s="395">
        <f t="shared" si="90"/>
        <v>0.41518492287829123</v>
      </c>
      <c r="X208" s="395">
        <f t="shared" si="90"/>
        <v>0.6158414818895469</v>
      </c>
      <c r="Y208" s="395">
        <f t="shared" si="90"/>
        <v>1</v>
      </c>
      <c r="Z208" s="395">
        <f t="shared" si="90"/>
        <v>0.22249289258041138</v>
      </c>
      <c r="AA208" s="395">
        <f t="shared" si="90"/>
        <v>0.10679066283859692</v>
      </c>
      <c r="AB208" s="395">
        <f t="shared" si="90"/>
        <v>0.28562452588750031</v>
      </c>
      <c r="AC208" s="395">
        <f t="shared" si="90"/>
        <v>0.26803420922161625</v>
      </c>
      <c r="AD208" s="395">
        <f t="shared" si="90"/>
        <v>0.39821469443808649</v>
      </c>
      <c r="AE208" s="395">
        <f t="shared" si="90"/>
        <v>0.3053192606595253</v>
      </c>
      <c r="AF208" s="395">
        <f t="shared" si="90"/>
        <v>0.27271470928187347</v>
      </c>
      <c r="AG208" s="395">
        <f t="shared" si="90"/>
        <v>0.29317759749780081</v>
      </c>
    </row>
    <row r="209" spans="1:33" s="391" customFormat="1">
      <c r="A209" s="391" t="s">
        <v>437</v>
      </c>
      <c r="B209" s="395">
        <f>B207/B205</f>
        <v>0.37298075438929917</v>
      </c>
      <c r="C209" s="395">
        <f t="shared" ref="C209:AG209" si="91">C207/C205</f>
        <v>0.50811494414389091</v>
      </c>
      <c r="D209" s="395">
        <f t="shared" si="91"/>
        <v>0</v>
      </c>
      <c r="E209" s="395">
        <f t="shared" si="91"/>
        <v>1.1765083616949059E-2</v>
      </c>
      <c r="F209" s="395">
        <f t="shared" si="91"/>
        <v>7.2957908249442607E-2</v>
      </c>
      <c r="G209" s="395">
        <f t="shared" si="91"/>
        <v>1.9916274164445576E-2</v>
      </c>
      <c r="H209" s="395">
        <f t="shared" si="91"/>
        <v>0.32433574227879047</v>
      </c>
      <c r="I209" s="395">
        <f t="shared" si="91"/>
        <v>0.61264511447920023</v>
      </c>
      <c r="J209" s="395">
        <f t="shared" si="91"/>
        <v>0.51616940387498966</v>
      </c>
      <c r="K209" s="395">
        <f t="shared" si="91"/>
        <v>0.65852763437966388</v>
      </c>
      <c r="L209" s="395">
        <f t="shared" si="91"/>
        <v>0.33875422860867138</v>
      </c>
      <c r="M209" s="395">
        <f t="shared" si="91"/>
        <v>0.41356822050409137</v>
      </c>
      <c r="N209" s="395">
        <f t="shared" si="91"/>
        <v>0.57131129667397806</v>
      </c>
      <c r="O209" s="395">
        <f t="shared" si="91"/>
        <v>0.51070181367579137</v>
      </c>
      <c r="P209" s="395">
        <f t="shared" si="91"/>
        <v>0.61426510466063766</v>
      </c>
      <c r="Q209" s="395">
        <f t="shared" si="91"/>
        <v>0.34988239424258383</v>
      </c>
      <c r="R209" s="395">
        <f t="shared" si="91"/>
        <v>0.60734575018726278</v>
      </c>
      <c r="S209" s="395">
        <f t="shared" si="91"/>
        <v>0</v>
      </c>
      <c r="T209" s="395">
        <f t="shared" si="91"/>
        <v>0.48468520724525482</v>
      </c>
      <c r="U209" s="395">
        <f t="shared" si="91"/>
        <v>0.64709864799907924</v>
      </c>
      <c r="V209" s="395">
        <f t="shared" si="91"/>
        <v>0.46101827100190357</v>
      </c>
      <c r="W209" s="395">
        <f t="shared" si="91"/>
        <v>0.58481507712170877</v>
      </c>
      <c r="X209" s="395">
        <f t="shared" si="91"/>
        <v>0.3841585181104531</v>
      </c>
      <c r="Y209" s="395">
        <f t="shared" si="91"/>
        <v>0</v>
      </c>
      <c r="Z209" s="395">
        <f t="shared" si="91"/>
        <v>0.77750710741958862</v>
      </c>
      <c r="AA209" s="395">
        <f t="shared" si="91"/>
        <v>0.89320933716140305</v>
      </c>
      <c r="AB209" s="395">
        <f t="shared" si="91"/>
        <v>0.71437547411249969</v>
      </c>
      <c r="AC209" s="395">
        <f t="shared" si="91"/>
        <v>0.73196579077838375</v>
      </c>
      <c r="AD209" s="395">
        <f t="shared" si="91"/>
        <v>0.60178530556191345</v>
      </c>
      <c r="AE209" s="395">
        <f t="shared" si="91"/>
        <v>0.6946807393404747</v>
      </c>
      <c r="AF209" s="395">
        <f t="shared" si="91"/>
        <v>0.72728529071812653</v>
      </c>
      <c r="AG209" s="395">
        <f t="shared" si="91"/>
        <v>0.70682240250219919</v>
      </c>
    </row>
    <row r="210" spans="1:33" s="391" customFormat="1">
      <c r="A210" s="392" t="s">
        <v>16</v>
      </c>
      <c r="B210" s="407">
        <f>SUM(B208:B209)</f>
        <v>1</v>
      </c>
      <c r="C210" s="407">
        <f t="shared" ref="C210:AG210" si="92">SUM(C208:C209)</f>
        <v>1</v>
      </c>
      <c r="D210" s="407">
        <f t="shared" si="92"/>
        <v>1</v>
      </c>
      <c r="E210" s="407">
        <f t="shared" si="92"/>
        <v>1</v>
      </c>
      <c r="F210" s="407">
        <f t="shared" si="92"/>
        <v>1</v>
      </c>
      <c r="G210" s="407">
        <f t="shared" si="92"/>
        <v>1</v>
      </c>
      <c r="H210" s="407">
        <f t="shared" si="92"/>
        <v>1</v>
      </c>
      <c r="I210" s="407">
        <f t="shared" si="92"/>
        <v>1</v>
      </c>
      <c r="J210" s="407">
        <f t="shared" si="92"/>
        <v>1</v>
      </c>
      <c r="K210" s="407">
        <f t="shared" si="92"/>
        <v>1</v>
      </c>
      <c r="L210" s="407">
        <f t="shared" si="92"/>
        <v>1</v>
      </c>
      <c r="M210" s="407">
        <f t="shared" si="92"/>
        <v>1</v>
      </c>
      <c r="N210" s="407">
        <f t="shared" si="92"/>
        <v>1</v>
      </c>
      <c r="O210" s="407">
        <f t="shared" si="92"/>
        <v>1</v>
      </c>
      <c r="P210" s="407">
        <f t="shared" si="92"/>
        <v>1</v>
      </c>
      <c r="Q210" s="407">
        <f t="shared" si="92"/>
        <v>1</v>
      </c>
      <c r="R210" s="407">
        <f t="shared" si="92"/>
        <v>1</v>
      </c>
      <c r="S210" s="407">
        <f t="shared" si="92"/>
        <v>1</v>
      </c>
      <c r="T210" s="407">
        <f t="shared" si="92"/>
        <v>1</v>
      </c>
      <c r="U210" s="407">
        <f t="shared" si="92"/>
        <v>1</v>
      </c>
      <c r="V210" s="407">
        <f t="shared" si="92"/>
        <v>1</v>
      </c>
      <c r="W210" s="407">
        <f t="shared" si="92"/>
        <v>1</v>
      </c>
      <c r="X210" s="407">
        <f t="shared" si="92"/>
        <v>1</v>
      </c>
      <c r="Y210" s="407">
        <f t="shared" si="92"/>
        <v>1</v>
      </c>
      <c r="Z210" s="407">
        <f t="shared" si="92"/>
        <v>1</v>
      </c>
      <c r="AA210" s="407">
        <f t="shared" si="92"/>
        <v>1</v>
      </c>
      <c r="AB210" s="407">
        <f t="shared" si="92"/>
        <v>1</v>
      </c>
      <c r="AC210" s="407">
        <f t="shared" si="92"/>
        <v>1</v>
      </c>
      <c r="AD210" s="407">
        <f t="shared" si="92"/>
        <v>1</v>
      </c>
      <c r="AE210" s="407">
        <f t="shared" si="92"/>
        <v>1</v>
      </c>
      <c r="AF210" s="407">
        <f t="shared" si="92"/>
        <v>1</v>
      </c>
      <c r="AG210" s="407">
        <f t="shared" si="92"/>
        <v>1</v>
      </c>
    </row>
    <row r="211" spans="1:33">
      <c r="A211" s="133" t="s">
        <v>438</v>
      </c>
    </row>
    <row r="212" spans="1:33" s="391" customFormat="1">
      <c r="A212" s="133"/>
    </row>
    <row r="213" spans="1:33" s="459" customFormat="1">
      <c r="A213" s="133"/>
    </row>
    <row r="214" spans="1:33" s="391" customFormat="1">
      <c r="A214" s="133"/>
    </row>
    <row r="215" spans="1:33" s="391" customFormat="1" ht="15.6">
      <c r="A215" s="401" t="s">
        <v>439</v>
      </c>
      <c r="B215" s="401"/>
      <c r="C215" s="401"/>
    </row>
    <row r="216" spans="1:33" s="391" customFormat="1">
      <c r="A216" s="132" t="s">
        <v>416</v>
      </c>
      <c r="B216" s="132" t="str">
        <f>Regions!C3</f>
        <v>IE</v>
      </c>
      <c r="C216" s="132" t="str">
        <f>Regions!E3</f>
        <v>IE-CW</v>
      </c>
      <c r="D216" s="132" t="str">
        <f>Regions!F3</f>
        <v>IE-D</v>
      </c>
      <c r="E216" s="132" t="str">
        <f>Regions!G3</f>
        <v>IE-KE</v>
      </c>
      <c r="F216" s="132" t="str">
        <f>Regions!H3</f>
        <v>IE-KK</v>
      </c>
      <c r="G216" s="132" t="str">
        <f>Regions!I3</f>
        <v>IE-LS</v>
      </c>
      <c r="H216" s="132" t="str">
        <f>Regions!J3</f>
        <v>IE-LD</v>
      </c>
      <c r="I216" s="132" t="str">
        <f>Regions!K3</f>
        <v>IE-LH</v>
      </c>
      <c r="J216" s="132" t="str">
        <f>Regions!L3</f>
        <v>IE-MH</v>
      </c>
      <c r="K216" s="132" t="str">
        <f>Regions!M3</f>
        <v>IE-OY</v>
      </c>
      <c r="L216" s="132" t="str">
        <f>Regions!N3</f>
        <v>IE-WH</v>
      </c>
      <c r="M216" s="132" t="str">
        <f>Regions!O3</f>
        <v>IE-WX</v>
      </c>
      <c r="N216" s="132" t="str">
        <f>Regions!P3</f>
        <v>IE-WW</v>
      </c>
      <c r="O216" s="132" t="str">
        <f>Regions!Q3</f>
        <v>IE-CE</v>
      </c>
      <c r="P216" s="132" t="str">
        <f>Regions!R3</f>
        <v>IE-CO</v>
      </c>
      <c r="Q216" s="132" t="str">
        <f>Regions!S3</f>
        <v>IE-KY</v>
      </c>
      <c r="R216" s="132" t="str">
        <f>Regions!T3</f>
        <v>IE-LK</v>
      </c>
      <c r="S216" s="132" t="str">
        <f>Regions!U3</f>
        <v>IE-TA</v>
      </c>
      <c r="T216" s="132" t="str">
        <f>Regions!V3</f>
        <v>IE-WD</v>
      </c>
      <c r="U216" s="132" t="str">
        <f>Regions!W3</f>
        <v>IE-G</v>
      </c>
      <c r="V216" s="132" t="str">
        <f>Regions!X3</f>
        <v>IE-LM</v>
      </c>
      <c r="W216" s="132" t="str">
        <f>Regions!Y3</f>
        <v>IE-MO</v>
      </c>
      <c r="X216" s="132" t="str">
        <f>Regions!Z3</f>
        <v>IE-RN</v>
      </c>
      <c r="Y216" s="132" t="str">
        <f>Regions!AA3</f>
        <v>IE-SO</v>
      </c>
      <c r="Z216" s="132" t="str">
        <f>Regions!AB3</f>
        <v>IE-CN</v>
      </c>
      <c r="AA216" s="132" t="str">
        <f>Regions!AC3</f>
        <v>IE-DL</v>
      </c>
      <c r="AB216" s="132" t="str">
        <f>Regions!AD3</f>
        <v>IE-MN</v>
      </c>
    </row>
    <row r="217" spans="1:33" s="391" customFormat="1">
      <c r="A217" s="133" t="s">
        <v>114</v>
      </c>
      <c r="B217" s="357">
        <f>B206/B205</f>
        <v>0.62701924561070088</v>
      </c>
      <c r="C217" s="357">
        <f>C206/C205</f>
        <v>0.49188505585610903</v>
      </c>
      <c r="D217" s="357">
        <f>SUM(D206:G206)/SUM(D205:G205)</f>
        <v>0.97794648642269799</v>
      </c>
      <c r="E217" s="357">
        <f>H206/H205</f>
        <v>0.67566425772120953</v>
      </c>
      <c r="F217" s="357">
        <f>I206/I205</f>
        <v>0.38735488552079972</v>
      </c>
      <c r="G217" s="357">
        <f t="shared" ref="G217:O217" si="93">J206/J205</f>
        <v>0.48383059612501034</v>
      </c>
      <c r="H217" s="357">
        <f t="shared" si="93"/>
        <v>0.34147236562033617</v>
      </c>
      <c r="I217" s="357">
        <f>L206/L205</f>
        <v>0.66124577139132867</v>
      </c>
      <c r="J217" s="357">
        <f>M206/M205</f>
        <v>0.58643177949590863</v>
      </c>
      <c r="K217" s="357">
        <f>N206/N205</f>
        <v>0.42868870332602199</v>
      </c>
      <c r="L217" s="357">
        <f>O206/O205</f>
        <v>0.48929818632420863</v>
      </c>
      <c r="M217" s="357">
        <f t="shared" si="93"/>
        <v>0.38573489533936228</v>
      </c>
      <c r="N217" s="357">
        <f t="shared" si="93"/>
        <v>0.65011760575741617</v>
      </c>
      <c r="O217" s="357">
        <f t="shared" si="93"/>
        <v>0.39265424981273722</v>
      </c>
      <c r="P217" s="357">
        <f>SUM(S206:T206)/SUM(S205:T205)</f>
        <v>0.62750429201942282</v>
      </c>
      <c r="Q217" s="357">
        <f>U206/U205</f>
        <v>0.35290135200092076</v>
      </c>
      <c r="R217" s="357">
        <f>V206/V205</f>
        <v>0.53898172899809649</v>
      </c>
      <c r="S217" s="357">
        <f>W206/W205</f>
        <v>0.41518492287829123</v>
      </c>
      <c r="T217" s="357">
        <f>X206/X205</f>
        <v>0.6158414818895469</v>
      </c>
      <c r="U217" s="357">
        <f>SUM(Y206:Z206)/SUM(Y205:Z205)</f>
        <v>0.45951297770268701</v>
      </c>
      <c r="V217" s="357">
        <f>AA206/AA205</f>
        <v>0.10679066283859692</v>
      </c>
      <c r="W217" s="357">
        <f t="shared" ref="W217:AB217" si="94">AB206/AB205</f>
        <v>0.28562452588750031</v>
      </c>
      <c r="X217" s="357">
        <f t="shared" si="94"/>
        <v>0.26803420922161625</v>
      </c>
      <c r="Y217" s="357">
        <f t="shared" si="94"/>
        <v>0.39821469443808649</v>
      </c>
      <c r="Z217" s="357">
        <f t="shared" si="94"/>
        <v>0.3053192606595253</v>
      </c>
      <c r="AA217" s="357">
        <f t="shared" si="94"/>
        <v>0.27271470928187347</v>
      </c>
      <c r="AB217" s="357">
        <f t="shared" si="94"/>
        <v>0.29317759749780081</v>
      </c>
    </row>
    <row r="218" spans="1:33" s="391" customFormat="1">
      <c r="A218" s="133" t="s">
        <v>113</v>
      </c>
      <c r="B218" s="357">
        <f>B207/B205</f>
        <v>0.37298075438929917</v>
      </c>
      <c r="C218" s="357">
        <f>C207/C205</f>
        <v>0.50811494414389091</v>
      </c>
      <c r="D218" s="357">
        <f>SUM(D207:G207)/SUM(D205:G205)</f>
        <v>2.2053513577301967E-2</v>
      </c>
      <c r="E218" s="357">
        <f>H207/H205</f>
        <v>0.32433574227879047</v>
      </c>
      <c r="F218" s="357">
        <f>I207/I205</f>
        <v>0.61264511447920023</v>
      </c>
      <c r="G218" s="357">
        <f t="shared" ref="G218:O218" si="95">J207/J205</f>
        <v>0.51616940387498966</v>
      </c>
      <c r="H218" s="357">
        <f t="shared" si="95"/>
        <v>0.65852763437966388</v>
      </c>
      <c r="I218" s="357">
        <f>L207/L205</f>
        <v>0.33875422860867138</v>
      </c>
      <c r="J218" s="357">
        <f>M207/M205</f>
        <v>0.41356822050409137</v>
      </c>
      <c r="K218" s="357">
        <f>N207/N205</f>
        <v>0.57131129667397806</v>
      </c>
      <c r="L218" s="357">
        <f t="shared" si="95"/>
        <v>0.51070181367579137</v>
      </c>
      <c r="M218" s="357">
        <f t="shared" si="95"/>
        <v>0.61426510466063766</v>
      </c>
      <c r="N218" s="357">
        <f t="shared" si="95"/>
        <v>0.34988239424258383</v>
      </c>
      <c r="O218" s="357">
        <f t="shared" si="95"/>
        <v>0.60734575018726278</v>
      </c>
      <c r="P218" s="357">
        <f>SUM(S207:T207)/SUM(S205:T205)</f>
        <v>0.37249570798057724</v>
      </c>
      <c r="Q218" s="357">
        <f>U207/U205</f>
        <v>0.64709864799907924</v>
      </c>
      <c r="R218" s="357">
        <f>V207/V205</f>
        <v>0.46101827100190357</v>
      </c>
      <c r="S218" s="357">
        <f>W207/W205</f>
        <v>0.58481507712170877</v>
      </c>
      <c r="T218" s="357">
        <f>X207/X205</f>
        <v>0.3841585181104531</v>
      </c>
      <c r="U218" s="357">
        <f>SUM(Y207:Z207)/SUM(Y205:Z205)</f>
        <v>0.54048702229731305</v>
      </c>
      <c r="V218" s="357">
        <f>AA207/AA205</f>
        <v>0.89320933716140305</v>
      </c>
      <c r="W218" s="357">
        <f t="shared" ref="W218:AB218" si="96">AB207/AB205</f>
        <v>0.71437547411249969</v>
      </c>
      <c r="X218" s="357">
        <f t="shared" si="96"/>
        <v>0.73196579077838375</v>
      </c>
      <c r="Y218" s="357">
        <f>AD207/AD205</f>
        <v>0.60178530556191345</v>
      </c>
      <c r="Z218" s="357">
        <f t="shared" si="96"/>
        <v>0.6946807393404747</v>
      </c>
      <c r="AA218" s="357">
        <f t="shared" si="96"/>
        <v>0.72728529071812653</v>
      </c>
      <c r="AB218" s="357">
        <f t="shared" si="96"/>
        <v>0.70682240250219919</v>
      </c>
    </row>
    <row r="219" spans="1:33" s="391" customFormat="1">
      <c r="A219" s="136" t="s">
        <v>16</v>
      </c>
      <c r="B219" s="403">
        <f>SUM(B217:B218)</f>
        <v>1</v>
      </c>
      <c r="C219" s="405">
        <f>SUM(C217:C218)</f>
        <v>1</v>
      </c>
      <c r="D219" s="405">
        <f>SUM(D217:D218)</f>
        <v>1</v>
      </c>
      <c r="E219" s="405">
        <f>SUM(E217:E218)</f>
        <v>1</v>
      </c>
      <c r="F219" s="405">
        <f t="shared" ref="F219:Q219" si="97">SUM(F217:F218)</f>
        <v>1</v>
      </c>
      <c r="G219" s="405">
        <f t="shared" si="97"/>
        <v>1</v>
      </c>
      <c r="H219" s="405">
        <f t="shared" si="97"/>
        <v>1</v>
      </c>
      <c r="I219" s="405">
        <f t="shared" si="97"/>
        <v>1</v>
      </c>
      <c r="J219" s="405">
        <f t="shared" si="97"/>
        <v>1</v>
      </c>
      <c r="K219" s="405">
        <f t="shared" si="97"/>
        <v>1</v>
      </c>
      <c r="L219" s="405">
        <f t="shared" si="97"/>
        <v>1</v>
      </c>
      <c r="M219" s="405">
        <f t="shared" si="97"/>
        <v>1</v>
      </c>
      <c r="N219" s="405">
        <f t="shared" si="97"/>
        <v>1</v>
      </c>
      <c r="O219" s="405">
        <f t="shared" si="97"/>
        <v>1</v>
      </c>
      <c r="P219" s="405">
        <f t="shared" si="97"/>
        <v>1</v>
      </c>
      <c r="Q219" s="405">
        <f t="shared" si="97"/>
        <v>1</v>
      </c>
      <c r="R219" s="405">
        <f t="shared" ref="R219" si="98">SUM(R217:R218)</f>
        <v>1</v>
      </c>
      <c r="S219" s="405">
        <f t="shared" ref="S219" si="99">SUM(S217:S218)</f>
        <v>1</v>
      </c>
      <c r="T219" s="405">
        <f t="shared" ref="T219" si="100">SUM(T217:T218)</f>
        <v>1</v>
      </c>
      <c r="U219" s="405">
        <f t="shared" ref="U219" si="101">SUM(U217:U218)</f>
        <v>1</v>
      </c>
      <c r="V219" s="405">
        <f t="shared" ref="V219" si="102">SUM(V217:V218)</f>
        <v>1</v>
      </c>
      <c r="W219" s="405">
        <f t="shared" ref="W219" si="103">SUM(W217:W218)</f>
        <v>1</v>
      </c>
      <c r="X219" s="405">
        <f t="shared" ref="X219" si="104">SUM(X217:X218)</f>
        <v>1</v>
      </c>
      <c r="Y219" s="405">
        <f t="shared" ref="Y219" si="105">SUM(Y217:Y218)</f>
        <v>1</v>
      </c>
      <c r="Z219" s="405">
        <f t="shared" ref="Z219" si="106">SUM(Z217:Z218)</f>
        <v>1</v>
      </c>
      <c r="AA219" s="405">
        <f t="shared" ref="AA219" si="107">SUM(AA217:AA218)</f>
        <v>1</v>
      </c>
      <c r="AB219" s="405">
        <f t="shared" ref="AB219" si="108">SUM(AB217:AB218)</f>
        <v>1</v>
      </c>
    </row>
    <row r="220" spans="1:33" s="391" customFormat="1">
      <c r="A220" s="133" t="s">
        <v>440</v>
      </c>
    </row>
    <row r="221" spans="1:33" s="391" customFormat="1">
      <c r="A221" s="133"/>
    </row>
    <row r="222" spans="1:33" s="391" customFormat="1"/>
    <row r="223" spans="1:33" s="391" customFormat="1">
      <c r="C223" s="459"/>
      <c r="AD223" s="5"/>
    </row>
    <row r="224" spans="1:33" s="391" customFormat="1">
      <c r="A224" s="391" t="s">
        <v>449</v>
      </c>
      <c r="C224" s="459"/>
      <c r="AD224" s="5"/>
    </row>
    <row r="225" spans="1:30" s="391" customFormat="1">
      <c r="A225" s="132" t="s">
        <v>448</v>
      </c>
      <c r="B225" s="132" t="s">
        <v>447</v>
      </c>
      <c r="C225" s="459"/>
      <c r="AD225" s="5"/>
    </row>
    <row r="226" spans="1:30" s="391" customFormat="1">
      <c r="A226" s="391" t="s">
        <v>450</v>
      </c>
      <c r="B226" s="391" t="s">
        <v>369</v>
      </c>
      <c r="C226" s="459"/>
      <c r="AD226" s="5"/>
    </row>
    <row r="227" spans="1:30" s="391" customFormat="1">
      <c r="A227" s="391" t="s">
        <v>451</v>
      </c>
      <c r="B227" s="391" t="s">
        <v>370</v>
      </c>
      <c r="C227" s="459"/>
      <c r="AD227" s="5"/>
    </row>
    <row r="228" spans="1:30" s="391" customFormat="1">
      <c r="A228" s="392" t="s">
        <v>452</v>
      </c>
      <c r="B228" s="392" t="s">
        <v>371</v>
      </c>
      <c r="C228" s="459"/>
      <c r="AD228" s="5"/>
    </row>
    <row r="229" spans="1:30" s="391" customFormat="1">
      <c r="A229" s="133" t="s">
        <v>464</v>
      </c>
      <c r="B229" s="1"/>
      <c r="C229" s="459"/>
      <c r="AD229" s="5"/>
    </row>
    <row r="230" spans="1:30" s="391" customFormat="1">
      <c r="A230" s="20" t="s">
        <v>465</v>
      </c>
      <c r="B230" s="1"/>
      <c r="AD230" s="5"/>
    </row>
    <row r="231" spans="1:30" s="391" customFormat="1">
      <c r="A231" s="20" t="s">
        <v>463</v>
      </c>
      <c r="B231" s="1"/>
      <c r="AD231" s="5"/>
    </row>
    <row r="232" spans="1:30" s="391" customFormat="1">
      <c r="A232" s="20" t="s">
        <v>466</v>
      </c>
      <c r="B232" s="1"/>
      <c r="AD232" s="5"/>
    </row>
    <row r="233" spans="1:30" s="391" customFormat="1">
      <c r="A233" s="20" t="s">
        <v>462</v>
      </c>
      <c r="B233" s="1"/>
      <c r="AD233" s="5"/>
    </row>
    <row r="234" spans="1:30" s="391" customFormat="1">
      <c r="A234" s="20" t="s">
        <v>543</v>
      </c>
      <c r="B234" s="1"/>
      <c r="AD234" s="5"/>
    </row>
    <row r="236" spans="1:30" s="391" customFormat="1">
      <c r="A236" s="1"/>
      <c r="B236" s="1"/>
      <c r="AD236" s="5"/>
    </row>
    <row r="238" spans="1:30" ht="15.6">
      <c r="A238" s="401" t="s">
        <v>443</v>
      </c>
      <c r="B238" s="401"/>
      <c r="C238" s="34"/>
      <c r="D238" s="34"/>
      <c r="G238" s="401" t="s">
        <v>419</v>
      </c>
      <c r="H238" s="401"/>
      <c r="I238" s="34"/>
      <c r="J238" s="34"/>
      <c r="K238" s="34"/>
      <c r="L238" s="34"/>
      <c r="M238" s="34"/>
      <c r="N238" s="34"/>
      <c r="O238" s="34"/>
    </row>
    <row r="239" spans="1:30">
      <c r="A239" s="132" t="s">
        <v>416</v>
      </c>
      <c r="B239" s="130" t="s">
        <v>444</v>
      </c>
      <c r="C239" s="130" t="s">
        <v>445</v>
      </c>
      <c r="D239" s="130" t="s">
        <v>446</v>
      </c>
      <c r="E239" s="130" t="s">
        <v>16</v>
      </c>
      <c r="G239" s="132" t="s">
        <v>416</v>
      </c>
      <c r="H239" s="130" t="s">
        <v>363</v>
      </c>
      <c r="I239" s="130" t="s">
        <v>360</v>
      </c>
      <c r="J239" s="130" t="s">
        <v>406</v>
      </c>
      <c r="K239" s="130" t="s">
        <v>407</v>
      </c>
      <c r="L239" s="130" t="s">
        <v>24</v>
      </c>
      <c r="M239" s="130" t="s">
        <v>408</v>
      </c>
      <c r="N239" s="130" t="s">
        <v>13</v>
      </c>
      <c r="O239" s="130" t="s">
        <v>1</v>
      </c>
    </row>
    <row r="240" spans="1:30">
      <c r="A240" s="391" t="s">
        <v>399</v>
      </c>
      <c r="B240" s="357">
        <v>0.5</v>
      </c>
      <c r="C240" s="357">
        <v>0.41</v>
      </c>
      <c r="D240" s="357">
        <v>0.09</v>
      </c>
      <c r="E240" s="357">
        <f>SUM(B240:D240)</f>
        <v>0.99999999999999989</v>
      </c>
      <c r="G240" s="391" t="s">
        <v>399</v>
      </c>
      <c r="H240" s="357">
        <v>0.71</v>
      </c>
      <c r="I240" s="357">
        <v>0.18</v>
      </c>
      <c r="J240" s="357">
        <v>0.05</v>
      </c>
      <c r="K240" s="357">
        <v>0.03</v>
      </c>
      <c r="L240" s="357">
        <v>0.01</v>
      </c>
      <c r="M240" s="357">
        <v>1.7999999999999999E-2</v>
      </c>
      <c r="N240" s="357">
        <v>4.0000000000000001E-3</v>
      </c>
      <c r="O240" s="4">
        <f>SUM(H240:N240)</f>
        <v>1.002</v>
      </c>
    </row>
    <row r="241" spans="1:28">
      <c r="A241" s="391" t="s">
        <v>403</v>
      </c>
      <c r="B241" s="4">
        <v>0.61</v>
      </c>
      <c r="C241" s="4">
        <v>0.35</v>
      </c>
      <c r="D241" s="4">
        <v>0.04</v>
      </c>
      <c r="E241" s="4">
        <f>SUM(B241:D241)</f>
        <v>1</v>
      </c>
      <c r="G241" s="391" t="s">
        <v>403</v>
      </c>
      <c r="H241" s="4">
        <v>0.42</v>
      </c>
      <c r="I241" s="4">
        <v>0.28999999999999998</v>
      </c>
      <c r="J241" s="4">
        <v>0.16</v>
      </c>
      <c r="K241" s="4">
        <v>0.09</v>
      </c>
      <c r="L241" s="4">
        <v>0.02</v>
      </c>
      <c r="M241" s="4">
        <v>0.01</v>
      </c>
      <c r="N241" s="4">
        <v>6.0000000000000001E-3</v>
      </c>
      <c r="O241" s="4">
        <f>SUM(H241:N241)</f>
        <v>0.996</v>
      </c>
    </row>
    <row r="242" spans="1:28">
      <c r="A242" s="391" t="s">
        <v>409</v>
      </c>
      <c r="B242" s="4">
        <v>0.52</v>
      </c>
      <c r="C242" s="4">
        <v>0.4</v>
      </c>
      <c r="D242" s="4">
        <v>0.08</v>
      </c>
      <c r="E242" s="4">
        <f>SUM(B242:D242)</f>
        <v>1</v>
      </c>
      <c r="G242" s="391" t="s">
        <v>409</v>
      </c>
      <c r="H242" s="4">
        <v>0.63</v>
      </c>
      <c r="I242" s="4">
        <v>0.2</v>
      </c>
      <c r="J242" s="4">
        <v>0.09</v>
      </c>
      <c r="K242" s="4">
        <v>0.05</v>
      </c>
      <c r="L242" s="4">
        <v>0.02</v>
      </c>
      <c r="M242" s="4">
        <v>8.9999999999999993E-3</v>
      </c>
      <c r="N242" s="4">
        <v>1E-3</v>
      </c>
      <c r="O242" s="4">
        <f t="shared" ref="O242:O245" si="109">SUM(H242:N242)</f>
        <v>1</v>
      </c>
    </row>
    <row r="243" spans="1:28">
      <c r="A243" s="391" t="s">
        <v>404</v>
      </c>
      <c r="B243" s="4">
        <v>0.71</v>
      </c>
      <c r="C243" s="4">
        <v>0.25</v>
      </c>
      <c r="D243" s="4">
        <v>0.04</v>
      </c>
      <c r="E243" s="4">
        <f t="shared" ref="E243:E246" si="110">SUM(B243:D243)</f>
        <v>1</v>
      </c>
      <c r="G243" s="391" t="s">
        <v>404</v>
      </c>
      <c r="H243" s="4">
        <v>0.62</v>
      </c>
      <c r="I243" s="4">
        <v>0.27</v>
      </c>
      <c r="J243" s="4">
        <v>0.05</v>
      </c>
      <c r="K243" s="4">
        <v>0.05</v>
      </c>
      <c r="L243" s="4">
        <v>0</v>
      </c>
      <c r="M243" s="4">
        <v>8.9999999999999993E-3</v>
      </c>
      <c r="N243" s="4">
        <v>1E-3</v>
      </c>
      <c r="O243" s="404">
        <f t="shared" si="109"/>
        <v>1</v>
      </c>
    </row>
    <row r="244" spans="1:28">
      <c r="A244" s="391" t="s">
        <v>405</v>
      </c>
      <c r="B244" s="4">
        <v>0.56000000000000005</v>
      </c>
      <c r="C244" s="4">
        <v>0.35</v>
      </c>
      <c r="D244" s="4">
        <v>0.09</v>
      </c>
      <c r="E244" s="4">
        <f t="shared" si="110"/>
        <v>1</v>
      </c>
      <c r="G244" s="391" t="s">
        <v>405</v>
      </c>
      <c r="H244" s="4">
        <v>0.76</v>
      </c>
      <c r="I244" s="4">
        <v>0.18</v>
      </c>
      <c r="J244" s="4">
        <v>0.03</v>
      </c>
      <c r="K244" s="4">
        <v>0.01</v>
      </c>
      <c r="L244" s="4">
        <v>0</v>
      </c>
      <c r="M244" s="4">
        <v>0.01</v>
      </c>
      <c r="N244" s="4">
        <v>0.01</v>
      </c>
      <c r="O244" s="404">
        <f t="shared" si="109"/>
        <v>1</v>
      </c>
    </row>
    <row r="245" spans="1:28">
      <c r="A245" s="1" t="s">
        <v>415</v>
      </c>
      <c r="B245" s="4">
        <v>0.7</v>
      </c>
      <c r="C245" s="4">
        <v>0.21</v>
      </c>
      <c r="D245" s="4">
        <v>0.09</v>
      </c>
      <c r="E245" s="4">
        <f t="shared" si="110"/>
        <v>0.99999999999999989</v>
      </c>
      <c r="G245" s="1" t="s">
        <v>415</v>
      </c>
      <c r="H245" s="4">
        <v>0.64</v>
      </c>
      <c r="I245" s="4">
        <v>0.28999999999999998</v>
      </c>
      <c r="J245" s="4">
        <v>0.03</v>
      </c>
      <c r="K245" s="4">
        <v>0.02</v>
      </c>
      <c r="L245" s="4">
        <v>0</v>
      </c>
      <c r="M245" s="4">
        <v>0.01</v>
      </c>
      <c r="N245" s="4">
        <v>0.01</v>
      </c>
      <c r="O245" s="404">
        <f t="shared" si="109"/>
        <v>1</v>
      </c>
    </row>
    <row r="246" spans="1:28">
      <c r="A246" s="458" t="s">
        <v>113</v>
      </c>
      <c r="B246" s="403">
        <v>0.38</v>
      </c>
      <c r="C246" s="403">
        <v>0.5</v>
      </c>
      <c r="D246" s="403">
        <v>0.12</v>
      </c>
      <c r="E246" s="403">
        <f t="shared" si="110"/>
        <v>1</v>
      </c>
      <c r="G246" s="458" t="s">
        <v>113</v>
      </c>
      <c r="H246" s="403">
        <v>0.81</v>
      </c>
      <c r="I246" s="403">
        <v>0.11</v>
      </c>
      <c r="J246" s="403">
        <v>0.04</v>
      </c>
      <c r="K246" s="403">
        <v>0.01</v>
      </c>
      <c r="L246" s="403">
        <v>0</v>
      </c>
      <c r="M246" s="403">
        <v>0.02</v>
      </c>
      <c r="N246" s="403">
        <v>0.01</v>
      </c>
      <c r="O246" s="405">
        <f>SUM(H246:N246)</f>
        <v>1</v>
      </c>
    </row>
    <row r="247" spans="1:28">
      <c r="A247" s="459" t="s">
        <v>417</v>
      </c>
      <c r="B247" s="34"/>
      <c r="C247" s="34"/>
      <c r="D247" s="34"/>
      <c r="G247" s="459" t="s">
        <v>417</v>
      </c>
      <c r="L247" s="34"/>
      <c r="M247" s="34"/>
      <c r="N247" s="34"/>
      <c r="O247" s="34"/>
    </row>
    <row r="248" spans="1:28">
      <c r="A248" s="391" t="s">
        <v>605</v>
      </c>
    </row>
    <row r="249" spans="1:28" s="459" customFormat="1"/>
    <row r="250" spans="1:28" s="459" customFormat="1"/>
    <row r="251" spans="1:28" s="459" customFormat="1"/>
    <row r="252" spans="1:28" s="459" customFormat="1" ht="15.6">
      <c r="A252" s="401" t="s">
        <v>950</v>
      </c>
      <c r="B252" s="681"/>
      <c r="C252" s="681"/>
      <c r="I252" s="841" t="s">
        <v>945</v>
      </c>
      <c r="J252" s="841"/>
      <c r="K252" s="841"/>
      <c r="L252" s="841"/>
      <c r="M252" s="841"/>
      <c r="N252" s="841"/>
      <c r="O252" s="841"/>
      <c r="P252" s="841"/>
      <c r="Q252" s="841"/>
      <c r="R252" s="841"/>
      <c r="S252" s="841"/>
      <c r="T252" s="841"/>
      <c r="U252" s="841"/>
      <c r="V252" s="841"/>
      <c r="W252" s="841"/>
      <c r="X252" s="841"/>
      <c r="Y252" s="841"/>
      <c r="Z252" s="841"/>
      <c r="AA252" s="841"/>
      <c r="AB252" s="841"/>
    </row>
    <row r="253" spans="1:28" s="459" customFormat="1">
      <c r="A253" s="132" t="s">
        <v>913</v>
      </c>
      <c r="B253" s="132" t="s">
        <v>447</v>
      </c>
      <c r="C253" s="132" t="s">
        <v>914</v>
      </c>
      <c r="I253" s="842" t="s">
        <v>936</v>
      </c>
      <c r="J253" s="844" t="s">
        <v>321</v>
      </c>
      <c r="K253" s="844"/>
      <c r="L253" s="844"/>
      <c r="M253" s="13"/>
      <c r="N253" s="844" t="s">
        <v>670</v>
      </c>
      <c r="O253" s="844"/>
      <c r="P253" s="844"/>
      <c r="Q253" s="13"/>
      <c r="R253" s="844" t="s">
        <v>323</v>
      </c>
      <c r="S253" s="844"/>
      <c r="T253" s="844"/>
      <c r="U253" s="13"/>
      <c r="V253" s="844" t="s">
        <v>937</v>
      </c>
      <c r="W253" s="844"/>
      <c r="X253" s="844"/>
      <c r="Y253" s="13"/>
      <c r="Z253" s="844" t="s">
        <v>560</v>
      </c>
      <c r="AA253" s="844"/>
      <c r="AB253" s="844"/>
    </row>
    <row r="254" spans="1:28" s="459" customFormat="1" ht="21.6">
      <c r="A254" s="678"/>
      <c r="B254" s="682" t="s">
        <v>974</v>
      </c>
      <c r="C254" s="682" t="s">
        <v>915</v>
      </c>
      <c r="I254" s="843"/>
      <c r="J254" s="685" t="s">
        <v>938</v>
      </c>
      <c r="K254" s="686" t="s">
        <v>939</v>
      </c>
      <c r="L254" s="686" t="s">
        <v>940</v>
      </c>
      <c r="M254" s="687"/>
      <c r="N254" s="685" t="s">
        <v>938</v>
      </c>
      <c r="O254" s="686" t="s">
        <v>939</v>
      </c>
      <c r="P254" s="686" t="s">
        <v>940</v>
      </c>
      <c r="Q254" s="687"/>
      <c r="R254" s="685" t="s">
        <v>938</v>
      </c>
      <c r="S254" s="686" t="s">
        <v>939</v>
      </c>
      <c r="T254" s="686" t="s">
        <v>940</v>
      </c>
      <c r="U254" s="687"/>
      <c r="V254" s="685" t="s">
        <v>938</v>
      </c>
      <c r="W254" s="686" t="s">
        <v>939</v>
      </c>
      <c r="X254" s="686" t="s">
        <v>940</v>
      </c>
      <c r="Y254" s="688"/>
      <c r="Z254" s="685" t="s">
        <v>938</v>
      </c>
      <c r="AA254" s="686" t="s">
        <v>939</v>
      </c>
      <c r="AB254" s="686" t="s">
        <v>940</v>
      </c>
    </row>
    <row r="255" spans="1:28" s="459" customFormat="1">
      <c r="A255" s="459" t="s">
        <v>916</v>
      </c>
      <c r="B255" s="682">
        <v>13.6</v>
      </c>
      <c r="C255" s="682">
        <v>20.7</v>
      </c>
      <c r="I255" s="689" t="s">
        <v>372</v>
      </c>
      <c r="J255" s="690">
        <v>28512</v>
      </c>
      <c r="K255" s="690">
        <v>529</v>
      </c>
      <c r="L255" s="690">
        <v>18540</v>
      </c>
      <c r="M255" s="691"/>
      <c r="N255" s="690">
        <v>5809</v>
      </c>
      <c r="O255" s="690">
        <v>129</v>
      </c>
      <c r="P255" s="690">
        <v>22282</v>
      </c>
      <c r="Q255" s="691"/>
      <c r="R255" s="690">
        <v>563</v>
      </c>
      <c r="S255" s="690">
        <v>1</v>
      </c>
      <c r="T255" s="690">
        <v>2637</v>
      </c>
      <c r="U255" s="691"/>
      <c r="V255" s="690">
        <v>1948</v>
      </c>
      <c r="W255" s="690">
        <v>31</v>
      </c>
      <c r="X255" s="690">
        <v>16162</v>
      </c>
      <c r="Y255" s="691"/>
      <c r="Z255" s="690">
        <v>161</v>
      </c>
      <c r="AA255" s="690">
        <v>6</v>
      </c>
      <c r="AB255" s="690">
        <v>35951</v>
      </c>
    </row>
    <row r="256" spans="1:28" s="459" customFormat="1">
      <c r="A256" s="459" t="s">
        <v>917</v>
      </c>
      <c r="B256" s="682">
        <v>20.5</v>
      </c>
      <c r="C256" s="682">
        <v>26.5</v>
      </c>
      <c r="I256" s="689" t="s">
        <v>395</v>
      </c>
      <c r="J256" s="690">
        <v>31849</v>
      </c>
      <c r="K256" s="690">
        <v>613</v>
      </c>
      <c r="L256" s="690">
        <v>19246</v>
      </c>
      <c r="M256" s="691"/>
      <c r="N256" s="690">
        <v>8050</v>
      </c>
      <c r="O256" s="690">
        <v>178</v>
      </c>
      <c r="P256" s="690">
        <v>22174</v>
      </c>
      <c r="Q256" s="691"/>
      <c r="R256" s="690">
        <v>448</v>
      </c>
      <c r="S256" s="690">
        <v>1</v>
      </c>
      <c r="T256" s="690">
        <v>2711</v>
      </c>
      <c r="U256" s="691"/>
      <c r="V256" s="690">
        <v>2762</v>
      </c>
      <c r="W256" s="690">
        <v>47</v>
      </c>
      <c r="X256" s="690">
        <v>17159</v>
      </c>
      <c r="Y256" s="691"/>
      <c r="Z256" s="690">
        <v>166</v>
      </c>
      <c r="AA256" s="690">
        <v>7</v>
      </c>
      <c r="AB256" s="690">
        <v>43668</v>
      </c>
    </row>
    <row r="257" spans="1:28" s="459" customFormat="1">
      <c r="A257" s="459" t="s">
        <v>360</v>
      </c>
      <c r="B257" s="682">
        <v>2.7</v>
      </c>
      <c r="C257" s="682">
        <v>19.8</v>
      </c>
      <c r="I257" s="689" t="s">
        <v>384</v>
      </c>
      <c r="J257" s="690">
        <v>57429</v>
      </c>
      <c r="K257" s="690">
        <v>1070</v>
      </c>
      <c r="L257" s="690">
        <v>18635</v>
      </c>
      <c r="M257" s="691"/>
      <c r="N257" s="690">
        <v>9436</v>
      </c>
      <c r="O257" s="690">
        <v>198</v>
      </c>
      <c r="P257" s="690">
        <v>20976</v>
      </c>
      <c r="Q257" s="691"/>
      <c r="R257" s="690">
        <v>924</v>
      </c>
      <c r="S257" s="690">
        <v>3</v>
      </c>
      <c r="T257" s="690">
        <v>2726</v>
      </c>
      <c r="U257" s="691"/>
      <c r="V257" s="690">
        <v>3308</v>
      </c>
      <c r="W257" s="690">
        <v>60</v>
      </c>
      <c r="X257" s="690">
        <v>18027</v>
      </c>
      <c r="Y257" s="691"/>
      <c r="Z257" s="690">
        <v>353</v>
      </c>
      <c r="AA257" s="690">
        <v>14</v>
      </c>
      <c r="AB257" s="690">
        <v>39666</v>
      </c>
    </row>
    <row r="258" spans="1:28" s="459" customFormat="1">
      <c r="A258" s="459" t="s">
        <v>918</v>
      </c>
      <c r="B258" s="682">
        <v>16.3</v>
      </c>
      <c r="C258" s="682">
        <v>40</v>
      </c>
      <c r="I258" s="689" t="s">
        <v>385</v>
      </c>
      <c r="J258" s="690">
        <v>257933</v>
      </c>
      <c r="K258" s="690">
        <v>4298</v>
      </c>
      <c r="L258" s="690">
        <v>16665</v>
      </c>
      <c r="M258" s="691"/>
      <c r="N258" s="690">
        <v>41521</v>
      </c>
      <c r="O258" s="690">
        <v>879</v>
      </c>
      <c r="P258" s="690">
        <v>21168</v>
      </c>
      <c r="Q258" s="691"/>
      <c r="R258" s="690">
        <v>5452</v>
      </c>
      <c r="S258" s="690">
        <v>15</v>
      </c>
      <c r="T258" s="690">
        <v>2688</v>
      </c>
      <c r="U258" s="691"/>
      <c r="V258" s="690">
        <v>11801</v>
      </c>
      <c r="W258" s="690">
        <v>201</v>
      </c>
      <c r="X258" s="690">
        <v>16990</v>
      </c>
      <c r="Y258" s="691"/>
      <c r="Z258" s="690">
        <v>1752</v>
      </c>
      <c r="AA258" s="690">
        <v>70</v>
      </c>
      <c r="AB258" s="690">
        <v>39919</v>
      </c>
    </row>
    <row r="259" spans="1:28" s="459" customFormat="1">
      <c r="A259" s="459" t="s">
        <v>407</v>
      </c>
      <c r="B259" s="682">
        <v>5.7</v>
      </c>
      <c r="C259" s="682">
        <v>24.7</v>
      </c>
      <c r="I259" s="689" t="s">
        <v>396</v>
      </c>
      <c r="J259" s="690">
        <v>64284</v>
      </c>
      <c r="K259" s="690">
        <v>1167</v>
      </c>
      <c r="L259" s="690">
        <v>18151</v>
      </c>
      <c r="M259" s="691"/>
      <c r="N259" s="690">
        <v>14635</v>
      </c>
      <c r="O259" s="690">
        <v>289</v>
      </c>
      <c r="P259" s="690">
        <v>19749</v>
      </c>
      <c r="Q259" s="691"/>
      <c r="R259" s="690">
        <v>736</v>
      </c>
      <c r="S259" s="690">
        <v>2</v>
      </c>
      <c r="T259" s="690">
        <v>2793</v>
      </c>
      <c r="U259" s="691"/>
      <c r="V259" s="690">
        <v>3377</v>
      </c>
      <c r="W259" s="690">
        <v>64</v>
      </c>
      <c r="X259" s="690">
        <v>18812</v>
      </c>
      <c r="Y259" s="691"/>
      <c r="Z259" s="690">
        <v>365</v>
      </c>
      <c r="AA259" s="690">
        <v>15</v>
      </c>
      <c r="AB259" s="690">
        <v>40451</v>
      </c>
    </row>
    <row r="260" spans="1:28" s="459" customFormat="1">
      <c r="A260" s="459" t="s">
        <v>919</v>
      </c>
      <c r="B260" s="682">
        <v>32.299999999999997</v>
      </c>
      <c r="C260" s="682">
        <v>49.4</v>
      </c>
      <c r="I260" s="689" t="s">
        <v>373</v>
      </c>
      <c r="J260" s="690">
        <v>542534</v>
      </c>
      <c r="K260" s="690">
        <v>7610</v>
      </c>
      <c r="L260" s="690">
        <v>14027</v>
      </c>
      <c r="M260" s="691"/>
      <c r="N260" s="690">
        <v>74522</v>
      </c>
      <c r="O260" s="690">
        <v>1769</v>
      </c>
      <c r="P260" s="690">
        <v>23744</v>
      </c>
      <c r="Q260" s="691"/>
      <c r="R260" s="690">
        <v>12616</v>
      </c>
      <c r="S260" s="690">
        <v>35</v>
      </c>
      <c r="T260" s="690">
        <v>2798</v>
      </c>
      <c r="U260" s="691"/>
      <c r="V260" s="690">
        <v>1868</v>
      </c>
      <c r="W260" s="690">
        <v>30</v>
      </c>
      <c r="X260" s="690">
        <v>16155</v>
      </c>
      <c r="Y260" s="691"/>
      <c r="Z260" s="690">
        <v>11149</v>
      </c>
      <c r="AA260" s="690">
        <v>430</v>
      </c>
      <c r="AB260" s="690">
        <v>38571</v>
      </c>
    </row>
    <row r="261" spans="1:28" s="459" customFormat="1">
      <c r="A261" s="459" t="s">
        <v>920</v>
      </c>
      <c r="B261" s="682">
        <v>10.5</v>
      </c>
      <c r="C261" s="682">
        <v>17.8</v>
      </c>
      <c r="I261" s="689" t="s">
        <v>390</v>
      </c>
      <c r="J261" s="690">
        <v>114292</v>
      </c>
      <c r="K261" s="690">
        <v>2070</v>
      </c>
      <c r="L261" s="690">
        <v>18109</v>
      </c>
      <c r="M261" s="691"/>
      <c r="N261" s="690">
        <v>20357</v>
      </c>
      <c r="O261" s="690">
        <v>429</v>
      </c>
      <c r="P261" s="690">
        <v>21076</v>
      </c>
      <c r="Q261" s="691"/>
      <c r="R261" s="690">
        <v>1458</v>
      </c>
      <c r="S261" s="690">
        <v>4</v>
      </c>
      <c r="T261" s="690">
        <v>2701</v>
      </c>
      <c r="U261" s="691"/>
      <c r="V261" s="690">
        <v>5556</v>
      </c>
      <c r="W261" s="690">
        <v>99</v>
      </c>
      <c r="X261" s="690">
        <v>17765</v>
      </c>
      <c r="Y261" s="691"/>
      <c r="Z261" s="690">
        <v>962</v>
      </c>
      <c r="AA261" s="690">
        <v>39</v>
      </c>
      <c r="AB261" s="690">
        <v>40203</v>
      </c>
    </row>
    <row r="262" spans="1:28" s="459" customFormat="1">
      <c r="A262" s="459" t="s">
        <v>921</v>
      </c>
      <c r="B262" s="682">
        <v>13.7</v>
      </c>
      <c r="C262" s="682">
        <v>33.1</v>
      </c>
      <c r="I262" s="689" t="s">
        <v>386</v>
      </c>
      <c r="J262" s="690">
        <v>71897</v>
      </c>
      <c r="K262" s="690">
        <v>1277</v>
      </c>
      <c r="L262" s="690">
        <v>17764</v>
      </c>
      <c r="M262" s="691"/>
      <c r="N262" s="690">
        <v>11920</v>
      </c>
      <c r="O262" s="690">
        <v>245</v>
      </c>
      <c r="P262" s="690">
        <v>20525</v>
      </c>
      <c r="Q262" s="691"/>
      <c r="R262" s="690">
        <v>1062</v>
      </c>
      <c r="S262" s="690">
        <v>3</v>
      </c>
      <c r="T262" s="690">
        <v>2680</v>
      </c>
      <c r="U262" s="691"/>
      <c r="V262" s="690">
        <v>4371</v>
      </c>
      <c r="W262" s="690">
        <v>75</v>
      </c>
      <c r="X262" s="690">
        <v>17133</v>
      </c>
      <c r="Y262" s="691"/>
      <c r="Z262" s="690">
        <v>468</v>
      </c>
      <c r="AA262" s="690">
        <v>18</v>
      </c>
      <c r="AB262" s="690">
        <v>38700</v>
      </c>
    </row>
    <row r="263" spans="1:28" s="459" customFormat="1">
      <c r="A263" s="136" t="s">
        <v>922</v>
      </c>
      <c r="B263" s="136">
        <v>13.7</v>
      </c>
      <c r="C263" s="136">
        <v>23.3</v>
      </c>
      <c r="I263" s="689" t="s">
        <v>374</v>
      </c>
      <c r="J263" s="690">
        <v>103517</v>
      </c>
      <c r="K263" s="690">
        <v>1821</v>
      </c>
      <c r="L263" s="690">
        <v>17589</v>
      </c>
      <c r="M263" s="691"/>
      <c r="N263" s="690">
        <v>16092</v>
      </c>
      <c r="O263" s="690">
        <v>378</v>
      </c>
      <c r="P263" s="690">
        <v>23471</v>
      </c>
      <c r="Q263" s="691"/>
      <c r="R263" s="690">
        <v>2168</v>
      </c>
      <c r="S263" s="690">
        <v>6</v>
      </c>
      <c r="T263" s="690">
        <v>2728</v>
      </c>
      <c r="U263" s="691"/>
      <c r="V263" s="690">
        <v>2584</v>
      </c>
      <c r="W263" s="690">
        <v>43</v>
      </c>
      <c r="X263" s="690">
        <v>16821</v>
      </c>
      <c r="Y263" s="691"/>
      <c r="Z263" s="690">
        <v>824</v>
      </c>
      <c r="AA263" s="690">
        <v>35</v>
      </c>
      <c r="AB263" s="690">
        <v>42400</v>
      </c>
    </row>
    <row r="264" spans="1:28" s="459" customFormat="1">
      <c r="A264" s="680" t="s">
        <v>935</v>
      </c>
      <c r="I264" s="689" t="s">
        <v>375</v>
      </c>
      <c r="J264" s="690">
        <v>44549</v>
      </c>
      <c r="K264" s="690">
        <v>827</v>
      </c>
      <c r="L264" s="690">
        <v>18553</v>
      </c>
      <c r="M264" s="691"/>
      <c r="N264" s="690">
        <v>8221</v>
      </c>
      <c r="O264" s="690">
        <v>189</v>
      </c>
      <c r="P264" s="690">
        <v>23000</v>
      </c>
      <c r="Q264" s="691"/>
      <c r="R264" s="690">
        <v>872</v>
      </c>
      <c r="S264" s="690">
        <v>2</v>
      </c>
      <c r="T264" s="690">
        <v>2652</v>
      </c>
      <c r="U264" s="691"/>
      <c r="V264" s="690">
        <v>3877</v>
      </c>
      <c r="W264" s="690">
        <v>66</v>
      </c>
      <c r="X264" s="690">
        <v>16990</v>
      </c>
      <c r="Y264" s="691"/>
      <c r="Z264" s="690">
        <v>216</v>
      </c>
      <c r="AA264" s="690">
        <v>9</v>
      </c>
      <c r="AB264" s="690">
        <v>41699</v>
      </c>
    </row>
    <row r="265" spans="1:28" s="459" customFormat="1">
      <c r="I265" s="689" t="s">
        <v>376</v>
      </c>
      <c r="J265" s="690">
        <v>34880</v>
      </c>
      <c r="K265" s="690">
        <v>673</v>
      </c>
      <c r="L265" s="690">
        <v>19285</v>
      </c>
      <c r="M265" s="691"/>
      <c r="N265" s="690">
        <v>6035</v>
      </c>
      <c r="O265" s="690">
        <v>140</v>
      </c>
      <c r="P265" s="690">
        <v>23257</v>
      </c>
      <c r="Q265" s="691"/>
      <c r="R265" s="690">
        <v>513</v>
      </c>
      <c r="S265" s="690">
        <v>1</v>
      </c>
      <c r="T265" s="690">
        <v>2710</v>
      </c>
      <c r="U265" s="691"/>
      <c r="V265" s="690">
        <v>3011</v>
      </c>
      <c r="W265" s="690">
        <v>49</v>
      </c>
      <c r="X265" s="690">
        <v>16425</v>
      </c>
      <c r="Y265" s="691"/>
      <c r="Z265" s="690">
        <v>228</v>
      </c>
      <c r="AA265" s="690">
        <v>9</v>
      </c>
      <c r="AB265" s="690">
        <v>41149</v>
      </c>
    </row>
    <row r="266" spans="1:28" s="459" customFormat="1">
      <c r="I266" s="689" t="s">
        <v>391</v>
      </c>
      <c r="J266" s="690">
        <v>14548</v>
      </c>
      <c r="K266" s="690">
        <v>285</v>
      </c>
      <c r="L266" s="690">
        <v>19581</v>
      </c>
      <c r="M266" s="691"/>
      <c r="N266" s="690">
        <v>3403</v>
      </c>
      <c r="O266" s="690">
        <v>70</v>
      </c>
      <c r="P266" s="690">
        <v>20646</v>
      </c>
      <c r="Q266" s="691"/>
      <c r="R266" s="690">
        <v>160</v>
      </c>
      <c r="S266" s="690">
        <v>0</v>
      </c>
      <c r="T266" s="690">
        <v>2725</v>
      </c>
      <c r="U266" s="691"/>
      <c r="V266" s="690">
        <v>1007</v>
      </c>
      <c r="W266" s="690">
        <v>18</v>
      </c>
      <c r="X266" s="690">
        <v>18237</v>
      </c>
      <c r="Y266" s="691"/>
      <c r="Z266" s="690">
        <v>65</v>
      </c>
      <c r="AA266" s="690">
        <v>3</v>
      </c>
      <c r="AB266" s="690">
        <v>42878</v>
      </c>
    </row>
    <row r="267" spans="1:28" s="459" customFormat="1">
      <c r="I267" s="689" t="s">
        <v>387</v>
      </c>
      <c r="J267" s="690">
        <v>89182</v>
      </c>
      <c r="K267" s="690">
        <v>1580</v>
      </c>
      <c r="L267" s="690">
        <v>17715</v>
      </c>
      <c r="M267" s="691"/>
      <c r="N267" s="690">
        <v>13649</v>
      </c>
      <c r="O267" s="690">
        <v>322</v>
      </c>
      <c r="P267" s="690">
        <v>23592</v>
      </c>
      <c r="Q267" s="691"/>
      <c r="R267" s="690">
        <v>1489</v>
      </c>
      <c r="S267" s="690">
        <v>4</v>
      </c>
      <c r="T267" s="690">
        <v>2700</v>
      </c>
      <c r="U267" s="691"/>
      <c r="V267" s="690">
        <v>3915</v>
      </c>
      <c r="W267" s="690">
        <v>67</v>
      </c>
      <c r="X267" s="690">
        <v>17096</v>
      </c>
      <c r="Y267" s="691"/>
      <c r="Z267" s="690">
        <v>654</v>
      </c>
      <c r="AA267" s="690">
        <v>26</v>
      </c>
      <c r="AB267" s="690">
        <v>39988</v>
      </c>
    </row>
    <row r="268" spans="1:28" s="459" customFormat="1" ht="15.6">
      <c r="A268" s="401" t="s">
        <v>949</v>
      </c>
      <c r="B268" s="679"/>
      <c r="C268" s="679"/>
      <c r="D268" s="679"/>
      <c r="E268" s="679"/>
      <c r="F268" s="679"/>
      <c r="G268" s="679"/>
      <c r="I268" s="689" t="s">
        <v>377</v>
      </c>
      <c r="J268" s="690">
        <v>17299</v>
      </c>
      <c r="K268" s="690">
        <v>341</v>
      </c>
      <c r="L268" s="690">
        <v>19691</v>
      </c>
      <c r="M268" s="691"/>
      <c r="N268" s="690">
        <v>3939</v>
      </c>
      <c r="O268" s="690">
        <v>88</v>
      </c>
      <c r="P268" s="690">
        <v>22266</v>
      </c>
      <c r="Q268" s="691"/>
      <c r="R268" s="690">
        <v>213</v>
      </c>
      <c r="S268" s="690">
        <v>1</v>
      </c>
      <c r="T268" s="690">
        <v>2669</v>
      </c>
      <c r="U268" s="691"/>
      <c r="V268" s="690">
        <v>1329</v>
      </c>
      <c r="W268" s="690">
        <v>23</v>
      </c>
      <c r="X268" s="690">
        <v>17369</v>
      </c>
      <c r="Y268" s="691"/>
      <c r="Z268" s="690">
        <v>88</v>
      </c>
      <c r="AA268" s="690">
        <v>4</v>
      </c>
      <c r="AB268" s="690">
        <v>45372</v>
      </c>
    </row>
    <row r="269" spans="1:28" s="459" customFormat="1">
      <c r="A269" s="132" t="s">
        <v>913</v>
      </c>
      <c r="B269" s="132" t="s">
        <v>923</v>
      </c>
      <c r="C269" s="132" t="s">
        <v>924</v>
      </c>
      <c r="D269" s="132" t="s">
        <v>925</v>
      </c>
      <c r="E269" s="132" t="s">
        <v>926</v>
      </c>
      <c r="F269" s="132" t="s">
        <v>927</v>
      </c>
      <c r="G269" s="132" t="s">
        <v>1</v>
      </c>
      <c r="I269" s="689" t="s">
        <v>378</v>
      </c>
      <c r="J269" s="690">
        <v>51526</v>
      </c>
      <c r="K269" s="690">
        <v>902</v>
      </c>
      <c r="L269" s="690">
        <v>17505</v>
      </c>
      <c r="M269" s="691"/>
      <c r="N269" s="690">
        <v>8143</v>
      </c>
      <c r="O269" s="690">
        <v>188</v>
      </c>
      <c r="P269" s="690">
        <v>23094</v>
      </c>
      <c r="Q269" s="691"/>
      <c r="R269" s="690">
        <v>855</v>
      </c>
      <c r="S269" s="690">
        <v>2</v>
      </c>
      <c r="T269" s="690">
        <v>2758</v>
      </c>
      <c r="U269" s="691"/>
      <c r="V269" s="690">
        <v>1202</v>
      </c>
      <c r="W269" s="690">
        <v>21</v>
      </c>
      <c r="X269" s="690">
        <v>17116</v>
      </c>
      <c r="Y269" s="691"/>
      <c r="Z269" s="690">
        <v>580</v>
      </c>
      <c r="AA269" s="690">
        <v>24</v>
      </c>
      <c r="AB269" s="690">
        <v>42174</v>
      </c>
    </row>
    <row r="270" spans="1:28" s="459" customFormat="1">
      <c r="A270" s="459" t="s">
        <v>916</v>
      </c>
      <c r="B270" s="683">
        <v>51.5</v>
      </c>
      <c r="C270" s="683">
        <v>66.099999999999994</v>
      </c>
      <c r="D270" s="683">
        <v>70.5</v>
      </c>
      <c r="E270" s="683">
        <v>70.599999999999994</v>
      </c>
      <c r="F270" s="683">
        <v>71.900000000000006</v>
      </c>
      <c r="G270" s="683">
        <v>64.900000000000006</v>
      </c>
      <c r="I270" s="689" t="s">
        <v>392</v>
      </c>
      <c r="J270" s="690">
        <v>60960</v>
      </c>
      <c r="K270" s="690">
        <v>1136</v>
      </c>
      <c r="L270" s="690">
        <v>18636</v>
      </c>
      <c r="M270" s="691"/>
      <c r="N270" s="690">
        <v>13362</v>
      </c>
      <c r="O270" s="690">
        <v>271</v>
      </c>
      <c r="P270" s="690">
        <v>20262</v>
      </c>
      <c r="Q270" s="691"/>
      <c r="R270" s="690">
        <v>605</v>
      </c>
      <c r="S270" s="690">
        <v>2</v>
      </c>
      <c r="T270" s="690">
        <v>2718</v>
      </c>
      <c r="U270" s="691"/>
      <c r="V270" s="690">
        <v>5011</v>
      </c>
      <c r="W270" s="690">
        <v>87</v>
      </c>
      <c r="X270" s="690">
        <v>17458</v>
      </c>
      <c r="Y270" s="691"/>
      <c r="Z270" s="690">
        <v>293</v>
      </c>
      <c r="AA270" s="690">
        <v>11</v>
      </c>
      <c r="AB270" s="690">
        <v>38084</v>
      </c>
    </row>
    <row r="271" spans="1:28" s="459" customFormat="1">
      <c r="A271" s="459" t="s">
        <v>917</v>
      </c>
      <c r="B271" s="683">
        <v>5.4</v>
      </c>
      <c r="C271" s="683">
        <v>6.5</v>
      </c>
      <c r="D271" s="683">
        <v>8.5</v>
      </c>
      <c r="E271" s="683">
        <v>7</v>
      </c>
      <c r="F271" s="683">
        <v>12.7</v>
      </c>
      <c r="G271" s="683">
        <v>8.8000000000000007</v>
      </c>
      <c r="I271" s="689" t="s">
        <v>379</v>
      </c>
      <c r="J271" s="690">
        <v>88359</v>
      </c>
      <c r="K271" s="690">
        <v>1612</v>
      </c>
      <c r="L271" s="690">
        <v>18249</v>
      </c>
      <c r="M271" s="691"/>
      <c r="N271" s="690">
        <v>14783</v>
      </c>
      <c r="O271" s="690">
        <v>357</v>
      </c>
      <c r="P271" s="690">
        <v>24156</v>
      </c>
      <c r="Q271" s="691"/>
      <c r="R271" s="690">
        <v>1684</v>
      </c>
      <c r="S271" s="690">
        <v>5</v>
      </c>
      <c r="T271" s="690">
        <v>2722</v>
      </c>
      <c r="U271" s="691"/>
      <c r="V271" s="690">
        <v>3068</v>
      </c>
      <c r="W271" s="690">
        <v>53</v>
      </c>
      <c r="X271" s="690">
        <v>17195</v>
      </c>
      <c r="Y271" s="691"/>
      <c r="Z271" s="690">
        <v>978</v>
      </c>
      <c r="AA271" s="690">
        <v>42</v>
      </c>
      <c r="AB271" s="690">
        <v>43398</v>
      </c>
    </row>
    <row r="272" spans="1:28" s="459" customFormat="1">
      <c r="A272" s="459" t="s">
        <v>360</v>
      </c>
      <c r="B272" s="683">
        <v>36.1</v>
      </c>
      <c r="C272" s="683">
        <v>12.6</v>
      </c>
      <c r="D272" s="683">
        <v>5.5</v>
      </c>
      <c r="E272" s="683">
        <v>4.9000000000000004</v>
      </c>
      <c r="F272" s="683">
        <v>0.7</v>
      </c>
      <c r="G272" s="683">
        <v>13.5</v>
      </c>
      <c r="I272" s="689" t="s">
        <v>397</v>
      </c>
      <c r="J272" s="690">
        <v>25718</v>
      </c>
      <c r="K272" s="690">
        <v>492</v>
      </c>
      <c r="L272" s="690">
        <v>19132</v>
      </c>
      <c r="M272" s="691"/>
      <c r="N272" s="690">
        <v>7968</v>
      </c>
      <c r="O272" s="690">
        <v>199</v>
      </c>
      <c r="P272" s="690">
        <v>25034</v>
      </c>
      <c r="Q272" s="691"/>
      <c r="R272" s="690">
        <v>301</v>
      </c>
      <c r="S272" s="690">
        <v>1</v>
      </c>
      <c r="T272" s="690">
        <v>2780</v>
      </c>
      <c r="U272" s="691"/>
      <c r="V272" s="690">
        <v>1890</v>
      </c>
      <c r="W272" s="690">
        <v>34</v>
      </c>
      <c r="X272" s="690">
        <v>18227</v>
      </c>
      <c r="Y272" s="691"/>
      <c r="Z272" s="690">
        <v>79</v>
      </c>
      <c r="AA272" s="690">
        <v>3</v>
      </c>
      <c r="AB272" s="690">
        <v>41055</v>
      </c>
    </row>
    <row r="273" spans="1:28" s="459" customFormat="1">
      <c r="A273" s="459" t="s">
        <v>918</v>
      </c>
      <c r="B273" s="683">
        <v>1.7</v>
      </c>
      <c r="C273" s="683">
        <v>8.1</v>
      </c>
      <c r="D273" s="683">
        <v>6.7</v>
      </c>
      <c r="E273" s="683">
        <v>7.8</v>
      </c>
      <c r="F273" s="683">
        <v>4.7</v>
      </c>
      <c r="G273" s="683">
        <v>4.8</v>
      </c>
      <c r="I273" s="689" t="s">
        <v>380</v>
      </c>
      <c r="J273" s="690">
        <v>34485</v>
      </c>
      <c r="K273" s="690">
        <v>660</v>
      </c>
      <c r="L273" s="690">
        <v>19141</v>
      </c>
      <c r="M273" s="691"/>
      <c r="N273" s="690">
        <v>6525</v>
      </c>
      <c r="O273" s="690">
        <v>139</v>
      </c>
      <c r="P273" s="690">
        <v>21360</v>
      </c>
      <c r="Q273" s="691"/>
      <c r="R273" s="690">
        <v>669</v>
      </c>
      <c r="S273" s="690">
        <v>2</v>
      </c>
      <c r="T273" s="690">
        <v>2656</v>
      </c>
      <c r="U273" s="691"/>
      <c r="V273" s="690">
        <v>2620</v>
      </c>
      <c r="W273" s="690">
        <v>47</v>
      </c>
      <c r="X273" s="690">
        <v>17800</v>
      </c>
      <c r="Y273" s="691"/>
      <c r="Z273" s="690">
        <v>167</v>
      </c>
      <c r="AA273" s="690">
        <v>6</v>
      </c>
      <c r="AB273" s="690">
        <v>37758</v>
      </c>
    </row>
    <row r="274" spans="1:28" s="459" customFormat="1">
      <c r="A274" s="459" t="s">
        <v>407</v>
      </c>
      <c r="B274" s="683">
        <v>2</v>
      </c>
      <c r="C274" s="683">
        <v>2.2999999999999998</v>
      </c>
      <c r="D274" s="683">
        <v>1.6</v>
      </c>
      <c r="E274" s="683">
        <v>2.2999999999999998</v>
      </c>
      <c r="F274" s="683">
        <v>0.7</v>
      </c>
      <c r="G274" s="683">
        <v>1.5</v>
      </c>
      <c r="I274" s="689" t="s">
        <v>393</v>
      </c>
      <c r="J274" s="690">
        <v>32566</v>
      </c>
      <c r="K274" s="690">
        <v>661</v>
      </c>
      <c r="L274" s="690">
        <v>20301</v>
      </c>
      <c r="M274" s="691"/>
      <c r="N274" s="690">
        <v>6384</v>
      </c>
      <c r="O274" s="690">
        <v>138</v>
      </c>
      <c r="P274" s="690">
        <v>21565</v>
      </c>
      <c r="Q274" s="691"/>
      <c r="R274" s="690">
        <v>295</v>
      </c>
      <c r="S274" s="690">
        <v>1</v>
      </c>
      <c r="T274" s="690">
        <v>2729</v>
      </c>
      <c r="U274" s="691"/>
      <c r="V274" s="690">
        <v>2509</v>
      </c>
      <c r="W274" s="690">
        <v>45</v>
      </c>
      <c r="X274" s="690">
        <v>18122</v>
      </c>
      <c r="Y274" s="691"/>
      <c r="Z274" s="690">
        <v>132</v>
      </c>
      <c r="AA274" s="690">
        <v>5</v>
      </c>
      <c r="AB274" s="690">
        <v>38818</v>
      </c>
    </row>
    <row r="275" spans="1:28" s="459" customFormat="1">
      <c r="A275" s="459" t="s">
        <v>919</v>
      </c>
      <c r="B275" s="683">
        <v>0.2</v>
      </c>
      <c r="C275" s="683">
        <v>1.2</v>
      </c>
      <c r="D275" s="683">
        <v>2.1</v>
      </c>
      <c r="E275" s="683">
        <v>3.3</v>
      </c>
      <c r="F275" s="683">
        <v>2.9</v>
      </c>
      <c r="G275" s="683">
        <v>1.8</v>
      </c>
      <c r="I275" s="689" t="s">
        <v>394</v>
      </c>
      <c r="J275" s="690">
        <v>29107</v>
      </c>
      <c r="K275" s="690">
        <v>525</v>
      </c>
      <c r="L275" s="690">
        <v>18042</v>
      </c>
      <c r="M275" s="691"/>
      <c r="N275" s="690">
        <v>6045</v>
      </c>
      <c r="O275" s="690">
        <v>121</v>
      </c>
      <c r="P275" s="690">
        <v>20073</v>
      </c>
      <c r="Q275" s="691"/>
      <c r="R275" s="690">
        <v>400</v>
      </c>
      <c r="S275" s="690">
        <v>1</v>
      </c>
      <c r="T275" s="690">
        <v>2648</v>
      </c>
      <c r="U275" s="691"/>
      <c r="V275" s="690">
        <v>1706</v>
      </c>
      <c r="W275" s="690">
        <v>30</v>
      </c>
      <c r="X275" s="690">
        <v>17755</v>
      </c>
      <c r="Y275" s="691"/>
      <c r="Z275" s="690">
        <v>169</v>
      </c>
      <c r="AA275" s="690">
        <v>7</v>
      </c>
      <c r="AB275" s="690">
        <v>39241</v>
      </c>
    </row>
    <row r="276" spans="1:28" s="459" customFormat="1">
      <c r="A276" s="459" t="s">
        <v>928</v>
      </c>
      <c r="B276" s="683">
        <v>0</v>
      </c>
      <c r="C276" s="683">
        <v>0.1</v>
      </c>
      <c r="D276" s="683">
        <v>0.4</v>
      </c>
      <c r="E276" s="683">
        <v>0.8</v>
      </c>
      <c r="F276" s="683">
        <v>1.6</v>
      </c>
      <c r="G276" s="683">
        <v>0.7</v>
      </c>
      <c r="I276" s="689" t="s">
        <v>941</v>
      </c>
      <c r="J276" s="690">
        <v>79392</v>
      </c>
      <c r="K276" s="690">
        <v>1513</v>
      </c>
      <c r="L276" s="690">
        <v>19060</v>
      </c>
      <c r="M276" s="691"/>
      <c r="N276" s="690">
        <v>13961</v>
      </c>
      <c r="O276" s="690">
        <v>302</v>
      </c>
      <c r="P276" s="690">
        <v>21661</v>
      </c>
      <c r="Q276" s="691"/>
      <c r="R276" s="690">
        <v>1412</v>
      </c>
      <c r="S276" s="690">
        <v>4</v>
      </c>
      <c r="T276" s="690">
        <v>2694</v>
      </c>
      <c r="U276" s="691"/>
      <c r="V276" s="690">
        <v>5782</v>
      </c>
      <c r="W276" s="690">
        <v>101</v>
      </c>
      <c r="X276" s="690">
        <v>17386</v>
      </c>
      <c r="Y276" s="691"/>
      <c r="Z276" s="690">
        <v>256</v>
      </c>
      <c r="AA276" s="690">
        <v>10</v>
      </c>
      <c r="AB276" s="690">
        <v>39967</v>
      </c>
    </row>
    <row r="277" spans="1:28" s="459" customFormat="1">
      <c r="A277" s="459" t="s">
        <v>929</v>
      </c>
      <c r="B277" s="683">
        <v>0.2</v>
      </c>
      <c r="C277" s="683">
        <v>1.1000000000000001</v>
      </c>
      <c r="D277" s="683">
        <v>1.7</v>
      </c>
      <c r="E277" s="683">
        <v>2.5</v>
      </c>
      <c r="F277" s="683">
        <v>1.3</v>
      </c>
      <c r="G277" s="683">
        <v>1.1000000000000001</v>
      </c>
      <c r="I277" s="689" t="s">
        <v>389</v>
      </c>
      <c r="J277" s="690">
        <v>57594</v>
      </c>
      <c r="K277" s="690">
        <v>984</v>
      </c>
      <c r="L277" s="690">
        <v>17082</v>
      </c>
      <c r="M277" s="691"/>
      <c r="N277" s="690">
        <v>8161</v>
      </c>
      <c r="O277" s="690">
        <v>163</v>
      </c>
      <c r="P277" s="690">
        <v>19962</v>
      </c>
      <c r="Q277" s="691"/>
      <c r="R277" s="690">
        <v>1293</v>
      </c>
      <c r="S277" s="690">
        <v>3</v>
      </c>
      <c r="T277" s="690">
        <v>2648</v>
      </c>
      <c r="U277" s="691"/>
      <c r="V277" s="690">
        <v>2474</v>
      </c>
      <c r="W277" s="690">
        <v>42</v>
      </c>
      <c r="X277" s="690">
        <v>16991</v>
      </c>
      <c r="Y277" s="691"/>
      <c r="Z277" s="690">
        <v>308</v>
      </c>
      <c r="AA277" s="690">
        <v>12</v>
      </c>
      <c r="AB277" s="690">
        <v>38377</v>
      </c>
    </row>
    <row r="278" spans="1:28" s="459" customFormat="1">
      <c r="A278" s="459" t="s">
        <v>920</v>
      </c>
      <c r="B278" s="683">
        <v>0.8</v>
      </c>
      <c r="C278" s="683">
        <v>1.7</v>
      </c>
      <c r="D278" s="683">
        <v>1.4</v>
      </c>
      <c r="E278" s="683">
        <v>1.4</v>
      </c>
      <c r="F278" s="683">
        <v>0.5</v>
      </c>
      <c r="G278" s="683">
        <v>0.9</v>
      </c>
      <c r="I278" s="689" t="s">
        <v>381</v>
      </c>
      <c r="J278" s="690">
        <v>41252</v>
      </c>
      <c r="K278" s="690">
        <v>786</v>
      </c>
      <c r="L278" s="690">
        <v>19053</v>
      </c>
      <c r="M278" s="691"/>
      <c r="N278" s="690">
        <v>8110</v>
      </c>
      <c r="O278" s="690">
        <v>174</v>
      </c>
      <c r="P278" s="690">
        <v>21429</v>
      </c>
      <c r="Q278" s="691"/>
      <c r="R278" s="690">
        <v>604</v>
      </c>
      <c r="S278" s="690">
        <v>2</v>
      </c>
      <c r="T278" s="690">
        <v>2706</v>
      </c>
      <c r="U278" s="691"/>
      <c r="V278" s="690">
        <v>2353</v>
      </c>
      <c r="W278" s="690">
        <v>41</v>
      </c>
      <c r="X278" s="690">
        <v>17421</v>
      </c>
      <c r="Y278" s="691"/>
      <c r="Z278" s="690">
        <v>280</v>
      </c>
      <c r="AA278" s="690">
        <v>12</v>
      </c>
      <c r="AB278" s="690">
        <v>42203</v>
      </c>
    </row>
    <row r="279" spans="1:28" s="459" customFormat="1">
      <c r="A279" s="459" t="s">
        <v>930</v>
      </c>
      <c r="B279" s="683">
        <v>2.4</v>
      </c>
      <c r="C279" s="683">
        <v>1.6</v>
      </c>
      <c r="D279" s="683">
        <v>3.5</v>
      </c>
      <c r="E279" s="683">
        <v>2.7</v>
      </c>
      <c r="F279" s="683">
        <v>6</v>
      </c>
      <c r="G279" s="683">
        <v>3.7</v>
      </c>
      <c r="I279" s="689" t="s">
        <v>382</v>
      </c>
      <c r="J279" s="690">
        <v>75184</v>
      </c>
      <c r="K279" s="690">
        <v>1384</v>
      </c>
      <c r="L279" s="690">
        <v>18409</v>
      </c>
      <c r="M279" s="691"/>
      <c r="N279" s="690">
        <v>13989</v>
      </c>
      <c r="O279" s="690">
        <v>334</v>
      </c>
      <c r="P279" s="690">
        <v>23897</v>
      </c>
      <c r="Q279" s="691"/>
      <c r="R279" s="690">
        <v>1506</v>
      </c>
      <c r="S279" s="690">
        <v>4</v>
      </c>
      <c r="T279" s="690">
        <v>2657</v>
      </c>
      <c r="U279" s="691"/>
      <c r="V279" s="690">
        <v>4572</v>
      </c>
      <c r="W279" s="690">
        <v>78</v>
      </c>
      <c r="X279" s="690">
        <v>17114</v>
      </c>
      <c r="Y279" s="691"/>
      <c r="Z279" s="690">
        <v>270</v>
      </c>
      <c r="AA279" s="690">
        <v>10</v>
      </c>
      <c r="AB279" s="690">
        <v>38521</v>
      </c>
    </row>
    <row r="280" spans="1:28" s="459" customFormat="1">
      <c r="A280" s="459" t="s">
        <v>931</v>
      </c>
      <c r="B280" s="683">
        <v>0.1</v>
      </c>
      <c r="C280" s="683">
        <v>0.1</v>
      </c>
      <c r="D280" s="683">
        <v>0.1</v>
      </c>
      <c r="E280" s="683">
        <v>0</v>
      </c>
      <c r="F280" s="683">
        <v>0.5</v>
      </c>
      <c r="G280" s="683">
        <v>0.2</v>
      </c>
      <c r="I280" s="689" t="s">
        <v>383</v>
      </c>
      <c r="J280" s="690">
        <v>68616</v>
      </c>
      <c r="K280" s="690">
        <v>1160</v>
      </c>
      <c r="L280" s="690">
        <v>16906</v>
      </c>
      <c r="M280" s="691"/>
      <c r="N280" s="690">
        <v>9437</v>
      </c>
      <c r="O280" s="690">
        <v>200</v>
      </c>
      <c r="P280" s="690">
        <v>21192</v>
      </c>
      <c r="Q280" s="691"/>
      <c r="R280" s="690">
        <v>1554</v>
      </c>
      <c r="S280" s="690">
        <v>4</v>
      </c>
      <c r="T280" s="690">
        <v>2720</v>
      </c>
      <c r="U280" s="691"/>
      <c r="V280" s="690">
        <v>1917</v>
      </c>
      <c r="W280" s="690">
        <v>32</v>
      </c>
      <c r="X280" s="690">
        <v>16560</v>
      </c>
      <c r="Y280" s="691"/>
      <c r="Z280" s="690">
        <v>358</v>
      </c>
      <c r="AA280" s="690">
        <v>14</v>
      </c>
      <c r="AB280" s="690">
        <v>38367</v>
      </c>
    </row>
    <row r="281" spans="1:28" s="459" customFormat="1">
      <c r="A281" s="459" t="s">
        <v>932</v>
      </c>
      <c r="B281" s="683">
        <v>1.3</v>
      </c>
      <c r="C281" s="683">
        <v>1</v>
      </c>
      <c r="D281" s="683">
        <v>3.1</v>
      </c>
      <c r="E281" s="683">
        <v>2.1</v>
      </c>
      <c r="F281" s="683">
        <v>4.8</v>
      </c>
      <c r="G281" s="683">
        <v>2.8</v>
      </c>
      <c r="I281" s="692" t="s">
        <v>1</v>
      </c>
      <c r="J281" s="693">
        <v>2117463</v>
      </c>
      <c r="K281" s="693">
        <v>35975</v>
      </c>
      <c r="L281" s="693">
        <v>16990</v>
      </c>
      <c r="M281" s="693"/>
      <c r="N281" s="693">
        <v>354458</v>
      </c>
      <c r="O281" s="693">
        <v>7891</v>
      </c>
      <c r="P281" s="693">
        <v>22263</v>
      </c>
      <c r="Q281" s="693"/>
      <c r="R281" s="693">
        <v>39851</v>
      </c>
      <c r="S281" s="693">
        <v>109</v>
      </c>
      <c r="T281" s="693">
        <v>2731</v>
      </c>
      <c r="U281" s="693"/>
      <c r="V281" s="693">
        <v>85820</v>
      </c>
      <c r="W281" s="693">
        <v>1485</v>
      </c>
      <c r="X281" s="693">
        <v>17300</v>
      </c>
      <c r="Y281" s="693"/>
      <c r="Z281" s="693">
        <v>21319</v>
      </c>
      <c r="AA281" s="693">
        <v>842</v>
      </c>
      <c r="AB281" s="693">
        <v>39501</v>
      </c>
    </row>
    <row r="282" spans="1:28" s="459" customFormat="1">
      <c r="A282" s="459" t="s">
        <v>933</v>
      </c>
      <c r="B282" s="683">
        <v>1</v>
      </c>
      <c r="C282" s="683">
        <v>0.4</v>
      </c>
      <c r="D282" s="683">
        <v>0.3</v>
      </c>
      <c r="E282" s="683">
        <v>0.6</v>
      </c>
      <c r="F282" s="683">
        <v>0.7</v>
      </c>
      <c r="G282" s="683">
        <v>0.7</v>
      </c>
      <c r="I282" s="689" t="s">
        <v>946</v>
      </c>
    </row>
    <row r="283" spans="1:28" s="459" customFormat="1">
      <c r="A283" s="136" t="s">
        <v>922</v>
      </c>
      <c r="B283" s="684">
        <v>100</v>
      </c>
      <c r="C283" s="684">
        <v>100</v>
      </c>
      <c r="D283" s="684">
        <v>100</v>
      </c>
      <c r="E283" s="684">
        <v>100</v>
      </c>
      <c r="F283" s="684">
        <v>100</v>
      </c>
      <c r="G283" s="684">
        <v>100</v>
      </c>
    </row>
    <row r="284" spans="1:28" s="459" customFormat="1">
      <c r="A284" s="680" t="s">
        <v>934</v>
      </c>
    </row>
    <row r="285" spans="1:28" s="459" customFormat="1"/>
    <row r="286" spans="1:28" s="459" customFormat="1"/>
    <row r="287" spans="1:28" s="459" customFormat="1">
      <c r="F287" s="6"/>
    </row>
    <row r="288" spans="1:28" s="459" customFormat="1">
      <c r="A288" s="459" t="s">
        <v>953</v>
      </c>
      <c r="F288" s="6"/>
    </row>
    <row r="289" spans="1:9" s="459" customFormat="1">
      <c r="A289" s="132" t="s">
        <v>942</v>
      </c>
      <c r="B289" s="130" t="s">
        <v>947</v>
      </c>
      <c r="C289" s="130" t="s">
        <v>948</v>
      </c>
      <c r="D289" s="130" t="s">
        <v>943</v>
      </c>
      <c r="E289" s="130" t="s">
        <v>954</v>
      </c>
      <c r="F289" s="130" t="s">
        <v>532</v>
      </c>
    </row>
    <row r="290" spans="1:9" s="459" customFormat="1">
      <c r="A290" s="459" t="s">
        <v>944</v>
      </c>
      <c r="B290" s="39">
        <v>4</v>
      </c>
      <c r="C290" s="578">
        <f>B240</f>
        <v>0.5</v>
      </c>
      <c r="D290" s="696">
        <f>B290/$B$293</f>
        <v>0.27889325272494597</v>
      </c>
      <c r="E290" s="396">
        <f>$E$293*C290*D290</f>
        <v>7485.229753311015</v>
      </c>
      <c r="F290" s="578">
        <f>E290/$E$293</f>
        <v>0.13944662636247299</v>
      </c>
    </row>
    <row r="291" spans="1:9" s="459" customFormat="1">
      <c r="A291" s="459" t="s">
        <v>952</v>
      </c>
      <c r="B291" s="39">
        <v>17</v>
      </c>
      <c r="C291" s="578">
        <f>C240</f>
        <v>0.41</v>
      </c>
      <c r="D291" s="696">
        <f>B291/$B$293</f>
        <v>1.1852963240810204</v>
      </c>
      <c r="E291" s="396">
        <f>$E$293*C291*D291</f>
        <v>26086.025690288883</v>
      </c>
      <c r="F291" s="578">
        <f>E291/$E$293</f>
        <v>0.48597149287321834</v>
      </c>
      <c r="I291" s="135"/>
    </row>
    <row r="292" spans="1:9" s="459" customFormat="1">
      <c r="A292" s="459" t="s">
        <v>951</v>
      </c>
      <c r="B292" s="577">
        <f>((B293-(B290*C290)-(B291*C291)))/C292</f>
        <v>59.693389592123772</v>
      </c>
      <c r="C292" s="578">
        <f>D240</f>
        <v>0.09</v>
      </c>
      <c r="D292" s="696">
        <f>B292/$B$293</f>
        <v>4.1620208973812085</v>
      </c>
      <c r="E292" s="396">
        <f>$E$293*C292*D292</f>
        <v>20106.843113292791</v>
      </c>
      <c r="F292" s="578">
        <f>E292/$E$293</f>
        <v>0.37458188076430876</v>
      </c>
    </row>
    <row r="293" spans="1:9" s="459" customFormat="1">
      <c r="A293" s="136" t="s">
        <v>1</v>
      </c>
      <c r="B293" s="694">
        <f>(B255*D270/(SUM(D270:D271)))+(B256*D271/(SUM(D270:D271)))</f>
        <v>14.342405063291139</v>
      </c>
      <c r="C293" s="523" t="s">
        <v>17</v>
      </c>
      <c r="D293" s="695" t="s">
        <v>17</v>
      </c>
      <c r="E293" s="697">
        <f>C148</f>
        <v>53678.098556892684</v>
      </c>
      <c r="F293" s="697">
        <f>SUM(F290:F292)</f>
        <v>1</v>
      </c>
      <c r="I293" s="35"/>
    </row>
    <row r="294" spans="1:9" s="459" customFormat="1">
      <c r="A294" s="459" t="s">
        <v>959</v>
      </c>
    </row>
    <row r="295" spans="1:9" s="459" customFormat="1"/>
    <row r="296" spans="1:9" s="459" customFormat="1"/>
    <row r="297" spans="1:9" s="459" customFormat="1"/>
    <row r="298" spans="1:9" s="459" customFormat="1">
      <c r="A298" s="459" t="s">
        <v>957</v>
      </c>
      <c r="F298" s="6"/>
    </row>
    <row r="299" spans="1:9" s="459" customFormat="1">
      <c r="A299" s="132" t="s">
        <v>942</v>
      </c>
      <c r="B299" s="130" t="s">
        <v>947</v>
      </c>
      <c r="C299" s="130" t="s">
        <v>948</v>
      </c>
      <c r="D299" s="130" t="s">
        <v>943</v>
      </c>
      <c r="E299" s="130" t="s">
        <v>954</v>
      </c>
      <c r="F299" s="130" t="s">
        <v>532</v>
      </c>
    </row>
    <row r="300" spans="1:9" s="459" customFormat="1">
      <c r="A300" s="459" t="s">
        <v>944</v>
      </c>
      <c r="B300" s="39">
        <v>4</v>
      </c>
      <c r="C300" s="578">
        <f>B240</f>
        <v>0.5</v>
      </c>
      <c r="D300" s="696">
        <f>B300/$B$303</f>
        <v>0.38095238095238093</v>
      </c>
      <c r="E300" s="577">
        <f>$E$303*C300*D300</f>
        <v>238.72184365296803</v>
      </c>
      <c r="F300" s="578">
        <f>E300/$E$303</f>
        <v>0.19047619047619047</v>
      </c>
    </row>
    <row r="301" spans="1:9" s="459" customFormat="1">
      <c r="A301" s="459" t="s">
        <v>952</v>
      </c>
      <c r="B301" s="39">
        <v>14</v>
      </c>
      <c r="C301" s="578">
        <f>C240</f>
        <v>0.41</v>
      </c>
      <c r="D301" s="696">
        <f>B301/$B$303</f>
        <v>1.3333333333333333</v>
      </c>
      <c r="E301" s="577">
        <f>$E$303*C301*D301</f>
        <v>685.13169128401819</v>
      </c>
      <c r="F301" s="578">
        <f>E301/$E$303</f>
        <v>0.54666666666666663</v>
      </c>
    </row>
    <row r="302" spans="1:9" s="459" customFormat="1">
      <c r="A302" s="459" t="s">
        <v>951</v>
      </c>
      <c r="B302" s="577">
        <f>((B303-(B300*C300)-(B301*C301)))/C302</f>
        <v>30.666666666666675</v>
      </c>
      <c r="C302" s="578">
        <f>D240</f>
        <v>0.09</v>
      </c>
      <c r="D302" s="696">
        <f>B302/$B$303</f>
        <v>2.9206349206349214</v>
      </c>
      <c r="E302" s="577">
        <f>$E$303*C302*D302</f>
        <v>329.43614424109597</v>
      </c>
      <c r="F302" s="578">
        <f>E302/$E$303</f>
        <v>0.2628571428571429</v>
      </c>
    </row>
    <row r="303" spans="1:9" s="459" customFormat="1">
      <c r="A303" s="136" t="s">
        <v>1</v>
      </c>
      <c r="B303" s="694">
        <f>B261</f>
        <v>10.5</v>
      </c>
      <c r="C303" s="523" t="s">
        <v>17</v>
      </c>
      <c r="D303" s="695" t="s">
        <v>17</v>
      </c>
      <c r="E303" s="697">
        <f>C152</f>
        <v>1253.2896791780822</v>
      </c>
      <c r="F303" s="697">
        <f>SUM(F300:F302)</f>
        <v>1</v>
      </c>
    </row>
    <row r="304" spans="1:9" s="459" customFormat="1">
      <c r="A304" s="698"/>
      <c r="B304" s="699"/>
      <c r="C304" s="700"/>
      <c r="D304" s="701"/>
      <c r="E304" s="702"/>
      <c r="F304" s="702"/>
    </row>
    <row r="305" spans="1:6" s="459" customFormat="1">
      <c r="A305" s="698"/>
      <c r="B305" s="699"/>
      <c r="C305" s="700"/>
      <c r="D305" s="701"/>
      <c r="E305" s="702"/>
      <c r="F305" s="702"/>
    </row>
    <row r="306" spans="1:6" s="459" customFormat="1">
      <c r="A306" s="698"/>
      <c r="B306" s="699"/>
      <c r="C306" s="700"/>
      <c r="D306" s="701"/>
      <c r="E306" s="702"/>
      <c r="F306" s="702"/>
    </row>
    <row r="307" spans="1:6" s="459" customFormat="1">
      <c r="A307" s="459" t="s">
        <v>963</v>
      </c>
      <c r="F307" s="6"/>
    </row>
    <row r="308" spans="1:6" s="459" customFormat="1">
      <c r="A308" s="132" t="s">
        <v>942</v>
      </c>
      <c r="B308" s="130" t="s">
        <v>947</v>
      </c>
      <c r="C308" s="130" t="s">
        <v>948</v>
      </c>
      <c r="D308" s="130" t="s">
        <v>943</v>
      </c>
      <c r="E308" s="130" t="s">
        <v>954</v>
      </c>
      <c r="F308" s="130" t="s">
        <v>532</v>
      </c>
    </row>
    <row r="309" spans="1:6" s="459" customFormat="1">
      <c r="A309" s="459" t="s">
        <v>944</v>
      </c>
      <c r="B309" s="39">
        <v>4</v>
      </c>
      <c r="C309" s="578">
        <f>B240</f>
        <v>0.5</v>
      </c>
      <c r="D309" s="696">
        <f>B309/$B$312</f>
        <v>0.24539877300613497</v>
      </c>
      <c r="E309" s="577">
        <f>$E$312*C309*D309</f>
        <v>1204.4243616479548</v>
      </c>
      <c r="F309" s="578">
        <f>E309/$E$312</f>
        <v>0.12269938650306748</v>
      </c>
    </row>
    <row r="310" spans="1:6" s="459" customFormat="1">
      <c r="A310" s="459" t="s">
        <v>952</v>
      </c>
      <c r="B310" s="39">
        <v>17</v>
      </c>
      <c r="C310" s="578">
        <f>C240</f>
        <v>0.41</v>
      </c>
      <c r="D310" s="696">
        <f>B310/$B$312</f>
        <v>1.0429447852760736</v>
      </c>
      <c r="E310" s="577">
        <f>$E$312*C310*D310</f>
        <v>4197.418900343122</v>
      </c>
      <c r="F310" s="578">
        <f>E310/$E$312</f>
        <v>0.4276073619631901</v>
      </c>
    </row>
    <row r="311" spans="1:6" s="459" customFormat="1">
      <c r="A311" s="459" t="s">
        <v>951</v>
      </c>
      <c r="B311" s="577">
        <f>((B312-(B309*C309)-(B310*C310)))/C311</f>
        <v>81.444444444444457</v>
      </c>
      <c r="C311" s="578">
        <f>D240</f>
        <v>0.09</v>
      </c>
      <c r="D311" s="696">
        <f>B311/$B$312</f>
        <v>4.9965916837082487</v>
      </c>
      <c r="E311" s="577">
        <f>$E$312*C311*D311</f>
        <v>4414.2152854397546</v>
      </c>
      <c r="F311" s="578">
        <f>E311/$E$312</f>
        <v>0.44969325153374234</v>
      </c>
    </row>
    <row r="312" spans="1:6" s="459" customFormat="1">
      <c r="A312" s="136" t="s">
        <v>1</v>
      </c>
      <c r="B312" s="694">
        <f>B258</f>
        <v>16.3</v>
      </c>
      <c r="C312" s="523" t="s">
        <v>17</v>
      </c>
      <c r="D312" s="695" t="s">
        <v>17</v>
      </c>
      <c r="E312" s="697">
        <f>C153</f>
        <v>9816.0585474308318</v>
      </c>
      <c r="F312" s="697">
        <f>SUM(F309:F311)</f>
        <v>1</v>
      </c>
    </row>
    <row r="313" spans="1:6" s="459" customFormat="1"/>
    <row r="314" spans="1:6" s="459" customFormat="1"/>
    <row r="315" spans="1:6" s="459" customFormat="1"/>
    <row r="316" spans="1:6" s="459" customFormat="1">
      <c r="A316" s="459" t="s">
        <v>958</v>
      </c>
      <c r="F316" s="6"/>
    </row>
    <row r="317" spans="1:6" s="459" customFormat="1">
      <c r="A317" s="132" t="s">
        <v>942</v>
      </c>
      <c r="B317" s="130" t="s">
        <v>947</v>
      </c>
      <c r="C317" s="130" t="s">
        <v>948</v>
      </c>
      <c r="D317" s="130" t="s">
        <v>943</v>
      </c>
      <c r="E317" s="130" t="s">
        <v>954</v>
      </c>
      <c r="F317" s="130" t="s">
        <v>532</v>
      </c>
    </row>
    <row r="318" spans="1:6" s="459" customFormat="1">
      <c r="A318" s="459" t="s">
        <v>944</v>
      </c>
      <c r="B318" s="39">
        <v>4</v>
      </c>
      <c r="C318" s="578">
        <f>C300</f>
        <v>0.5</v>
      </c>
      <c r="D318" s="696">
        <f>B318/$B$320</f>
        <v>0.29197080291970806</v>
      </c>
      <c r="E318" s="577">
        <f>$E$320*C318*D318</f>
        <v>17.503649635036499</v>
      </c>
      <c r="F318" s="578">
        <f>E318/$E$320</f>
        <v>0.14598540145985403</v>
      </c>
    </row>
    <row r="319" spans="1:6" s="459" customFormat="1">
      <c r="A319" s="459" t="s">
        <v>952</v>
      </c>
      <c r="B319" s="39">
        <f>(B320-(B318*C319))/C318</f>
        <v>23.4</v>
      </c>
      <c r="C319" s="578">
        <v>0.5</v>
      </c>
      <c r="D319" s="696">
        <f>B319/$B$320</f>
        <v>1.7080291970802919</v>
      </c>
      <c r="E319" s="577">
        <f>$E$320*C319*D319</f>
        <v>102.39635036496351</v>
      </c>
      <c r="F319" s="578">
        <f>E319/$E$320</f>
        <v>0.85401459854014605</v>
      </c>
    </row>
    <row r="320" spans="1:6" s="459" customFormat="1">
      <c r="A320" s="136" t="s">
        <v>1</v>
      </c>
      <c r="B320" s="694">
        <f>B262</f>
        <v>13.7</v>
      </c>
      <c r="C320" s="523" t="s">
        <v>17</v>
      </c>
      <c r="D320" s="695" t="s">
        <v>17</v>
      </c>
      <c r="E320" s="697">
        <f>C144</f>
        <v>119.9</v>
      </c>
      <c r="F320" s="697">
        <f>SUM(F318:F319)</f>
        <v>1</v>
      </c>
    </row>
    <row r="321" spans="1:29" s="459" customFormat="1">
      <c r="A321" s="698"/>
      <c r="B321" s="699"/>
      <c r="C321" s="700"/>
      <c r="D321" s="701"/>
      <c r="E321" s="702"/>
      <c r="F321" s="702"/>
    </row>
    <row r="322" spans="1:29" s="459" customFormat="1">
      <c r="A322" s="698"/>
      <c r="B322" s="699"/>
      <c r="C322" s="700"/>
      <c r="D322" s="701"/>
      <c r="E322" s="702"/>
      <c r="F322" s="702"/>
    </row>
    <row r="323" spans="1:29" s="459" customFormat="1">
      <c r="A323" s="698"/>
      <c r="B323" s="699"/>
      <c r="C323" s="700"/>
      <c r="D323" s="701"/>
      <c r="E323" s="702"/>
      <c r="F323" s="702"/>
    </row>
    <row r="324" spans="1:29" s="459" customFormat="1">
      <c r="A324" s="128" t="s">
        <v>956</v>
      </c>
    </row>
    <row r="325" spans="1:29" s="459" customFormat="1">
      <c r="A325" s="132" t="s">
        <v>942</v>
      </c>
      <c r="B325" s="132" t="s">
        <v>64</v>
      </c>
      <c r="C325" s="130" t="str">
        <f t="shared" ref="C325:AC325" si="111">C360</f>
        <v>IE</v>
      </c>
      <c r="D325" s="130" t="str">
        <f t="shared" si="111"/>
        <v>IE-CW</v>
      </c>
      <c r="E325" s="130" t="str">
        <f t="shared" si="111"/>
        <v>IE-D</v>
      </c>
      <c r="F325" s="130" t="str">
        <f t="shared" si="111"/>
        <v>IE-KE</v>
      </c>
      <c r="G325" s="130" t="str">
        <f t="shared" si="111"/>
        <v>IE-KK</v>
      </c>
      <c r="H325" s="130" t="str">
        <f t="shared" si="111"/>
        <v>IE-LS</v>
      </c>
      <c r="I325" s="130" t="str">
        <f t="shared" si="111"/>
        <v>IE-LD</v>
      </c>
      <c r="J325" s="130" t="str">
        <f t="shared" si="111"/>
        <v>IE-LH</v>
      </c>
      <c r="K325" s="130" t="str">
        <f t="shared" si="111"/>
        <v>IE-MH</v>
      </c>
      <c r="L325" s="130" t="str">
        <f t="shared" si="111"/>
        <v>IE-OY</v>
      </c>
      <c r="M325" s="130" t="str">
        <f t="shared" si="111"/>
        <v>IE-WH</v>
      </c>
      <c r="N325" s="130" t="str">
        <f t="shared" si="111"/>
        <v>IE-WX</v>
      </c>
      <c r="O325" s="130" t="str">
        <f t="shared" si="111"/>
        <v>IE-WW</v>
      </c>
      <c r="P325" s="130" t="str">
        <f t="shared" si="111"/>
        <v>IE-CE</v>
      </c>
      <c r="Q325" s="130" t="str">
        <f t="shared" si="111"/>
        <v>IE-CO</v>
      </c>
      <c r="R325" s="130" t="str">
        <f t="shared" si="111"/>
        <v>IE-KY</v>
      </c>
      <c r="S325" s="130" t="str">
        <f t="shared" si="111"/>
        <v>IE-LK</v>
      </c>
      <c r="T325" s="130" t="str">
        <f t="shared" si="111"/>
        <v>IE-TA</v>
      </c>
      <c r="U325" s="130" t="str">
        <f t="shared" si="111"/>
        <v>IE-WD</v>
      </c>
      <c r="V325" s="130" t="str">
        <f t="shared" si="111"/>
        <v>IE-G</v>
      </c>
      <c r="W325" s="130" t="str">
        <f t="shared" si="111"/>
        <v>IE-LM</v>
      </c>
      <c r="X325" s="130" t="str">
        <f t="shared" si="111"/>
        <v>IE-MO</v>
      </c>
      <c r="Y325" s="130" t="str">
        <f t="shared" si="111"/>
        <v>IE-RN</v>
      </c>
      <c r="Z325" s="130" t="str">
        <f t="shared" si="111"/>
        <v>IE-SO</v>
      </c>
      <c r="AA325" s="130" t="str">
        <f t="shared" si="111"/>
        <v>IE-CN</v>
      </c>
      <c r="AB325" s="130" t="str">
        <f t="shared" si="111"/>
        <v>IE-DL</v>
      </c>
      <c r="AC325" s="130" t="str">
        <f t="shared" si="111"/>
        <v>IE-MN</v>
      </c>
    </row>
    <row r="326" spans="1:29" s="459" customFormat="1">
      <c r="A326" s="459" t="s">
        <v>944</v>
      </c>
      <c r="B326" s="459" t="s">
        <v>955</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459" customFormat="1">
      <c r="A327" s="459" t="s">
        <v>952</v>
      </c>
      <c r="B327" s="459" t="s">
        <v>955</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459" customFormat="1">
      <c r="A328" s="459" t="s">
        <v>951</v>
      </c>
      <c r="B328" s="459" t="s">
        <v>955</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459" customFormat="1">
      <c r="A329" s="136" t="s">
        <v>1</v>
      </c>
      <c r="B329" s="458" t="s">
        <v>955</v>
      </c>
      <c r="C329" s="602">
        <f>SUM(C326:C328)</f>
        <v>53678.098556892684</v>
      </c>
      <c r="D329" s="602">
        <f t="shared" ref="D329:AC329" si="115">SUM(D326:D328)</f>
        <v>789.27409557762553</v>
      </c>
      <c r="E329" s="602">
        <f t="shared" si="115"/>
        <v>11355.699700267121</v>
      </c>
      <c r="F329" s="602">
        <f t="shared" si="115"/>
        <v>2715.4609715525116</v>
      </c>
      <c r="G329" s="602">
        <f t="shared" si="115"/>
        <v>1233.8935293812788</v>
      </c>
      <c r="H329" s="602">
        <f t="shared" si="115"/>
        <v>1004.1237548652966</v>
      </c>
      <c r="I329" s="602">
        <f t="shared" si="115"/>
        <v>507.28391776255705</v>
      </c>
      <c r="J329" s="602">
        <f t="shared" si="115"/>
        <v>1345.7943935936071</v>
      </c>
      <c r="K329" s="602">
        <f t="shared" si="115"/>
        <v>2405.1225748036527</v>
      </c>
      <c r="L329" s="602">
        <f t="shared" si="115"/>
        <v>983.23559354566203</v>
      </c>
      <c r="M329" s="602">
        <f t="shared" si="115"/>
        <v>1171.2290454223742</v>
      </c>
      <c r="N329" s="602">
        <f t="shared" si="115"/>
        <v>2066.4359591210041</v>
      </c>
      <c r="O329" s="602">
        <f t="shared" si="115"/>
        <v>1732.225378006849</v>
      </c>
      <c r="P329" s="602">
        <f t="shared" si="115"/>
        <v>1597.944340952055</v>
      </c>
      <c r="Q329" s="602">
        <f t="shared" si="115"/>
        <v>6412.6655251278535</v>
      </c>
      <c r="R329" s="602">
        <f t="shared" si="115"/>
        <v>1906.790726178082</v>
      </c>
      <c r="S329" s="602">
        <f t="shared" si="115"/>
        <v>2357.3782060730591</v>
      </c>
      <c r="T329" s="602">
        <f t="shared" si="115"/>
        <v>2257.4134340433784</v>
      </c>
      <c r="U329" s="602">
        <f t="shared" si="115"/>
        <v>1468.1393384657533</v>
      </c>
      <c r="V329" s="602">
        <f t="shared" si="115"/>
        <v>3088.4638522602736</v>
      </c>
      <c r="W329" s="602">
        <f t="shared" si="115"/>
        <v>425.22328400684933</v>
      </c>
      <c r="X329" s="602">
        <f t="shared" si="115"/>
        <v>1694.9250899360732</v>
      </c>
      <c r="Y329" s="602">
        <f t="shared" si="115"/>
        <v>986.2196165913241</v>
      </c>
      <c r="Z329" s="602">
        <f t="shared" si="115"/>
        <v>783.30604948630139</v>
      </c>
      <c r="AA329" s="602">
        <f t="shared" si="115"/>
        <v>914.60306349543373</v>
      </c>
      <c r="AB329" s="602">
        <f t="shared" si="115"/>
        <v>1741.1774471438353</v>
      </c>
      <c r="AC329" s="602">
        <f t="shared" si="115"/>
        <v>734.06966923287655</v>
      </c>
    </row>
    <row r="330" spans="1:29" s="459" customFormat="1">
      <c r="A330" s="698"/>
      <c r="B330" s="699"/>
      <c r="C330" s="700"/>
      <c r="D330" s="701"/>
      <c r="E330" s="702"/>
      <c r="F330" s="702"/>
    </row>
    <row r="331" spans="1:29" s="459" customFormat="1">
      <c r="A331" s="698"/>
      <c r="B331" s="699"/>
      <c r="C331" s="700"/>
      <c r="D331" s="701"/>
      <c r="E331" s="702"/>
      <c r="F331" s="702"/>
    </row>
    <row r="332" spans="1:29" s="459" customFormat="1">
      <c r="A332" s="698"/>
      <c r="B332" s="699"/>
      <c r="C332" s="700"/>
      <c r="D332" s="701"/>
      <c r="E332" s="702"/>
      <c r="F332" s="702"/>
    </row>
    <row r="333" spans="1:29" s="459" customFormat="1">
      <c r="A333" s="128" t="s">
        <v>960</v>
      </c>
    </row>
    <row r="334" spans="1:29" s="459" customFormat="1">
      <c r="A334" s="132" t="s">
        <v>942</v>
      </c>
      <c r="B334" s="132" t="s">
        <v>64</v>
      </c>
      <c r="C334" s="130" t="str">
        <f>Regions!C3</f>
        <v>IE</v>
      </c>
      <c r="D334" s="130" t="str">
        <f>Regions!E3</f>
        <v>IE-CW</v>
      </c>
      <c r="E334" s="130" t="str">
        <f>Regions!F3</f>
        <v>IE-D</v>
      </c>
      <c r="F334" s="130" t="str">
        <f>Regions!G3</f>
        <v>IE-KE</v>
      </c>
      <c r="G334" s="130" t="str">
        <f>Regions!H3</f>
        <v>IE-KK</v>
      </c>
      <c r="H334" s="130" t="str">
        <f>Regions!I3</f>
        <v>IE-LS</v>
      </c>
      <c r="I334" s="130" t="str">
        <f>Regions!J3</f>
        <v>IE-LD</v>
      </c>
      <c r="J334" s="130" t="str">
        <f>Regions!K3</f>
        <v>IE-LH</v>
      </c>
      <c r="K334" s="130" t="str">
        <f>Regions!L3</f>
        <v>IE-MH</v>
      </c>
      <c r="L334" s="130" t="str">
        <f>Regions!M3</f>
        <v>IE-OY</v>
      </c>
      <c r="M334" s="130" t="str">
        <f>Regions!N3</f>
        <v>IE-WH</v>
      </c>
      <c r="N334" s="130" t="str">
        <f>Regions!O3</f>
        <v>IE-WX</v>
      </c>
      <c r="O334" s="130" t="str">
        <f>Regions!P3</f>
        <v>IE-WW</v>
      </c>
      <c r="P334" s="130" t="str">
        <f>Regions!Q3</f>
        <v>IE-CE</v>
      </c>
      <c r="Q334" s="130" t="str">
        <f>Regions!R3</f>
        <v>IE-CO</v>
      </c>
      <c r="R334" s="130" t="str">
        <f>Regions!S3</f>
        <v>IE-KY</v>
      </c>
      <c r="S334" s="130" t="str">
        <f>Regions!T3</f>
        <v>IE-LK</v>
      </c>
      <c r="T334" s="130" t="str">
        <f>Regions!U3</f>
        <v>IE-TA</v>
      </c>
      <c r="U334" s="130" t="str">
        <f>Regions!V3</f>
        <v>IE-WD</v>
      </c>
      <c r="V334" s="130" t="str">
        <f>Regions!W3</f>
        <v>IE-G</v>
      </c>
      <c r="W334" s="130" t="str">
        <f>Regions!X3</f>
        <v>IE-LM</v>
      </c>
      <c r="X334" s="130" t="str">
        <f>Regions!Y3</f>
        <v>IE-MO</v>
      </c>
      <c r="Y334" s="130" t="str">
        <f>Regions!Z3</f>
        <v>IE-RN</v>
      </c>
      <c r="Z334" s="130" t="str">
        <f>Regions!AA3</f>
        <v>IE-SO</v>
      </c>
      <c r="AA334" s="130" t="str">
        <f>Regions!AB3</f>
        <v>IE-CN</v>
      </c>
      <c r="AB334" s="130" t="str">
        <f>Regions!AC3</f>
        <v>IE-DL</v>
      </c>
      <c r="AC334" s="130" t="str">
        <f>Regions!AD3</f>
        <v>IE-MN</v>
      </c>
    </row>
    <row r="335" spans="1:29" s="459" customFormat="1">
      <c r="A335" s="459" t="s">
        <v>944</v>
      </c>
      <c r="B335" s="459" t="s">
        <v>955</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459" customFormat="1">
      <c r="A336" s="459" t="s">
        <v>952</v>
      </c>
      <c r="B336" s="459" t="s">
        <v>955</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459" customFormat="1">
      <c r="A337" s="459" t="s">
        <v>951</v>
      </c>
      <c r="B337" s="459" t="s">
        <v>955</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459" customFormat="1">
      <c r="A338" s="136" t="s">
        <v>1</v>
      </c>
      <c r="B338" s="458" t="s">
        <v>955</v>
      </c>
      <c r="C338" s="602">
        <f>SUM(C335:C337)</f>
        <v>1253.2896791780822</v>
      </c>
      <c r="D338" s="602">
        <f>SUM(D335:D337)</f>
        <v>7.4600576141552493</v>
      </c>
      <c r="E338" s="602">
        <f t="shared" ref="E338:AC338" si="120">SUM(E335:E337)</f>
        <v>641.56495481735158</v>
      </c>
      <c r="F338" s="602">
        <f t="shared" si="120"/>
        <v>52.22040329908674</v>
      </c>
      <c r="G338" s="602">
        <f t="shared" si="120"/>
        <v>13.428103705479447</v>
      </c>
      <c r="H338" s="602">
        <f t="shared" si="120"/>
        <v>13.428103705479447</v>
      </c>
      <c r="I338" s="602">
        <f t="shared" si="120"/>
        <v>5.9680460913241991</v>
      </c>
      <c r="J338" s="602">
        <f t="shared" si="120"/>
        <v>37.300288070776247</v>
      </c>
      <c r="K338" s="602">
        <f t="shared" si="120"/>
        <v>62.6644839589041</v>
      </c>
      <c r="L338" s="602">
        <f t="shared" si="120"/>
        <v>8.9520691369862995</v>
      </c>
      <c r="M338" s="602">
        <f t="shared" si="120"/>
        <v>17.904138273972599</v>
      </c>
      <c r="N338" s="602">
        <f t="shared" si="120"/>
        <v>16.41212675114155</v>
      </c>
      <c r="O338" s="602">
        <f t="shared" si="120"/>
        <v>20.888161319634698</v>
      </c>
      <c r="P338" s="602">
        <f t="shared" si="120"/>
        <v>20.888161319634698</v>
      </c>
      <c r="Q338" s="602">
        <f t="shared" si="120"/>
        <v>104.44080659817348</v>
      </c>
      <c r="R338" s="602">
        <f t="shared" si="120"/>
        <v>26.856207410958895</v>
      </c>
      <c r="S338" s="602">
        <f t="shared" si="120"/>
        <v>40.284311116438346</v>
      </c>
      <c r="T338" s="602">
        <f t="shared" si="120"/>
        <v>14.920115228310499</v>
      </c>
      <c r="U338" s="602">
        <f t="shared" si="120"/>
        <v>16.41212675114155</v>
      </c>
      <c r="V338" s="602">
        <f t="shared" si="120"/>
        <v>56.696437867579895</v>
      </c>
      <c r="W338" s="602">
        <f t="shared" si="120"/>
        <v>4.4760345684931497</v>
      </c>
      <c r="X338" s="602">
        <f t="shared" si="120"/>
        <v>16.41212675114155</v>
      </c>
      <c r="Y338" s="602">
        <f t="shared" si="120"/>
        <v>7.4600576141552493</v>
      </c>
      <c r="Z338" s="602">
        <f t="shared" si="120"/>
        <v>8.9520691369862995</v>
      </c>
      <c r="AA338" s="602">
        <f t="shared" si="120"/>
        <v>10.444080659817351</v>
      </c>
      <c r="AB338" s="602">
        <f t="shared" si="120"/>
        <v>22.380172842465747</v>
      </c>
      <c r="AC338" s="602">
        <f t="shared" si="120"/>
        <v>4.4760345684931497</v>
      </c>
    </row>
    <row r="339" spans="1:29" s="459" customFormat="1">
      <c r="A339" s="698"/>
      <c r="B339" s="699"/>
      <c r="C339" s="700"/>
      <c r="D339" s="701"/>
      <c r="E339" s="702"/>
      <c r="F339" s="702"/>
    </row>
    <row r="340" spans="1:29" s="459" customFormat="1">
      <c r="A340" s="698"/>
      <c r="B340" s="699"/>
      <c r="C340" s="700"/>
      <c r="D340" s="701"/>
      <c r="E340" s="702"/>
      <c r="F340" s="702"/>
    </row>
    <row r="341" spans="1:29" s="459" customFormat="1">
      <c r="A341" s="698"/>
      <c r="B341" s="699"/>
      <c r="C341" s="700"/>
      <c r="D341" s="701"/>
      <c r="E341" s="702"/>
      <c r="F341" s="702"/>
    </row>
    <row r="342" spans="1:29" s="459" customFormat="1">
      <c r="A342" s="128" t="s">
        <v>961</v>
      </c>
    </row>
    <row r="343" spans="1:29" s="459" customFormat="1">
      <c r="A343" s="132" t="s">
        <v>942</v>
      </c>
      <c r="B343" s="132" t="s">
        <v>64</v>
      </c>
      <c r="C343" s="130" t="str">
        <f>Regions!C3</f>
        <v>IE</v>
      </c>
      <c r="D343" s="130" t="str">
        <f>Regions!E3</f>
        <v>IE-CW</v>
      </c>
      <c r="E343" s="130" t="str">
        <f>Regions!F3</f>
        <v>IE-D</v>
      </c>
      <c r="F343" s="130" t="str">
        <f>Regions!G3</f>
        <v>IE-KE</v>
      </c>
      <c r="G343" s="130" t="str">
        <f>Regions!H3</f>
        <v>IE-KK</v>
      </c>
      <c r="H343" s="130" t="str">
        <f>Regions!I3</f>
        <v>IE-LS</v>
      </c>
      <c r="I343" s="130" t="str">
        <f>Regions!J3</f>
        <v>IE-LD</v>
      </c>
      <c r="J343" s="130" t="str">
        <f>Regions!K3</f>
        <v>IE-LH</v>
      </c>
      <c r="K343" s="130" t="str">
        <f>Regions!L3</f>
        <v>IE-MH</v>
      </c>
      <c r="L343" s="130" t="str">
        <f>Regions!M3</f>
        <v>IE-OY</v>
      </c>
      <c r="M343" s="130" t="str">
        <f>Regions!N3</f>
        <v>IE-WH</v>
      </c>
      <c r="N343" s="130" t="str">
        <f>Regions!O3</f>
        <v>IE-WX</v>
      </c>
      <c r="O343" s="130" t="str">
        <f>Regions!P3</f>
        <v>IE-WW</v>
      </c>
      <c r="P343" s="130" t="str">
        <f>Regions!Q3</f>
        <v>IE-CE</v>
      </c>
      <c r="Q343" s="130" t="str">
        <f>Regions!R3</f>
        <v>IE-CO</v>
      </c>
      <c r="R343" s="130" t="str">
        <f>Regions!S3</f>
        <v>IE-KY</v>
      </c>
      <c r="S343" s="130" t="str">
        <f>Regions!T3</f>
        <v>IE-LK</v>
      </c>
      <c r="T343" s="130" t="str">
        <f>Regions!U3</f>
        <v>IE-TA</v>
      </c>
      <c r="U343" s="130" t="str">
        <f>Regions!V3</f>
        <v>IE-WD</v>
      </c>
      <c r="V343" s="130" t="str">
        <f>Regions!W3</f>
        <v>IE-G</v>
      </c>
      <c r="W343" s="130" t="str">
        <f>Regions!X3</f>
        <v>IE-LM</v>
      </c>
      <c r="X343" s="130" t="str">
        <f>Regions!Y3</f>
        <v>IE-MO</v>
      </c>
      <c r="Y343" s="130" t="str">
        <f>Regions!Z3</f>
        <v>IE-RN</v>
      </c>
      <c r="Z343" s="130" t="str">
        <f>Regions!AA3</f>
        <v>IE-SO</v>
      </c>
      <c r="AA343" s="130" t="str">
        <f>Regions!AB3</f>
        <v>IE-CN</v>
      </c>
      <c r="AB343" s="130" t="str">
        <f>Regions!AC3</f>
        <v>IE-DL</v>
      </c>
      <c r="AC343" s="130" t="str">
        <f>Regions!AD3</f>
        <v>IE-MN</v>
      </c>
    </row>
    <row r="344" spans="1:29" s="459" customFormat="1">
      <c r="A344" s="459" t="s">
        <v>944</v>
      </c>
      <c r="B344" s="459" t="s">
        <v>955</v>
      </c>
      <c r="C344" s="9">
        <f>E318</f>
        <v>17.503649635036499</v>
      </c>
      <c r="D344" s="398">
        <f t="shared" ref="D344:AC344" si="121">$C$344*D144/$C$144</f>
        <v>0.16058394160583947</v>
      </c>
      <c r="E344" s="398">
        <f t="shared" si="121"/>
        <v>5.4598540145985419</v>
      </c>
      <c r="F344" s="398">
        <f t="shared" si="121"/>
        <v>0.96350364963503665</v>
      </c>
      <c r="G344" s="398">
        <f t="shared" si="121"/>
        <v>0.32116788321167894</v>
      </c>
      <c r="H344" s="398">
        <f t="shared" si="121"/>
        <v>0.16058394160583947</v>
      </c>
      <c r="I344" s="398">
        <f t="shared" si="121"/>
        <v>0.16058394160583947</v>
      </c>
      <c r="J344" s="398">
        <f t="shared" si="121"/>
        <v>0.32116788321167894</v>
      </c>
      <c r="K344" s="398">
        <f t="shared" si="121"/>
        <v>0.80291970802919721</v>
      </c>
      <c r="L344" s="398">
        <f t="shared" si="121"/>
        <v>0.32116788321167894</v>
      </c>
      <c r="M344" s="398">
        <f t="shared" si="121"/>
        <v>0.32116788321167894</v>
      </c>
      <c r="N344" s="398">
        <f t="shared" si="121"/>
        <v>0.64233576642335788</v>
      </c>
      <c r="O344" s="398">
        <f t="shared" si="121"/>
        <v>0.64233576642335788</v>
      </c>
      <c r="P344" s="398">
        <f t="shared" si="121"/>
        <v>0.48175182481751833</v>
      </c>
      <c r="Q344" s="398">
        <f t="shared" si="121"/>
        <v>2.4087591240875916</v>
      </c>
      <c r="R344" s="398">
        <f t="shared" si="121"/>
        <v>0.48175182481751833</v>
      </c>
      <c r="S344" s="398">
        <f t="shared" si="121"/>
        <v>0.64233576642335788</v>
      </c>
      <c r="T344" s="398">
        <f t="shared" si="121"/>
        <v>0.64233576642335788</v>
      </c>
      <c r="U344" s="398">
        <f t="shared" si="121"/>
        <v>0.48175182481751833</v>
      </c>
      <c r="V344" s="398">
        <f t="shared" si="121"/>
        <v>0.64233576642335788</v>
      </c>
      <c r="W344" s="398">
        <f>$C$344*W144/$C$144</f>
        <v>0.16058394160583947</v>
      </c>
      <c r="X344" s="398">
        <f t="shared" si="121"/>
        <v>0.32116788321167894</v>
      </c>
      <c r="Y344" s="398">
        <f t="shared" si="121"/>
        <v>0.16058394160583947</v>
      </c>
      <c r="Z344" s="398">
        <f t="shared" si="121"/>
        <v>0.16058394160583947</v>
      </c>
      <c r="AA344" s="398">
        <f t="shared" si="121"/>
        <v>0.16058394160583947</v>
      </c>
      <c r="AB344" s="398">
        <f t="shared" si="121"/>
        <v>0.32116788321167894</v>
      </c>
      <c r="AC344" s="398">
        <f t="shared" si="121"/>
        <v>0.16058394160583947</v>
      </c>
    </row>
    <row r="345" spans="1:29" s="459" customFormat="1">
      <c r="A345" s="459" t="s">
        <v>952</v>
      </c>
      <c r="B345" s="459" t="s">
        <v>955</v>
      </c>
      <c r="C345" s="9">
        <f>E319</f>
        <v>102.39635036496351</v>
      </c>
      <c r="D345" s="398">
        <f t="shared" ref="D345:AC345" si="122">$C$345*D144/$C$144</f>
        <v>0.93941605839416076</v>
      </c>
      <c r="E345" s="398">
        <f t="shared" si="122"/>
        <v>31.940145985401465</v>
      </c>
      <c r="F345" s="398">
        <f t="shared" si="122"/>
        <v>5.6364963503649639</v>
      </c>
      <c r="G345" s="398">
        <f t="shared" si="122"/>
        <v>1.8788321167883215</v>
      </c>
      <c r="H345" s="398">
        <f t="shared" si="122"/>
        <v>0.93941605839416076</v>
      </c>
      <c r="I345" s="398">
        <f t="shared" si="122"/>
        <v>0.93941605839416076</v>
      </c>
      <c r="J345" s="398">
        <f t="shared" si="122"/>
        <v>1.8788321167883215</v>
      </c>
      <c r="K345" s="398">
        <f t="shared" si="122"/>
        <v>4.6970802919708028</v>
      </c>
      <c r="L345" s="398">
        <f t="shared" si="122"/>
        <v>1.8788321167883215</v>
      </c>
      <c r="M345" s="398">
        <f t="shared" si="122"/>
        <v>1.8788321167883215</v>
      </c>
      <c r="N345" s="398">
        <f t="shared" si="122"/>
        <v>3.757664233576643</v>
      </c>
      <c r="O345" s="398">
        <f t="shared" si="122"/>
        <v>3.757664233576643</v>
      </c>
      <c r="P345" s="398">
        <f t="shared" si="122"/>
        <v>2.8182481751824819</v>
      </c>
      <c r="Q345" s="398">
        <f t="shared" si="122"/>
        <v>14.091240875912408</v>
      </c>
      <c r="R345" s="398">
        <f t="shared" si="122"/>
        <v>2.8182481751824819</v>
      </c>
      <c r="S345" s="398">
        <f t="shared" si="122"/>
        <v>3.757664233576643</v>
      </c>
      <c r="T345" s="398">
        <f t="shared" si="122"/>
        <v>3.757664233576643</v>
      </c>
      <c r="U345" s="398">
        <f t="shared" si="122"/>
        <v>2.8182481751824819</v>
      </c>
      <c r="V345" s="398">
        <f t="shared" si="122"/>
        <v>3.757664233576643</v>
      </c>
      <c r="W345" s="398">
        <f t="shared" si="122"/>
        <v>0.93941605839416076</v>
      </c>
      <c r="X345" s="398">
        <f t="shared" si="122"/>
        <v>1.8788321167883215</v>
      </c>
      <c r="Y345" s="398">
        <f t="shared" si="122"/>
        <v>0.93941605839416076</v>
      </c>
      <c r="Z345" s="398">
        <f t="shared" si="122"/>
        <v>0.93941605839416076</v>
      </c>
      <c r="AA345" s="398">
        <f t="shared" si="122"/>
        <v>0.93941605839416076</v>
      </c>
      <c r="AB345" s="398">
        <f t="shared" si="122"/>
        <v>1.8788321167883215</v>
      </c>
      <c r="AC345" s="398">
        <f t="shared" si="122"/>
        <v>0.93941605839416076</v>
      </c>
    </row>
    <row r="346" spans="1:29" s="459" customFormat="1">
      <c r="A346" s="136" t="s">
        <v>1</v>
      </c>
      <c r="B346" s="458" t="s">
        <v>955</v>
      </c>
      <c r="C346" s="602">
        <f t="shared" ref="C346:AC346" si="123">SUM(C344:C345)</f>
        <v>119.9</v>
      </c>
      <c r="D346" s="602">
        <f t="shared" si="123"/>
        <v>1.1000000000000003</v>
      </c>
      <c r="E346" s="602">
        <f t="shared" si="123"/>
        <v>37.400000000000006</v>
      </c>
      <c r="F346" s="602">
        <f t="shared" si="123"/>
        <v>6.6000000000000005</v>
      </c>
      <c r="G346" s="602">
        <f t="shared" si="123"/>
        <v>2.2000000000000006</v>
      </c>
      <c r="H346" s="602">
        <f t="shared" si="123"/>
        <v>1.1000000000000003</v>
      </c>
      <c r="I346" s="602">
        <f t="shared" si="123"/>
        <v>1.1000000000000003</v>
      </c>
      <c r="J346" s="602">
        <f t="shared" si="123"/>
        <v>2.2000000000000006</v>
      </c>
      <c r="K346" s="602">
        <f t="shared" si="123"/>
        <v>5.5</v>
      </c>
      <c r="L346" s="602">
        <f t="shared" si="123"/>
        <v>2.2000000000000006</v>
      </c>
      <c r="M346" s="602">
        <f t="shared" si="123"/>
        <v>2.2000000000000006</v>
      </c>
      <c r="N346" s="602">
        <f t="shared" si="123"/>
        <v>4.4000000000000012</v>
      </c>
      <c r="O346" s="602">
        <f t="shared" si="123"/>
        <v>4.4000000000000012</v>
      </c>
      <c r="P346" s="602">
        <f t="shared" si="123"/>
        <v>3.3000000000000003</v>
      </c>
      <c r="Q346" s="602">
        <f t="shared" si="123"/>
        <v>16.5</v>
      </c>
      <c r="R346" s="602">
        <f t="shared" si="123"/>
        <v>3.3000000000000003</v>
      </c>
      <c r="S346" s="602">
        <f t="shared" si="123"/>
        <v>4.4000000000000012</v>
      </c>
      <c r="T346" s="602">
        <f t="shared" si="123"/>
        <v>4.4000000000000012</v>
      </c>
      <c r="U346" s="602">
        <f t="shared" si="123"/>
        <v>3.3000000000000003</v>
      </c>
      <c r="V346" s="602">
        <f t="shared" si="123"/>
        <v>4.4000000000000012</v>
      </c>
      <c r="W346" s="602">
        <f t="shared" si="123"/>
        <v>1.1000000000000003</v>
      </c>
      <c r="X346" s="602">
        <f t="shared" si="123"/>
        <v>2.2000000000000006</v>
      </c>
      <c r="Y346" s="602">
        <f t="shared" si="123"/>
        <v>1.1000000000000003</v>
      </c>
      <c r="Z346" s="602">
        <f t="shared" si="123"/>
        <v>1.1000000000000003</v>
      </c>
      <c r="AA346" s="602">
        <f t="shared" si="123"/>
        <v>1.1000000000000003</v>
      </c>
      <c r="AB346" s="602">
        <f t="shared" si="123"/>
        <v>2.2000000000000006</v>
      </c>
      <c r="AC346" s="602">
        <f t="shared" si="123"/>
        <v>1.1000000000000003</v>
      </c>
    </row>
    <row r="347" spans="1:29" s="459" customFormat="1">
      <c r="A347" s="698"/>
      <c r="B347" s="699"/>
      <c r="C347" s="700"/>
      <c r="D347" s="701"/>
      <c r="E347" s="702"/>
      <c r="F347" s="702"/>
    </row>
    <row r="348" spans="1:29" s="459" customFormat="1">
      <c r="A348" s="698"/>
      <c r="B348" s="699"/>
      <c r="C348" s="700"/>
      <c r="D348" s="701"/>
      <c r="E348" s="702"/>
      <c r="F348" s="702"/>
    </row>
    <row r="349" spans="1:29" s="459" customFormat="1">
      <c r="A349" s="698"/>
      <c r="B349" s="699"/>
      <c r="C349" s="700"/>
      <c r="D349" s="701"/>
      <c r="E349" s="702"/>
      <c r="F349" s="702"/>
    </row>
    <row r="350" spans="1:29" s="459" customFormat="1">
      <c r="A350" s="128" t="s">
        <v>962</v>
      </c>
    </row>
    <row r="351" spans="1:29" s="459" customFormat="1">
      <c r="A351" s="132" t="s">
        <v>942</v>
      </c>
      <c r="B351" s="132" t="s">
        <v>64</v>
      </c>
      <c r="C351" s="130" t="str">
        <f>Regions!C3</f>
        <v>IE</v>
      </c>
      <c r="D351" s="130" t="str">
        <f>Regions!E3</f>
        <v>IE-CW</v>
      </c>
      <c r="E351" s="130" t="str">
        <f>Regions!F3</f>
        <v>IE-D</v>
      </c>
      <c r="F351" s="130" t="str">
        <f>Regions!G3</f>
        <v>IE-KE</v>
      </c>
      <c r="G351" s="130" t="str">
        <f>Regions!H3</f>
        <v>IE-KK</v>
      </c>
      <c r="H351" s="130" t="str">
        <f>Regions!I3</f>
        <v>IE-LS</v>
      </c>
      <c r="I351" s="130" t="str">
        <f>Regions!J3</f>
        <v>IE-LD</v>
      </c>
      <c r="J351" s="130" t="str">
        <f>Regions!K3</f>
        <v>IE-LH</v>
      </c>
      <c r="K351" s="130" t="str">
        <f>Regions!L3</f>
        <v>IE-MH</v>
      </c>
      <c r="L351" s="130" t="str">
        <f>Regions!M3</f>
        <v>IE-OY</v>
      </c>
      <c r="M351" s="130" t="str">
        <f>Regions!N3</f>
        <v>IE-WH</v>
      </c>
      <c r="N351" s="130" t="str">
        <f>Regions!O3</f>
        <v>IE-WX</v>
      </c>
      <c r="O351" s="130" t="str">
        <f>Regions!P3</f>
        <v>IE-WW</v>
      </c>
      <c r="P351" s="130" t="str">
        <f>Regions!Q3</f>
        <v>IE-CE</v>
      </c>
      <c r="Q351" s="130" t="str">
        <f>Regions!R3</f>
        <v>IE-CO</v>
      </c>
      <c r="R351" s="130" t="str">
        <f>Regions!S3</f>
        <v>IE-KY</v>
      </c>
      <c r="S351" s="130" t="str">
        <f>Regions!T3</f>
        <v>IE-LK</v>
      </c>
      <c r="T351" s="130" t="str">
        <f>Regions!U3</f>
        <v>IE-TA</v>
      </c>
      <c r="U351" s="130" t="str">
        <f>Regions!V3</f>
        <v>IE-WD</v>
      </c>
      <c r="V351" s="130" t="str">
        <f>Regions!W3</f>
        <v>IE-G</v>
      </c>
      <c r="W351" s="130" t="str">
        <f>Regions!X3</f>
        <v>IE-LM</v>
      </c>
      <c r="X351" s="130" t="str">
        <f>Regions!Y3</f>
        <v>IE-MO</v>
      </c>
      <c r="Y351" s="130" t="str">
        <f>Regions!Z3</f>
        <v>IE-RN</v>
      </c>
      <c r="Z351" s="130" t="str">
        <f>Regions!AA3</f>
        <v>IE-SO</v>
      </c>
      <c r="AA351" s="130" t="str">
        <f>Regions!AB3</f>
        <v>IE-CN</v>
      </c>
      <c r="AB351" s="130" t="str">
        <f>Regions!AC3</f>
        <v>IE-DL</v>
      </c>
      <c r="AC351" s="130" t="str">
        <f>Regions!AD3</f>
        <v>IE-MN</v>
      </c>
    </row>
    <row r="352" spans="1:29" s="459" customFormat="1">
      <c r="A352" s="459" t="s">
        <v>944</v>
      </c>
      <c r="B352" s="459" t="s">
        <v>955</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459" customFormat="1">
      <c r="A353" s="459" t="s">
        <v>952</v>
      </c>
      <c r="B353" s="459" t="s">
        <v>955</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459" customFormat="1">
      <c r="A354" s="459" t="s">
        <v>951</v>
      </c>
      <c r="B354" s="459" t="s">
        <v>955</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459" customFormat="1">
      <c r="A355" s="136" t="s">
        <v>1</v>
      </c>
      <c r="B355" s="458" t="s">
        <v>955</v>
      </c>
      <c r="C355" s="602">
        <f>SUM(C352:C354)</f>
        <v>9816.0585474308318</v>
      </c>
      <c r="D355" s="602">
        <f>SUM(D352:D354)</f>
        <v>109</v>
      </c>
      <c r="E355" s="602">
        <f t="shared" ref="E355" si="128">SUM(E352:E354)</f>
        <v>3542.5</v>
      </c>
      <c r="F355" s="602">
        <f t="shared" ref="F355" si="129">SUM(F352:F354)</f>
        <v>463.25</v>
      </c>
      <c r="G355" s="602">
        <f t="shared" ref="G355" si="130">SUM(G352:G354)</f>
        <v>299.74999999999994</v>
      </c>
      <c r="H355" s="602">
        <f t="shared" ref="H355" si="131">SUM(H352:H354)</f>
        <v>136.25</v>
      </c>
      <c r="I355" s="602">
        <f t="shared" ref="I355" si="132">SUM(I352:I354)</f>
        <v>81.75</v>
      </c>
      <c r="J355" s="602">
        <f t="shared" ref="J355" si="133">SUM(J352:J354)</f>
        <v>218</v>
      </c>
      <c r="K355" s="602">
        <f t="shared" ref="K355" si="134">SUM(K352:K354)</f>
        <v>299.74999999999994</v>
      </c>
      <c r="L355" s="602">
        <f t="shared" ref="L355" si="135">SUM(L352:L354)</f>
        <v>190.75</v>
      </c>
      <c r="M355" s="602">
        <f t="shared" ref="M355" si="136">SUM(M352:M354)</f>
        <v>136.25</v>
      </c>
      <c r="N355" s="602">
        <f t="shared" ref="N355" si="137">SUM(N352:N354)</f>
        <v>272.5</v>
      </c>
      <c r="O355" s="602">
        <f t="shared" ref="O355" si="138">SUM(O352:O354)</f>
        <v>245.25</v>
      </c>
      <c r="P355" s="602">
        <f t="shared" ref="P355" si="139">SUM(P352:P354)</f>
        <v>190.75</v>
      </c>
      <c r="Q355" s="602">
        <f t="shared" ref="Q355" si="140">SUM(Q352:Q354)</f>
        <v>790.25</v>
      </c>
      <c r="R355" s="602">
        <f t="shared" ref="R355" si="141">SUM(R352:R354)</f>
        <v>490.5</v>
      </c>
      <c r="S355" s="602">
        <f t="shared" ref="S355" si="142">SUM(S352:S354)</f>
        <v>299.74999999999994</v>
      </c>
      <c r="T355" s="602">
        <f t="shared" ref="T355" si="143">SUM(T352:T354)</f>
        <v>354.25</v>
      </c>
      <c r="U355" s="602">
        <f t="shared" ref="U355" si="144">SUM(U352:U354)</f>
        <v>163.5</v>
      </c>
      <c r="V355" s="602">
        <f t="shared" ref="V355" si="145">SUM(V352:V354)</f>
        <v>572.25</v>
      </c>
      <c r="W355" s="602">
        <f t="shared" ref="W355" si="146">SUM(W352:W354)</f>
        <v>54.5</v>
      </c>
      <c r="X355" s="602">
        <f t="shared" ref="X355" si="147">SUM(X352:X354)</f>
        <v>354.25</v>
      </c>
      <c r="Y355" s="602">
        <f t="shared" ref="Y355" si="148">SUM(Y352:Y354)</f>
        <v>109</v>
      </c>
      <c r="Z355" s="602">
        <f t="shared" ref="Z355" si="149">SUM(Z352:Z354)</f>
        <v>109</v>
      </c>
      <c r="AA355" s="602">
        <f t="shared" ref="AA355" si="150">SUM(AA352:AA354)</f>
        <v>45.560276679842701</v>
      </c>
      <c r="AB355" s="602">
        <f t="shared" ref="AB355" si="151">SUM(AB352:AB354)</f>
        <v>14.998270750988439</v>
      </c>
      <c r="AC355" s="602">
        <f t="shared" ref="AC355" si="152">SUM(AC352:AC354)</f>
        <v>272.5</v>
      </c>
    </row>
    <row r="356" spans="1:30" s="459" customFormat="1">
      <c r="A356" s="698"/>
      <c r="B356" s="699"/>
      <c r="C356" s="700"/>
      <c r="D356" s="701"/>
      <c r="E356" s="702"/>
      <c r="F356" s="702"/>
    </row>
    <row r="357" spans="1:30" s="459" customFormat="1">
      <c r="A357" s="698"/>
      <c r="B357" s="699"/>
      <c r="C357" s="700"/>
      <c r="D357" s="701"/>
      <c r="E357" s="702"/>
      <c r="F357" s="702"/>
    </row>
    <row r="358" spans="1:30" s="459" customFormat="1">
      <c r="A358" s="698"/>
      <c r="B358" s="699"/>
      <c r="C358" s="700"/>
      <c r="D358" s="701"/>
      <c r="E358" s="702"/>
      <c r="F358" s="702"/>
    </row>
    <row r="359" spans="1:30" ht="15.6">
      <c r="A359" s="401" t="s">
        <v>459</v>
      </c>
      <c r="B359" s="401"/>
      <c r="C359" s="40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c r="AA359" s="391"/>
      <c r="AB359" s="391"/>
      <c r="AC359" s="391"/>
      <c r="AD359" s="391"/>
    </row>
    <row r="360" spans="1:30">
      <c r="A360" s="132" t="s">
        <v>358</v>
      </c>
      <c r="B360" s="132" t="s">
        <v>359</v>
      </c>
      <c r="C360" s="130" t="str">
        <f>Regions!C3</f>
        <v>IE</v>
      </c>
      <c r="D360" s="130" t="str">
        <f>Regions!E3</f>
        <v>IE-CW</v>
      </c>
      <c r="E360" s="130" t="str">
        <f>Regions!F3</f>
        <v>IE-D</v>
      </c>
      <c r="F360" s="130" t="str">
        <f>Regions!G3</f>
        <v>IE-KE</v>
      </c>
      <c r="G360" s="130" t="str">
        <f>Regions!H3</f>
        <v>IE-KK</v>
      </c>
      <c r="H360" s="130" t="str">
        <f>Regions!I3</f>
        <v>IE-LS</v>
      </c>
      <c r="I360" s="130" t="str">
        <f>Regions!J3</f>
        <v>IE-LD</v>
      </c>
      <c r="J360" s="130" t="str">
        <f>Regions!K3</f>
        <v>IE-LH</v>
      </c>
      <c r="K360" s="130" t="str">
        <f>Regions!L3</f>
        <v>IE-MH</v>
      </c>
      <c r="L360" s="130" t="str">
        <f>Regions!M3</f>
        <v>IE-OY</v>
      </c>
      <c r="M360" s="130" t="str">
        <f>Regions!N3</f>
        <v>IE-WH</v>
      </c>
      <c r="N360" s="130" t="str">
        <f>Regions!O3</f>
        <v>IE-WX</v>
      </c>
      <c r="O360" s="130" t="str">
        <f>Regions!P3</f>
        <v>IE-WW</v>
      </c>
      <c r="P360" s="130" t="str">
        <f>Regions!Q3</f>
        <v>IE-CE</v>
      </c>
      <c r="Q360" s="130" t="str">
        <f>Regions!R3</f>
        <v>IE-CO</v>
      </c>
      <c r="R360" s="130" t="str">
        <f>Regions!S3</f>
        <v>IE-KY</v>
      </c>
      <c r="S360" s="130" t="str">
        <f>Regions!T3</f>
        <v>IE-LK</v>
      </c>
      <c r="T360" s="130" t="str">
        <f>Regions!U3</f>
        <v>IE-TA</v>
      </c>
      <c r="U360" s="130" t="str">
        <f>Regions!V3</f>
        <v>IE-WD</v>
      </c>
      <c r="V360" s="130" t="str">
        <f>Regions!W3</f>
        <v>IE-G</v>
      </c>
      <c r="W360" s="130" t="str">
        <f>Regions!X3</f>
        <v>IE-LM</v>
      </c>
      <c r="X360" s="130" t="str">
        <f>Regions!Y3</f>
        <v>IE-MO</v>
      </c>
      <c r="Y360" s="130" t="str">
        <f>Regions!Z3</f>
        <v>IE-RN</v>
      </c>
      <c r="Z360" s="130" t="str">
        <f>Regions!AA3</f>
        <v>IE-SO</v>
      </c>
      <c r="AA360" s="130" t="str">
        <f>Regions!AB3</f>
        <v>IE-CN</v>
      </c>
      <c r="AB360" s="130" t="str">
        <f>Regions!AC3</f>
        <v>IE-DL</v>
      </c>
      <c r="AC360" s="130" t="str">
        <f>Regions!AD3</f>
        <v>IE-MN</v>
      </c>
    </row>
    <row r="361" spans="1:30">
      <c r="A361" s="391" t="s">
        <v>365</v>
      </c>
      <c r="B361" s="391" t="s">
        <v>360</v>
      </c>
      <c r="C361" s="705">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391"/>
      <c r="B362" s="391" t="s">
        <v>361</v>
      </c>
      <c r="C362" s="705">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391" t="s">
        <v>362</v>
      </c>
      <c r="B363" s="391" t="s">
        <v>368</v>
      </c>
      <c r="C363" s="705">
        <f>C344</f>
        <v>17.503649635036499</v>
      </c>
      <c r="D363" s="704">
        <f t="shared" ref="D363:AC363" si="155">D344</f>
        <v>0.16058394160583947</v>
      </c>
      <c r="E363" s="704">
        <f t="shared" si="155"/>
        <v>5.4598540145985419</v>
      </c>
      <c r="F363" s="704">
        <f t="shared" si="155"/>
        <v>0.96350364963503665</v>
      </c>
      <c r="G363" s="704">
        <f t="shared" si="155"/>
        <v>0.32116788321167894</v>
      </c>
      <c r="H363" s="704">
        <f t="shared" si="155"/>
        <v>0.16058394160583947</v>
      </c>
      <c r="I363" s="704">
        <f t="shared" si="155"/>
        <v>0.16058394160583947</v>
      </c>
      <c r="J363" s="704">
        <f t="shared" si="155"/>
        <v>0.32116788321167894</v>
      </c>
      <c r="K363" s="704">
        <f t="shared" si="155"/>
        <v>0.80291970802919721</v>
      </c>
      <c r="L363" s="704">
        <f t="shared" si="155"/>
        <v>0.32116788321167894</v>
      </c>
      <c r="M363" s="704">
        <f t="shared" si="155"/>
        <v>0.32116788321167894</v>
      </c>
      <c r="N363" s="704">
        <f t="shared" si="155"/>
        <v>0.64233576642335788</v>
      </c>
      <c r="O363" s="704">
        <f t="shared" si="155"/>
        <v>0.64233576642335788</v>
      </c>
      <c r="P363" s="704">
        <f t="shared" si="155"/>
        <v>0.48175182481751833</v>
      </c>
      <c r="Q363" s="704">
        <f t="shared" si="155"/>
        <v>2.4087591240875916</v>
      </c>
      <c r="R363" s="704">
        <f t="shared" si="155"/>
        <v>0.48175182481751833</v>
      </c>
      <c r="S363" s="704">
        <f t="shared" si="155"/>
        <v>0.64233576642335788</v>
      </c>
      <c r="T363" s="704">
        <f t="shared" si="155"/>
        <v>0.64233576642335788</v>
      </c>
      <c r="U363" s="704">
        <f t="shared" si="155"/>
        <v>0.48175182481751833</v>
      </c>
      <c r="V363" s="704">
        <f t="shared" si="155"/>
        <v>0.64233576642335788</v>
      </c>
      <c r="W363" s="704">
        <f>W344</f>
        <v>0.16058394160583947</v>
      </c>
      <c r="X363" s="704">
        <f t="shared" si="155"/>
        <v>0.32116788321167894</v>
      </c>
      <c r="Y363" s="704">
        <f t="shared" si="155"/>
        <v>0.16058394160583947</v>
      </c>
      <c r="Z363" s="704">
        <f t="shared" si="155"/>
        <v>0.16058394160583947</v>
      </c>
      <c r="AA363" s="704">
        <f t="shared" si="155"/>
        <v>0.16058394160583947</v>
      </c>
      <c r="AB363" s="704">
        <f t="shared" si="155"/>
        <v>0.32116788321167894</v>
      </c>
      <c r="AC363" s="704">
        <f t="shared" si="155"/>
        <v>0.16058394160583947</v>
      </c>
      <c r="AD363" s="5"/>
    </row>
    <row r="364" spans="1:30">
      <c r="A364" s="391"/>
      <c r="B364" s="391" t="s">
        <v>367</v>
      </c>
      <c r="C364" s="705">
        <f>C326</f>
        <v>7485.229753311015</v>
      </c>
      <c r="D364" s="614">
        <f t="shared" ref="D364:AC364" si="156">D326</f>
        <v>110.06160990359193</v>
      </c>
      <c r="E364" s="614">
        <f t="shared" si="156"/>
        <v>1583.5140131875958</v>
      </c>
      <c r="F364" s="614">
        <f t="shared" si="156"/>
        <v>378.66187150196095</v>
      </c>
      <c r="G364" s="614">
        <f t="shared" si="156"/>
        <v>172.06228996270426</v>
      </c>
      <c r="H364" s="614">
        <f t="shared" si="156"/>
        <v>140.02167006638444</v>
      </c>
      <c r="I364" s="614">
        <f t="shared" si="156"/>
        <v>70.739030939926764</v>
      </c>
      <c r="J364" s="614">
        <f t="shared" si="156"/>
        <v>187.66648796415862</v>
      </c>
      <c r="K364" s="614">
        <f t="shared" si="156"/>
        <v>335.38622904459396</v>
      </c>
      <c r="L364" s="614">
        <f t="shared" si="156"/>
        <v>137.10888643944631</v>
      </c>
      <c r="M364" s="614">
        <f t="shared" si="156"/>
        <v>163.3239390818897</v>
      </c>
      <c r="N364" s="614">
        <f t="shared" si="156"/>
        <v>288.15752309352519</v>
      </c>
      <c r="O364" s="614">
        <f t="shared" si="156"/>
        <v>241.55298506251461</v>
      </c>
      <c r="P364" s="614">
        <f t="shared" si="156"/>
        <v>222.82794746076934</v>
      </c>
      <c r="Q364" s="614">
        <f t="shared" si="156"/>
        <v>894.22457347001534</v>
      </c>
      <c r="R364" s="614">
        <f t="shared" si="156"/>
        <v>265.89553394478355</v>
      </c>
      <c r="S364" s="614">
        <f t="shared" si="156"/>
        <v>328.72843789730672</v>
      </c>
      <c r="T364" s="614">
        <f t="shared" si="156"/>
        <v>314.78868768267404</v>
      </c>
      <c r="U364" s="614">
        <f t="shared" si="156"/>
        <v>204.72707777908218</v>
      </c>
      <c r="V364" s="614">
        <f t="shared" si="156"/>
        <v>430.67586484014231</v>
      </c>
      <c r="W364" s="614">
        <f t="shared" si="156"/>
        <v>59.295952405526855</v>
      </c>
      <c r="X364" s="614">
        <f t="shared" si="156"/>
        <v>236.35158572869651</v>
      </c>
      <c r="Y364" s="614">
        <f t="shared" si="156"/>
        <v>137.52499838615176</v>
      </c>
      <c r="Z364" s="614">
        <f t="shared" si="156"/>
        <v>109.22938601018103</v>
      </c>
      <c r="AA364" s="614">
        <f t="shared" si="156"/>
        <v>127.5383116652209</v>
      </c>
      <c r="AB364" s="614">
        <f t="shared" si="156"/>
        <v>242.80132090263095</v>
      </c>
      <c r="AC364" s="614">
        <f t="shared" si="156"/>
        <v>102.36353888954106</v>
      </c>
      <c r="AD364" s="5"/>
    </row>
    <row r="365" spans="1:30">
      <c r="A365" s="391" t="s">
        <v>325</v>
      </c>
      <c r="B365" s="391" t="s">
        <v>364</v>
      </c>
      <c r="C365" s="705">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391"/>
      <c r="B366" s="391" t="s">
        <v>588</v>
      </c>
      <c r="C366" s="705">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391"/>
      <c r="B367" s="391" t="s">
        <v>575</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459" t="s">
        <v>366</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392"/>
      <c r="B369" s="410" t="s">
        <v>16</v>
      </c>
      <c r="C369" s="399">
        <f>SUM(C361:C368)</f>
        <v>14556.561092397196</v>
      </c>
      <c r="D369" s="399">
        <f>SUM(D361:D368)</f>
        <v>190.75815329593269</v>
      </c>
      <c r="E369" s="399">
        <f t="shared" ref="E369:AC369" si="159">SUM(E361:E368)</f>
        <v>3813.7077787050948</v>
      </c>
      <c r="F369" s="399">
        <f t="shared" si="159"/>
        <v>703.34338163959455</v>
      </c>
      <c r="G369" s="399">
        <f t="shared" si="159"/>
        <v>326.30593319176307</v>
      </c>
      <c r="H369" s="399">
        <f t="shared" si="159"/>
        <v>257.25946218495216</v>
      </c>
      <c r="I369" s="399">
        <f t="shared" si="159"/>
        <v>129.26410609378712</v>
      </c>
      <c r="J369" s="399">
        <f t="shared" si="159"/>
        <v>370.66642356770211</v>
      </c>
      <c r="K369" s="399">
        <f t="shared" si="159"/>
        <v>610.12642539130309</v>
      </c>
      <c r="L369" s="399">
        <f t="shared" si="159"/>
        <v>252.56357827040125</v>
      </c>
      <c r="M369" s="399">
        <f t="shared" si="159"/>
        <v>286.27808516599748</v>
      </c>
      <c r="N369" s="399">
        <f t="shared" si="159"/>
        <v>498.24919039150342</v>
      </c>
      <c r="O369" s="399">
        <f t="shared" si="159"/>
        <v>440.72764898712006</v>
      </c>
      <c r="P369" s="399">
        <f t="shared" si="159"/>
        <v>387.89417997018353</v>
      </c>
      <c r="Q369" s="399">
        <f t="shared" si="159"/>
        <v>1640.3528726430968</v>
      </c>
      <c r="R369" s="399">
        <f t="shared" si="159"/>
        <v>502.23766282260613</v>
      </c>
      <c r="S369" s="399">
        <f t="shared" si="159"/>
        <v>598.87772521592171</v>
      </c>
      <c r="T369" s="399">
        <f t="shared" si="159"/>
        <v>545.97893159747036</v>
      </c>
      <c r="U369" s="399">
        <f t="shared" si="159"/>
        <v>362.54754715779956</v>
      </c>
      <c r="V369" s="399">
        <f t="shared" si="159"/>
        <v>810.31808544860041</v>
      </c>
      <c r="W369" s="399">
        <f t="shared" si="159"/>
        <v>103.99821589805379</v>
      </c>
      <c r="X369" s="399">
        <f t="shared" si="159"/>
        <v>433.96473286285794</v>
      </c>
      <c r="Y369" s="399">
        <f t="shared" si="159"/>
        <v>227.01130303232972</v>
      </c>
      <c r="Z369" s="399">
        <f t="shared" si="159"/>
        <v>200.14421509334298</v>
      </c>
      <c r="AA369" s="399">
        <f t="shared" si="159"/>
        <v>223.24073939976716</v>
      </c>
      <c r="AB369" s="399">
        <f t="shared" si="159"/>
        <v>433.04852577361913</v>
      </c>
      <c r="AC369" s="399">
        <f t="shared" si="159"/>
        <v>207.69618859639607</v>
      </c>
      <c r="AD369" s="5"/>
    </row>
    <row r="371" spans="1:31" s="459" customFormat="1"/>
    <row r="373" spans="1:31" ht="15.6">
      <c r="A373" s="401" t="s">
        <v>460</v>
      </c>
      <c r="B373" s="401"/>
      <c r="C373" s="40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row>
    <row r="374" spans="1:31">
      <c r="A374" s="132" t="s">
        <v>358</v>
      </c>
      <c r="B374" s="132" t="s">
        <v>359</v>
      </c>
      <c r="C374" s="130" t="str">
        <f>Regions!C3</f>
        <v>IE</v>
      </c>
      <c r="D374" s="130" t="str">
        <f>Regions!E3</f>
        <v>IE-CW</v>
      </c>
      <c r="E374" s="130" t="str">
        <f>Regions!F3</f>
        <v>IE-D</v>
      </c>
      <c r="F374" s="130" t="str">
        <f>Regions!G3</f>
        <v>IE-KE</v>
      </c>
      <c r="G374" s="130" t="str">
        <f>Regions!H3</f>
        <v>IE-KK</v>
      </c>
      <c r="H374" s="130" t="str">
        <f>Regions!I3</f>
        <v>IE-LS</v>
      </c>
      <c r="I374" s="130" t="str">
        <f>Regions!J3</f>
        <v>IE-LD</v>
      </c>
      <c r="J374" s="130" t="str">
        <f>Regions!K3</f>
        <v>IE-LH</v>
      </c>
      <c r="K374" s="130" t="str">
        <f>Regions!L3</f>
        <v>IE-MH</v>
      </c>
      <c r="L374" s="130" t="str">
        <f>Regions!M3</f>
        <v>IE-OY</v>
      </c>
      <c r="M374" s="130" t="str">
        <f>Regions!N3</f>
        <v>IE-WH</v>
      </c>
      <c r="N374" s="130" t="str">
        <f>Regions!O3</f>
        <v>IE-WX</v>
      </c>
      <c r="O374" s="130" t="str">
        <f>Regions!P3</f>
        <v>IE-WW</v>
      </c>
      <c r="P374" s="130" t="str">
        <f>Regions!Q3</f>
        <v>IE-CE</v>
      </c>
      <c r="Q374" s="130" t="str">
        <f>Regions!R3</f>
        <v>IE-CO</v>
      </c>
      <c r="R374" s="130" t="str">
        <f>Regions!S3</f>
        <v>IE-KY</v>
      </c>
      <c r="S374" s="130" t="str">
        <f>Regions!T3</f>
        <v>IE-LK</v>
      </c>
      <c r="T374" s="130" t="str">
        <f>Regions!U3</f>
        <v>IE-TA</v>
      </c>
      <c r="U374" s="130" t="str">
        <f>Regions!V3</f>
        <v>IE-WD</v>
      </c>
      <c r="V374" s="130" t="str">
        <f>Regions!W3</f>
        <v>IE-G</v>
      </c>
      <c r="W374" s="130" t="str">
        <f>Regions!X3</f>
        <v>IE-LM</v>
      </c>
      <c r="X374" s="130" t="str">
        <f>Regions!Y3</f>
        <v>IE-MO</v>
      </c>
      <c r="Y374" s="130" t="str">
        <f>Regions!Z3</f>
        <v>IE-RN</v>
      </c>
      <c r="Z374" s="130" t="str">
        <f>Regions!AA3</f>
        <v>IE-SO</v>
      </c>
      <c r="AA374" s="130" t="str">
        <f>Regions!AB3</f>
        <v>IE-CN</v>
      </c>
      <c r="AB374" s="130" t="str">
        <f>Regions!AC3</f>
        <v>IE-DL</v>
      </c>
      <c r="AC374" s="130" t="str">
        <f>Regions!AD3</f>
        <v>IE-MN</v>
      </c>
      <c r="AD374" s="391"/>
    </row>
    <row r="375" spans="1:31">
      <c r="A375" s="391" t="s">
        <v>365</v>
      </c>
      <c r="B375" s="459" t="s">
        <v>360</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391"/>
      <c r="B376" s="459" t="s">
        <v>361</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391" t="s">
        <v>362</v>
      </c>
      <c r="B377" s="459" t="s">
        <v>368</v>
      </c>
      <c r="C377" s="705">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391"/>
      <c r="B378" s="459" t="s">
        <v>367</v>
      </c>
      <c r="C378" s="705">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391" t="s">
        <v>325</v>
      </c>
      <c r="B379" s="459" t="s">
        <v>364</v>
      </c>
      <c r="C379" s="705">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391"/>
      <c r="B380" s="459" t="s">
        <v>588</v>
      </c>
      <c r="C380" s="705">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391"/>
      <c r="B381" s="459" t="s">
        <v>575</v>
      </c>
      <c r="C381" s="705">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459" t="s">
        <v>366</v>
      </c>
      <c r="C382" s="469">
        <v>0</v>
      </c>
      <c r="D382" s="469">
        <v>0</v>
      </c>
      <c r="E382" s="469">
        <v>0</v>
      </c>
      <c r="F382" s="469">
        <v>0</v>
      </c>
      <c r="G382" s="469">
        <v>0</v>
      </c>
      <c r="H382" s="469">
        <v>0</v>
      </c>
      <c r="I382" s="469">
        <v>0</v>
      </c>
      <c r="J382" s="469">
        <v>0</v>
      </c>
      <c r="K382" s="469">
        <v>0</v>
      </c>
      <c r="L382" s="469">
        <v>0</v>
      </c>
      <c r="M382" s="469">
        <v>0</v>
      </c>
      <c r="N382" s="469">
        <v>0</v>
      </c>
      <c r="O382" s="469">
        <v>0</v>
      </c>
      <c r="P382" s="469">
        <v>0</v>
      </c>
      <c r="Q382" s="469">
        <v>0</v>
      </c>
      <c r="R382" s="469">
        <v>0</v>
      </c>
      <c r="S382" s="469">
        <v>0</v>
      </c>
      <c r="T382" s="469">
        <v>0</v>
      </c>
      <c r="U382" s="469">
        <v>0</v>
      </c>
      <c r="V382" s="469">
        <v>0</v>
      </c>
      <c r="W382" s="469">
        <v>0</v>
      </c>
      <c r="X382" s="469">
        <v>0</v>
      </c>
      <c r="Y382" s="469">
        <v>0</v>
      </c>
      <c r="Z382" s="469">
        <v>0</v>
      </c>
      <c r="AA382" s="469">
        <v>0</v>
      </c>
      <c r="AB382" s="469">
        <v>0</v>
      </c>
      <c r="AC382" s="469">
        <v>0</v>
      </c>
    </row>
    <row r="383" spans="1:31">
      <c r="A383" s="392"/>
      <c r="B383" s="410" t="s">
        <v>16</v>
      </c>
      <c r="C383" s="399">
        <f>SUM(C375:C382)</f>
        <v>31276.118540280986</v>
      </c>
      <c r="D383" s="399">
        <f t="shared" ref="D383:AC383" si="164">SUM(D375:D382)</f>
        <v>435.19149385547126</v>
      </c>
      <c r="E383" s="399">
        <f>SUM(E375:E382)</f>
        <v>7621.1536449989253</v>
      </c>
      <c r="F383" s="399">
        <f t="shared" si="164"/>
        <v>1551.9093827676475</v>
      </c>
      <c r="G383" s="399">
        <f t="shared" si="164"/>
        <v>737.03191607760743</v>
      </c>
      <c r="H383" s="399">
        <f t="shared" si="164"/>
        <v>554.51713599955724</v>
      </c>
      <c r="I383" s="399">
        <f t="shared" si="164"/>
        <v>285.68437258778692</v>
      </c>
      <c r="J383" s="399">
        <f t="shared" si="164"/>
        <v>769.50577172521423</v>
      </c>
      <c r="K383" s="399">
        <f t="shared" si="164"/>
        <v>1335.9499798250479</v>
      </c>
      <c r="L383" s="399">
        <f t="shared" si="164"/>
        <v>566.16320344762289</v>
      </c>
      <c r="M383" s="399">
        <f t="shared" si="164"/>
        <v>639.11185847443028</v>
      </c>
      <c r="N383" s="399">
        <f t="shared" si="164"/>
        <v>1133.4816009734384</v>
      </c>
      <c r="O383" s="399">
        <f t="shared" si="164"/>
        <v>961.85938421931269</v>
      </c>
      <c r="P383" s="399">
        <f t="shared" si="164"/>
        <v>872.35861089184232</v>
      </c>
      <c r="Q383" s="399">
        <f t="shared" si="164"/>
        <v>3525.4749048173276</v>
      </c>
      <c r="R383" s="399">
        <f t="shared" si="164"/>
        <v>1153.8869884003554</v>
      </c>
      <c r="S383" s="399">
        <f t="shared" si="164"/>
        <v>1299.5736671311431</v>
      </c>
      <c r="T383" s="399">
        <f t="shared" si="164"/>
        <v>1260.4324784412986</v>
      </c>
      <c r="U383" s="399">
        <f t="shared" si="164"/>
        <v>795.17788054022265</v>
      </c>
      <c r="V383" s="399">
        <f t="shared" si="164"/>
        <v>1780.3554187858515</v>
      </c>
      <c r="W383" s="399">
        <f t="shared" si="164"/>
        <v>233.33731031609199</v>
      </c>
      <c r="X383" s="399">
        <f t="shared" si="164"/>
        <v>986.01597898071293</v>
      </c>
      <c r="Y383" s="399">
        <f t="shared" si="164"/>
        <v>530.90140271719213</v>
      </c>
      <c r="Z383" s="399">
        <f t="shared" si="164"/>
        <v>433.1068265527486</v>
      </c>
      <c r="AA383" s="399">
        <f t="shared" si="164"/>
        <v>470.6017726937697</v>
      </c>
      <c r="AB383" s="399">
        <f t="shared" si="164"/>
        <v>866.68930093951155</v>
      </c>
      <c r="AC383" s="399">
        <f t="shared" si="164"/>
        <v>476.64625412085695</v>
      </c>
      <c r="AD383" s="5"/>
    </row>
    <row r="385" spans="1:30" s="459" customFormat="1"/>
    <row r="387" spans="1:30" ht="15.6">
      <c r="A387" s="401" t="s">
        <v>467</v>
      </c>
      <c r="B387" s="401"/>
      <c r="C387" s="40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c r="AA387" s="391"/>
      <c r="AB387" s="391"/>
      <c r="AC387" s="391"/>
      <c r="AD387" s="391"/>
    </row>
    <row r="388" spans="1:30">
      <c r="A388" s="132" t="s">
        <v>358</v>
      </c>
      <c r="B388" s="132" t="s">
        <v>359</v>
      </c>
      <c r="C388" s="130" t="str">
        <f>Regions!C3</f>
        <v>IE</v>
      </c>
      <c r="D388" s="130" t="str">
        <f>Regions!E3</f>
        <v>IE-CW</v>
      </c>
      <c r="E388" s="130" t="str">
        <f>Regions!F3</f>
        <v>IE-D</v>
      </c>
      <c r="F388" s="130" t="str">
        <f>Regions!G3</f>
        <v>IE-KE</v>
      </c>
      <c r="G388" s="130" t="str">
        <f>Regions!H3</f>
        <v>IE-KK</v>
      </c>
      <c r="H388" s="130" t="str">
        <f>Regions!I3</f>
        <v>IE-LS</v>
      </c>
      <c r="I388" s="130" t="str">
        <f>Regions!J3</f>
        <v>IE-LD</v>
      </c>
      <c r="J388" s="130" t="str">
        <f>Regions!K3</f>
        <v>IE-LH</v>
      </c>
      <c r="K388" s="130" t="str">
        <f>Regions!L3</f>
        <v>IE-MH</v>
      </c>
      <c r="L388" s="130" t="str">
        <f>Regions!M3</f>
        <v>IE-OY</v>
      </c>
      <c r="M388" s="130" t="str">
        <f>Regions!N3</f>
        <v>IE-WH</v>
      </c>
      <c r="N388" s="130" t="str">
        <f>Regions!O3</f>
        <v>IE-WX</v>
      </c>
      <c r="O388" s="130" t="str">
        <f>Regions!P3</f>
        <v>IE-WW</v>
      </c>
      <c r="P388" s="130" t="str">
        <f>Regions!Q3</f>
        <v>IE-CE</v>
      </c>
      <c r="Q388" s="130" t="str">
        <f>Regions!R3</f>
        <v>IE-CO</v>
      </c>
      <c r="R388" s="130" t="str">
        <f>Regions!S3</f>
        <v>IE-KY</v>
      </c>
      <c r="S388" s="130" t="str">
        <f>Regions!T3</f>
        <v>IE-LK</v>
      </c>
      <c r="T388" s="130" t="str">
        <f>Regions!U3</f>
        <v>IE-TA</v>
      </c>
      <c r="U388" s="130" t="str">
        <f>Regions!V3</f>
        <v>IE-WD</v>
      </c>
      <c r="V388" s="130" t="str">
        <f>Regions!W3</f>
        <v>IE-G</v>
      </c>
      <c r="W388" s="130" t="str">
        <f>Regions!X3</f>
        <v>IE-LM</v>
      </c>
      <c r="X388" s="130" t="str">
        <f>Regions!Y3</f>
        <v>IE-MO</v>
      </c>
      <c r="Y388" s="130" t="str">
        <f>Regions!Z3</f>
        <v>IE-RN</v>
      </c>
      <c r="Z388" s="130" t="str">
        <f>Regions!AA3</f>
        <v>IE-SO</v>
      </c>
      <c r="AA388" s="130" t="str">
        <f>Regions!AB3</f>
        <v>IE-CN</v>
      </c>
      <c r="AB388" s="130" t="str">
        <f>Regions!AC3</f>
        <v>IE-DL</v>
      </c>
      <c r="AC388" s="130" t="str">
        <f>Regions!AD3</f>
        <v>IE-MN</v>
      </c>
      <c r="AD388" s="391"/>
    </row>
    <row r="389" spans="1:30">
      <c r="A389" s="391" t="s">
        <v>365</v>
      </c>
      <c r="B389" s="459" t="s">
        <v>360</v>
      </c>
      <c r="C389" s="614">
        <v>0</v>
      </c>
      <c r="D389" s="614">
        <v>0</v>
      </c>
      <c r="E389" s="614">
        <v>0</v>
      </c>
      <c r="F389" s="614">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391"/>
      <c r="B390" s="459" t="s">
        <v>361</v>
      </c>
      <c r="C390" s="614">
        <v>0</v>
      </c>
      <c r="D390" s="614">
        <v>0</v>
      </c>
      <c r="E390" s="614">
        <v>0</v>
      </c>
      <c r="F390" s="614">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391" t="s">
        <v>362</v>
      </c>
      <c r="B391" s="459" t="s">
        <v>368</v>
      </c>
      <c r="C391" s="614">
        <v>0</v>
      </c>
      <c r="D391" s="614">
        <v>0</v>
      </c>
      <c r="E391" s="614">
        <v>0</v>
      </c>
      <c r="F391" s="614">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391"/>
      <c r="B392" s="459" t="s">
        <v>367</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391" t="s">
        <v>325</v>
      </c>
      <c r="B393" s="459" t="s">
        <v>364</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391"/>
      <c r="B394" s="459" t="s">
        <v>588</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391"/>
      <c r="B395" s="459" t="s">
        <v>575</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5" customHeight="1">
      <c r="A396" s="391"/>
      <c r="B396" s="459" t="s">
        <v>366</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458"/>
      <c r="B397" s="410" t="s">
        <v>16</v>
      </c>
      <c r="C397" s="399">
        <f>SUM(C389:C396)</f>
        <v>27131.577542973639</v>
      </c>
      <c r="D397" s="399">
        <f t="shared" ref="D397:AC397" si="169">SUM(D389:D396)</f>
        <v>373.89748637497502</v>
      </c>
      <c r="E397" s="399">
        <f t="shared" si="169"/>
        <v>6660.744934034994</v>
      </c>
      <c r="F397" s="399">
        <f t="shared" si="169"/>
        <v>1345.7957919305056</v>
      </c>
      <c r="G397" s="399">
        <f t="shared" si="169"/>
        <v>648.05463087287239</v>
      </c>
      <c r="H397" s="399">
        <f t="shared" si="169"/>
        <v>481.49946813234055</v>
      </c>
      <c r="I397" s="399">
        <f t="shared" si="169"/>
        <v>247.92998248868531</v>
      </c>
      <c r="J397" s="399">
        <f t="shared" si="169"/>
        <v>673.68745787157877</v>
      </c>
      <c r="K397" s="399">
        <f t="shared" si="169"/>
        <v>1145.614903113785</v>
      </c>
      <c r="L397" s="399">
        <f t="shared" si="169"/>
        <v>493.78011021821834</v>
      </c>
      <c r="M397" s="399">
        <f t="shared" si="169"/>
        <v>547.22173482691426</v>
      </c>
      <c r="N397" s="399">
        <f t="shared" si="169"/>
        <v>972.62646758485323</v>
      </c>
      <c r="O397" s="399">
        <f t="shared" si="169"/>
        <v>832.86416374941882</v>
      </c>
      <c r="P397" s="399">
        <f t="shared" si="169"/>
        <v>746.7476641324904</v>
      </c>
      <c r="Q397" s="399">
        <f t="shared" si="169"/>
        <v>3044.9422514531716</v>
      </c>
      <c r="R397" s="399">
        <f t="shared" si="169"/>
        <v>1012.6394376791288</v>
      </c>
      <c r="S397" s="399">
        <f t="shared" si="169"/>
        <v>1121.7784798314174</v>
      </c>
      <c r="T397" s="399">
        <f t="shared" si="169"/>
        <v>1085.2427647392462</v>
      </c>
      <c r="U397" s="399">
        <f t="shared" si="169"/>
        <v>683.42924139985848</v>
      </c>
      <c r="V397" s="399">
        <f t="shared" si="169"/>
        <v>1552.7405180508131</v>
      </c>
      <c r="W397" s="399">
        <f t="shared" si="169"/>
        <v>200.31586047476844</v>
      </c>
      <c r="X397" s="399">
        <f t="shared" si="169"/>
        <v>861.02306186829458</v>
      </c>
      <c r="Y397" s="399">
        <f t="shared" si="169"/>
        <v>451.31609728888651</v>
      </c>
      <c r="Z397" s="399">
        <f t="shared" si="169"/>
        <v>376.17525772313689</v>
      </c>
      <c r="AA397" s="399">
        <f t="shared" si="169"/>
        <v>402.31788404487259</v>
      </c>
      <c r="AB397" s="399">
        <f t="shared" si="169"/>
        <v>741.09890371757149</v>
      </c>
      <c r="AC397" s="399">
        <f t="shared" si="169"/>
        <v>428.09298937083867</v>
      </c>
    </row>
    <row r="398" spans="1:30">
      <c r="B398" t="s">
        <v>216</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520" customFormat="1" ht="18">
      <c r="A401" s="522" t="s">
        <v>669</v>
      </c>
    </row>
    <row r="403" spans="1:29" s="459" customFormat="1" ht="15.6">
      <c r="A403" s="401" t="s">
        <v>679</v>
      </c>
    </row>
    <row r="404" spans="1:29" s="459" customFormat="1">
      <c r="A404" s="132" t="s">
        <v>712</v>
      </c>
      <c r="B404" s="132" t="s">
        <v>481</v>
      </c>
      <c r="C404" s="130" t="str">
        <f>C388</f>
        <v>IE</v>
      </c>
      <c r="D404" s="130" t="str">
        <f t="shared" ref="D404:AC404" si="171">D388</f>
        <v>IE-CW</v>
      </c>
      <c r="E404" s="130" t="str">
        <f t="shared" si="171"/>
        <v>IE-D</v>
      </c>
      <c r="F404" s="130" t="str">
        <f t="shared" si="171"/>
        <v>IE-KE</v>
      </c>
      <c r="G404" s="130" t="str">
        <f t="shared" si="171"/>
        <v>IE-KK</v>
      </c>
      <c r="H404" s="130" t="str">
        <f t="shared" si="171"/>
        <v>IE-LS</v>
      </c>
      <c r="I404" s="130" t="str">
        <f t="shared" si="171"/>
        <v>IE-LD</v>
      </c>
      <c r="J404" s="130" t="str">
        <f t="shared" si="171"/>
        <v>IE-LH</v>
      </c>
      <c r="K404" s="130" t="str">
        <f t="shared" si="171"/>
        <v>IE-MH</v>
      </c>
      <c r="L404" s="130" t="str">
        <f t="shared" si="171"/>
        <v>IE-OY</v>
      </c>
      <c r="M404" s="130" t="str">
        <f t="shared" si="171"/>
        <v>IE-WH</v>
      </c>
      <c r="N404" s="130" t="str">
        <f t="shared" si="171"/>
        <v>IE-WX</v>
      </c>
      <c r="O404" s="130" t="str">
        <f t="shared" si="171"/>
        <v>IE-WW</v>
      </c>
      <c r="P404" s="130" t="str">
        <f t="shared" si="171"/>
        <v>IE-CE</v>
      </c>
      <c r="Q404" s="130" t="str">
        <f t="shared" si="171"/>
        <v>IE-CO</v>
      </c>
      <c r="R404" s="130" t="str">
        <f t="shared" si="171"/>
        <v>IE-KY</v>
      </c>
      <c r="S404" s="130" t="str">
        <f t="shared" si="171"/>
        <v>IE-LK</v>
      </c>
      <c r="T404" s="130" t="str">
        <f t="shared" si="171"/>
        <v>IE-TA</v>
      </c>
      <c r="U404" s="130" t="str">
        <f t="shared" si="171"/>
        <v>IE-WD</v>
      </c>
      <c r="V404" s="130" t="str">
        <f t="shared" si="171"/>
        <v>IE-G</v>
      </c>
      <c r="W404" s="130" t="str">
        <f t="shared" si="171"/>
        <v>IE-LM</v>
      </c>
      <c r="X404" s="130" t="str">
        <f t="shared" si="171"/>
        <v>IE-MO</v>
      </c>
      <c r="Y404" s="130" t="str">
        <f t="shared" si="171"/>
        <v>IE-RN</v>
      </c>
      <c r="Z404" s="130" t="str">
        <f t="shared" si="171"/>
        <v>IE-SO</v>
      </c>
      <c r="AA404" s="130" t="str">
        <f t="shared" si="171"/>
        <v>IE-CN</v>
      </c>
      <c r="AB404" s="130" t="str">
        <f t="shared" si="171"/>
        <v>IE-DL</v>
      </c>
      <c r="AC404" s="130" t="str">
        <f t="shared" si="171"/>
        <v>IE-MN</v>
      </c>
    </row>
    <row r="405" spans="1:29" s="459" customFormat="1">
      <c r="B405" s="459" t="s">
        <v>19</v>
      </c>
      <c r="C405" s="36">
        <f>SUM(D405:AC405)</f>
        <v>353571</v>
      </c>
      <c r="D405" s="459">
        <v>5799</v>
      </c>
      <c r="E405" s="459">
        <v>74245</v>
      </c>
      <c r="F405" s="459">
        <v>16042</v>
      </c>
      <c r="G405" s="459">
        <v>8206</v>
      </c>
      <c r="H405" s="459">
        <v>6014</v>
      </c>
      <c r="I405" s="459">
        <v>3931</v>
      </c>
      <c r="J405" s="459">
        <v>8128</v>
      </c>
      <c r="K405" s="459">
        <v>14762</v>
      </c>
      <c r="L405" s="459">
        <v>6515</v>
      </c>
      <c r="M405" s="459">
        <v>8096</v>
      </c>
      <c r="N405" s="459">
        <v>13961</v>
      </c>
      <c r="O405" s="459">
        <v>9390</v>
      </c>
      <c r="P405" s="459">
        <v>9420</v>
      </c>
      <c r="Q405" s="459">
        <v>41391</v>
      </c>
      <c r="R405" s="459">
        <v>11899</v>
      </c>
      <c r="S405" s="459">
        <v>13635</v>
      </c>
      <c r="T405" s="459">
        <v>13935</v>
      </c>
      <c r="U405" s="459">
        <v>8132</v>
      </c>
      <c r="V405" s="459">
        <v>20314</v>
      </c>
      <c r="W405" s="459">
        <v>3401</v>
      </c>
      <c r="X405" s="459">
        <v>13343</v>
      </c>
      <c r="Y405" s="459">
        <v>6369</v>
      </c>
      <c r="Z405" s="459">
        <v>6037</v>
      </c>
      <c r="AA405" s="459">
        <v>8043</v>
      </c>
      <c r="AB405" s="459">
        <v>14606</v>
      </c>
      <c r="AC405" s="459">
        <v>7957</v>
      </c>
    </row>
    <row r="406" spans="1:29" s="459"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459" customFormat="1">
      <c r="A407" s="458"/>
      <c r="B407" s="458" t="s">
        <v>220</v>
      </c>
      <c r="C407" s="504">
        <f t="shared" si="172"/>
        <v>223</v>
      </c>
      <c r="D407" s="458">
        <v>1</v>
      </c>
      <c r="E407" s="458">
        <v>100</v>
      </c>
      <c r="F407" s="458">
        <v>7</v>
      </c>
      <c r="G407" s="458">
        <v>3</v>
      </c>
      <c r="H407" s="458">
        <v>4</v>
      </c>
      <c r="I407" s="458">
        <v>3</v>
      </c>
      <c r="J407" s="458">
        <v>4</v>
      </c>
      <c r="K407" s="458">
        <v>2</v>
      </c>
      <c r="L407" s="458">
        <v>3</v>
      </c>
      <c r="M407" s="458">
        <v>5</v>
      </c>
      <c r="N407" s="458">
        <v>8</v>
      </c>
      <c r="O407" s="458">
        <v>10</v>
      </c>
      <c r="P407" s="458">
        <v>4</v>
      </c>
      <c r="Q407" s="458">
        <v>28</v>
      </c>
      <c r="R407" s="458">
        <v>2</v>
      </c>
      <c r="S407" s="458">
        <v>4</v>
      </c>
      <c r="T407" s="458">
        <v>6</v>
      </c>
      <c r="U407" s="458">
        <v>4</v>
      </c>
      <c r="V407" s="458">
        <v>7</v>
      </c>
      <c r="W407" s="458">
        <v>0</v>
      </c>
      <c r="X407" s="458">
        <v>2</v>
      </c>
      <c r="Y407" s="458">
        <v>3</v>
      </c>
      <c r="Z407" s="458">
        <v>1</v>
      </c>
      <c r="AA407" s="458">
        <v>2</v>
      </c>
      <c r="AB407" s="458">
        <v>9</v>
      </c>
      <c r="AC407" s="458">
        <v>1</v>
      </c>
    </row>
    <row r="408" spans="1:29" s="459" customFormat="1">
      <c r="A408" s="459" t="s">
        <v>713</v>
      </c>
    </row>
    <row r="412" spans="1:29" ht="15.6">
      <c r="A412" s="401" t="s">
        <v>679</v>
      </c>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c r="AC412" s="459"/>
    </row>
    <row r="413" spans="1:29" ht="17.399999999999999">
      <c r="A413" s="716" t="s">
        <v>1122</v>
      </c>
      <c r="B413" s="132" t="s">
        <v>677</v>
      </c>
      <c r="C413" s="130" t="str">
        <f t="shared" ref="C413:AC413" si="173">C426</f>
        <v>IE</v>
      </c>
      <c r="D413" s="130" t="str">
        <f t="shared" si="173"/>
        <v>IE-CW</v>
      </c>
      <c r="E413" s="130" t="str">
        <f t="shared" si="173"/>
        <v>IE-D</v>
      </c>
      <c r="F413" s="130" t="str">
        <f t="shared" si="173"/>
        <v>IE-KE</v>
      </c>
      <c r="G413" s="130" t="str">
        <f t="shared" si="173"/>
        <v>IE-KK</v>
      </c>
      <c r="H413" s="130" t="str">
        <f t="shared" si="173"/>
        <v>IE-LS</v>
      </c>
      <c r="I413" s="130" t="str">
        <f t="shared" si="173"/>
        <v>IE-LD</v>
      </c>
      <c r="J413" s="130" t="str">
        <f t="shared" si="173"/>
        <v>IE-LH</v>
      </c>
      <c r="K413" s="130" t="str">
        <f t="shared" si="173"/>
        <v>IE-MH</v>
      </c>
      <c r="L413" s="130" t="str">
        <f t="shared" si="173"/>
        <v>IE-OY</v>
      </c>
      <c r="M413" s="130" t="str">
        <f t="shared" si="173"/>
        <v>IE-WH</v>
      </c>
      <c r="N413" s="130" t="str">
        <f t="shared" si="173"/>
        <v>IE-WX</v>
      </c>
      <c r="O413" s="130" t="str">
        <f t="shared" si="173"/>
        <v>IE-WW</v>
      </c>
      <c r="P413" s="130" t="str">
        <f t="shared" si="173"/>
        <v>IE-CE</v>
      </c>
      <c r="Q413" s="130" t="str">
        <f t="shared" si="173"/>
        <v>IE-CO</v>
      </c>
      <c r="R413" s="130" t="str">
        <f t="shared" si="173"/>
        <v>IE-KY</v>
      </c>
      <c r="S413" s="130" t="str">
        <f t="shared" si="173"/>
        <v>IE-LK</v>
      </c>
      <c r="T413" s="130" t="str">
        <f t="shared" si="173"/>
        <v>IE-TA</v>
      </c>
      <c r="U413" s="130" t="str">
        <f t="shared" si="173"/>
        <v>IE-WD</v>
      </c>
      <c r="V413" s="130" t="str">
        <f t="shared" si="173"/>
        <v>IE-G</v>
      </c>
      <c r="W413" s="130" t="str">
        <f t="shared" si="173"/>
        <v>IE-LM</v>
      </c>
      <c r="X413" s="130" t="str">
        <f t="shared" si="173"/>
        <v>IE-MO</v>
      </c>
      <c r="Y413" s="130" t="str">
        <f t="shared" si="173"/>
        <v>IE-RN</v>
      </c>
      <c r="Z413" s="130" t="str">
        <f t="shared" si="173"/>
        <v>IE-SO</v>
      </c>
      <c r="AA413" s="130" t="str">
        <f t="shared" si="173"/>
        <v>IE-CN</v>
      </c>
      <c r="AB413" s="130" t="str">
        <f t="shared" si="173"/>
        <v>IE-DL</v>
      </c>
      <c r="AC413" s="130" t="str">
        <f t="shared" si="173"/>
        <v>IE-MN</v>
      </c>
    </row>
    <row r="414" spans="1:29">
      <c r="A414" s="845" t="s">
        <v>1119</v>
      </c>
      <c r="B414" s="459" t="s">
        <v>671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45"/>
      <c r="B415" s="459" t="s">
        <v>672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45" t="s">
        <v>1120</v>
      </c>
      <c r="B416" s="459" t="s">
        <v>673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45"/>
      <c r="B417" s="459" t="s">
        <v>674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45" t="s">
        <v>1121</v>
      </c>
      <c r="B418" s="459" t="s">
        <v>675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45"/>
      <c r="B419" s="459" t="s">
        <v>676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501"/>
      <c r="B420" s="501" t="s">
        <v>16</v>
      </c>
      <c r="C420" s="524">
        <f>SUM(C414:C419)</f>
        <v>354459</v>
      </c>
      <c r="D420" s="524">
        <f t="shared" ref="D420" si="174">SUM(D414:D419)</f>
        <v>5809</v>
      </c>
      <c r="E420" s="524">
        <f t="shared" ref="E420" si="175">SUM(E414:E419)</f>
        <v>74523</v>
      </c>
      <c r="F420" s="524">
        <f t="shared" ref="F420" si="176">SUM(F414:F419)</f>
        <v>16091</v>
      </c>
      <c r="G420" s="524">
        <f t="shared" ref="G420" si="177">SUM(G414:G419)</f>
        <v>8221</v>
      </c>
      <c r="H420" s="524">
        <f t="shared" ref="H420" si="178">SUM(H414:H419)</f>
        <v>6034</v>
      </c>
      <c r="I420" s="524">
        <f t="shared" ref="I420" si="179">SUM(I414:I419)</f>
        <v>3939</v>
      </c>
      <c r="J420" s="524">
        <f t="shared" ref="J420" si="180">SUM(J414:J419)</f>
        <v>8143</v>
      </c>
      <c r="K420" s="524">
        <f t="shared" ref="K420" si="181">SUM(K414:K419)</f>
        <v>14784</v>
      </c>
      <c r="L420" s="524">
        <f t="shared" ref="L420" si="182">SUM(L414:L419)</f>
        <v>6526</v>
      </c>
      <c r="M420" s="524">
        <f t="shared" ref="M420" si="183">SUM(M414:M419)</f>
        <v>8109</v>
      </c>
      <c r="N420" s="524">
        <f t="shared" ref="N420" si="184">SUM(N414:N419)</f>
        <v>13988</v>
      </c>
      <c r="O420" s="524">
        <f t="shared" ref="O420" si="185">SUM(O414:O419)</f>
        <v>9436</v>
      </c>
      <c r="P420" s="524">
        <f t="shared" ref="P420" si="186">SUM(P414:P419)</f>
        <v>9435</v>
      </c>
      <c r="Q420" s="524">
        <f t="shared" ref="Q420" si="187">SUM(Q414:Q419)</f>
        <v>41523</v>
      </c>
      <c r="R420" s="524">
        <f t="shared" ref="R420" si="188">SUM(R414:R419)</f>
        <v>11919</v>
      </c>
      <c r="S420" s="524">
        <f t="shared" ref="S420" si="189">SUM(S414:S419)</f>
        <v>13648</v>
      </c>
      <c r="T420" s="524">
        <f t="shared" ref="T420" si="190">SUM(T414:T419)</f>
        <v>13962</v>
      </c>
      <c r="U420" s="524">
        <f t="shared" ref="U420" si="191">SUM(U414:U419)</f>
        <v>8162</v>
      </c>
      <c r="V420" s="524">
        <f t="shared" ref="V420" si="192">SUM(V414:V419)</f>
        <v>20357</v>
      </c>
      <c r="W420" s="524">
        <f t="shared" ref="W420" si="193">SUM(W414:W419)</f>
        <v>3404</v>
      </c>
      <c r="X420" s="524">
        <f t="shared" ref="X420" si="194">SUM(X414:X419)</f>
        <v>13361</v>
      </c>
      <c r="Y420" s="524">
        <f t="shared" ref="Y420" si="195">SUM(Y414:Y419)</f>
        <v>6384</v>
      </c>
      <c r="Z420" s="524">
        <f t="shared" ref="Z420" si="196">SUM(Z414:Z419)</f>
        <v>6046</v>
      </c>
      <c r="AA420" s="524">
        <f t="shared" ref="AA420" si="197">SUM(AA414:AA419)</f>
        <v>8049</v>
      </c>
      <c r="AB420" s="524">
        <f t="shared" ref="AB420" si="198">SUM(AB414:AB419)</f>
        <v>14635</v>
      </c>
      <c r="AC420" s="524">
        <f t="shared" ref="AC420" si="199">SUM(AC414:AC419)</f>
        <v>7968</v>
      </c>
    </row>
    <row r="421" spans="1:29">
      <c r="A421" s="459" t="s">
        <v>678</v>
      </c>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c r="AC422" s="459"/>
    </row>
    <row r="425" spans="1:29" ht="15.6">
      <c r="A425" s="401" t="s">
        <v>680</v>
      </c>
    </row>
    <row r="426" spans="1:29" ht="17.399999999999999">
      <c r="A426" s="716" t="s">
        <v>1122</v>
      </c>
      <c r="B426" s="132" t="s">
        <v>677</v>
      </c>
      <c r="C426" s="130" t="str">
        <f t="shared" ref="C426:AC426" si="200">C388</f>
        <v>IE</v>
      </c>
      <c r="D426" s="130" t="str">
        <f t="shared" si="200"/>
        <v>IE-CW</v>
      </c>
      <c r="E426" s="130" t="str">
        <f t="shared" si="200"/>
        <v>IE-D</v>
      </c>
      <c r="F426" s="130" t="str">
        <f t="shared" si="200"/>
        <v>IE-KE</v>
      </c>
      <c r="G426" s="130" t="str">
        <f t="shared" si="200"/>
        <v>IE-KK</v>
      </c>
      <c r="H426" s="130" t="str">
        <f t="shared" si="200"/>
        <v>IE-LS</v>
      </c>
      <c r="I426" s="130" t="str">
        <f t="shared" si="200"/>
        <v>IE-LD</v>
      </c>
      <c r="J426" s="130" t="str">
        <f t="shared" si="200"/>
        <v>IE-LH</v>
      </c>
      <c r="K426" s="130" t="str">
        <f t="shared" si="200"/>
        <v>IE-MH</v>
      </c>
      <c r="L426" s="130" t="str">
        <f t="shared" si="200"/>
        <v>IE-OY</v>
      </c>
      <c r="M426" s="130" t="str">
        <f t="shared" si="200"/>
        <v>IE-WH</v>
      </c>
      <c r="N426" s="130" t="str">
        <f t="shared" si="200"/>
        <v>IE-WX</v>
      </c>
      <c r="O426" s="130" t="str">
        <f t="shared" si="200"/>
        <v>IE-WW</v>
      </c>
      <c r="P426" s="130" t="str">
        <f t="shared" si="200"/>
        <v>IE-CE</v>
      </c>
      <c r="Q426" s="130" t="str">
        <f t="shared" si="200"/>
        <v>IE-CO</v>
      </c>
      <c r="R426" s="130" t="str">
        <f t="shared" si="200"/>
        <v>IE-KY</v>
      </c>
      <c r="S426" s="130" t="str">
        <f t="shared" si="200"/>
        <v>IE-LK</v>
      </c>
      <c r="T426" s="130" t="str">
        <f t="shared" si="200"/>
        <v>IE-TA</v>
      </c>
      <c r="U426" s="130" t="str">
        <f t="shared" si="200"/>
        <v>IE-WD</v>
      </c>
      <c r="V426" s="130" t="str">
        <f t="shared" si="200"/>
        <v>IE-G</v>
      </c>
      <c r="W426" s="130" t="str">
        <f t="shared" si="200"/>
        <v>IE-LM</v>
      </c>
      <c r="X426" s="130" t="str">
        <f t="shared" si="200"/>
        <v>IE-MO</v>
      </c>
      <c r="Y426" s="130" t="str">
        <f t="shared" si="200"/>
        <v>IE-RN</v>
      </c>
      <c r="Z426" s="130" t="str">
        <f t="shared" si="200"/>
        <v>IE-SO</v>
      </c>
      <c r="AA426" s="130" t="str">
        <f t="shared" si="200"/>
        <v>IE-CN</v>
      </c>
      <c r="AB426" s="130" t="str">
        <f t="shared" si="200"/>
        <v>IE-DL</v>
      </c>
      <c r="AC426" s="130" t="str">
        <f t="shared" si="200"/>
        <v>IE-MN</v>
      </c>
    </row>
    <row r="427" spans="1:29">
      <c r="A427" s="845" t="s">
        <v>1119</v>
      </c>
      <c r="B427" s="459" t="s">
        <v>671</v>
      </c>
      <c r="C427" s="459">
        <v>4320</v>
      </c>
      <c r="D427" s="459">
        <v>68</v>
      </c>
      <c r="E427" s="459">
        <v>1005</v>
      </c>
      <c r="F427" s="459">
        <v>189</v>
      </c>
      <c r="G427" s="459">
        <v>86</v>
      </c>
      <c r="H427" s="459">
        <v>56</v>
      </c>
      <c r="I427" s="459">
        <v>45</v>
      </c>
      <c r="J427" s="459">
        <v>96</v>
      </c>
      <c r="K427" s="459">
        <v>165</v>
      </c>
      <c r="L427" s="459">
        <v>80</v>
      </c>
      <c r="M427" s="459">
        <v>107</v>
      </c>
      <c r="N427" s="459">
        <v>165</v>
      </c>
      <c r="O427" s="459">
        <v>87</v>
      </c>
      <c r="P427" s="459">
        <v>121</v>
      </c>
      <c r="Q427" s="459">
        <v>507</v>
      </c>
      <c r="R427" s="459">
        <v>145</v>
      </c>
      <c r="S427" s="459">
        <v>145</v>
      </c>
      <c r="T427" s="459">
        <v>155</v>
      </c>
      <c r="U427" s="459">
        <v>96</v>
      </c>
      <c r="V427" s="459">
        <v>262</v>
      </c>
      <c r="W427" s="459">
        <v>46</v>
      </c>
      <c r="X427" s="459">
        <v>163</v>
      </c>
      <c r="Y427" s="459">
        <v>82</v>
      </c>
      <c r="Z427" s="459">
        <v>76</v>
      </c>
      <c r="AA427" s="459">
        <v>98</v>
      </c>
      <c r="AB427" s="459">
        <v>189</v>
      </c>
      <c r="AC427" s="459">
        <v>88</v>
      </c>
    </row>
    <row r="428" spans="1:29">
      <c r="A428" s="845"/>
      <c r="B428" s="459" t="s">
        <v>672</v>
      </c>
      <c r="C428" s="459">
        <v>2098</v>
      </c>
      <c r="D428" s="459">
        <v>36</v>
      </c>
      <c r="E428" s="459">
        <v>466</v>
      </c>
      <c r="F428" s="459">
        <v>112</v>
      </c>
      <c r="G428" s="459">
        <v>53</v>
      </c>
      <c r="H428" s="459">
        <v>53</v>
      </c>
      <c r="I428" s="459">
        <v>24</v>
      </c>
      <c r="J428" s="459">
        <v>49</v>
      </c>
      <c r="K428" s="459">
        <v>107</v>
      </c>
      <c r="L428" s="459">
        <v>38</v>
      </c>
      <c r="M428" s="459">
        <v>45</v>
      </c>
      <c r="N428" s="459">
        <v>78</v>
      </c>
      <c r="O428" s="459">
        <v>87</v>
      </c>
      <c r="P428" s="459">
        <v>51</v>
      </c>
      <c r="Q428" s="459">
        <v>201</v>
      </c>
      <c r="R428" s="459">
        <v>65</v>
      </c>
      <c r="S428" s="459">
        <v>100</v>
      </c>
      <c r="T428" s="459">
        <v>84</v>
      </c>
      <c r="U428" s="459">
        <v>43</v>
      </c>
      <c r="V428" s="459">
        <v>105</v>
      </c>
      <c r="W428" s="459">
        <v>15</v>
      </c>
      <c r="X428" s="459">
        <v>78</v>
      </c>
      <c r="Y428" s="459">
        <v>34</v>
      </c>
      <c r="Z428" s="459">
        <v>29</v>
      </c>
      <c r="AA428" s="459">
        <v>45</v>
      </c>
      <c r="AB428" s="459">
        <v>58</v>
      </c>
      <c r="AC428" s="459">
        <v>43</v>
      </c>
    </row>
    <row r="429" spans="1:29">
      <c r="A429" s="845" t="s">
        <v>1120</v>
      </c>
      <c r="B429" s="459" t="s">
        <v>673</v>
      </c>
      <c r="C429" s="459">
        <v>113</v>
      </c>
      <c r="D429" s="459">
        <v>2</v>
      </c>
      <c r="E429" s="459">
        <v>33</v>
      </c>
      <c r="F429" s="459">
        <v>4</v>
      </c>
      <c r="G429" s="459">
        <v>2</v>
      </c>
      <c r="H429" s="459">
        <v>2</v>
      </c>
      <c r="I429" s="459">
        <v>1</v>
      </c>
      <c r="J429" s="459">
        <v>4</v>
      </c>
      <c r="K429" s="459">
        <v>4</v>
      </c>
      <c r="L429" s="459">
        <v>1</v>
      </c>
      <c r="M429" s="459">
        <v>2</v>
      </c>
      <c r="N429" s="459">
        <v>4</v>
      </c>
      <c r="O429" s="459">
        <v>2</v>
      </c>
      <c r="P429" s="459">
        <v>2</v>
      </c>
      <c r="Q429" s="459">
        <v>15</v>
      </c>
      <c r="R429" s="459">
        <v>2</v>
      </c>
      <c r="S429" s="459">
        <v>6</v>
      </c>
      <c r="T429" s="459">
        <v>5</v>
      </c>
      <c r="U429" s="459">
        <v>2</v>
      </c>
      <c r="V429" s="459">
        <v>6</v>
      </c>
      <c r="W429" s="459">
        <v>1</v>
      </c>
      <c r="X429" s="459">
        <v>2</v>
      </c>
      <c r="Y429" s="459">
        <v>2</v>
      </c>
      <c r="Z429" s="459">
        <v>2</v>
      </c>
      <c r="AA429" s="459">
        <v>2</v>
      </c>
      <c r="AB429" s="459">
        <v>3</v>
      </c>
      <c r="AC429" s="459">
        <v>2</v>
      </c>
    </row>
    <row r="430" spans="1:29">
      <c r="A430" s="845"/>
      <c r="B430" s="459" t="s">
        <v>674</v>
      </c>
      <c r="C430" s="459">
        <v>220</v>
      </c>
      <c r="D430" s="459">
        <v>3</v>
      </c>
      <c r="E430" s="459">
        <v>69</v>
      </c>
      <c r="F430" s="459">
        <v>11</v>
      </c>
      <c r="G430" s="459">
        <v>4</v>
      </c>
      <c r="H430" s="459">
        <v>4</v>
      </c>
      <c r="I430" s="459">
        <v>2</v>
      </c>
      <c r="J430" s="459">
        <v>8</v>
      </c>
      <c r="K430" s="459">
        <v>10</v>
      </c>
      <c r="L430" s="459">
        <v>3</v>
      </c>
      <c r="M430" s="459">
        <v>4</v>
      </c>
      <c r="N430" s="459">
        <v>9</v>
      </c>
      <c r="O430" s="459">
        <v>3</v>
      </c>
      <c r="P430" s="459">
        <v>3</v>
      </c>
      <c r="Q430" s="459">
        <v>19</v>
      </c>
      <c r="R430" s="459">
        <v>5</v>
      </c>
      <c r="S430" s="459">
        <v>16</v>
      </c>
      <c r="T430" s="459">
        <v>6</v>
      </c>
      <c r="U430" s="459">
        <v>3</v>
      </c>
      <c r="V430" s="459">
        <v>9</v>
      </c>
      <c r="W430" s="459">
        <v>1</v>
      </c>
      <c r="X430" s="459">
        <v>5</v>
      </c>
      <c r="Y430" s="459">
        <v>4</v>
      </c>
      <c r="Z430" s="459">
        <v>3</v>
      </c>
      <c r="AA430" s="459">
        <v>4</v>
      </c>
      <c r="AB430" s="459">
        <v>5</v>
      </c>
      <c r="AC430" s="459">
        <v>6</v>
      </c>
    </row>
    <row r="431" spans="1:29">
      <c r="A431" s="845" t="s">
        <v>1121</v>
      </c>
      <c r="B431" s="459" t="s">
        <v>675</v>
      </c>
      <c r="C431" s="459">
        <v>360</v>
      </c>
      <c r="D431" s="459">
        <v>5</v>
      </c>
      <c r="E431" s="459">
        <v>71</v>
      </c>
      <c r="F431" s="459">
        <v>22</v>
      </c>
      <c r="G431" s="459">
        <v>13</v>
      </c>
      <c r="H431" s="459">
        <v>7</v>
      </c>
      <c r="I431" s="459">
        <v>3</v>
      </c>
      <c r="J431" s="459">
        <v>15</v>
      </c>
      <c r="K431" s="459">
        <v>30</v>
      </c>
      <c r="L431" s="459">
        <v>3</v>
      </c>
      <c r="M431" s="459">
        <v>5</v>
      </c>
      <c r="N431" s="459">
        <v>34</v>
      </c>
      <c r="O431" s="459">
        <v>5</v>
      </c>
      <c r="P431" s="459">
        <v>4</v>
      </c>
      <c r="Q431" s="459">
        <v>35</v>
      </c>
      <c r="R431" s="459">
        <v>5</v>
      </c>
      <c r="S431" s="459">
        <v>12</v>
      </c>
      <c r="T431" s="459">
        <v>10</v>
      </c>
      <c r="U431" s="459">
        <v>6</v>
      </c>
      <c r="V431" s="459">
        <v>11</v>
      </c>
      <c r="W431" s="459">
        <v>2</v>
      </c>
      <c r="X431" s="459">
        <v>6</v>
      </c>
      <c r="Y431" s="459">
        <v>5</v>
      </c>
      <c r="Z431" s="459">
        <v>3</v>
      </c>
      <c r="AA431" s="459">
        <v>14</v>
      </c>
      <c r="AB431" s="459">
        <v>12</v>
      </c>
      <c r="AC431" s="459">
        <v>20</v>
      </c>
    </row>
    <row r="432" spans="1:29">
      <c r="A432" s="845"/>
      <c r="B432" s="459" t="s">
        <v>676</v>
      </c>
      <c r="C432" s="459">
        <v>780</v>
      </c>
      <c r="D432" s="459">
        <v>16</v>
      </c>
      <c r="E432" s="459">
        <v>126</v>
      </c>
      <c r="F432" s="459">
        <v>40</v>
      </c>
      <c r="G432" s="459">
        <v>30</v>
      </c>
      <c r="H432" s="459">
        <v>19</v>
      </c>
      <c r="I432" s="459">
        <v>12</v>
      </c>
      <c r="J432" s="459">
        <v>17</v>
      </c>
      <c r="K432" s="459">
        <v>42</v>
      </c>
      <c r="L432" s="459">
        <v>14</v>
      </c>
      <c r="M432" s="459">
        <v>11</v>
      </c>
      <c r="N432" s="459">
        <v>44</v>
      </c>
      <c r="O432" s="459">
        <v>16</v>
      </c>
      <c r="P432" s="459">
        <v>17</v>
      </c>
      <c r="Q432" s="459">
        <v>101</v>
      </c>
      <c r="R432" s="459">
        <v>21</v>
      </c>
      <c r="S432" s="459">
        <v>42</v>
      </c>
      <c r="T432" s="459">
        <v>42</v>
      </c>
      <c r="U432" s="459">
        <v>13</v>
      </c>
      <c r="V432" s="459">
        <v>35</v>
      </c>
      <c r="W432" s="459">
        <v>5</v>
      </c>
      <c r="X432" s="459">
        <v>16</v>
      </c>
      <c r="Y432" s="459">
        <v>11</v>
      </c>
      <c r="Z432" s="459">
        <v>8</v>
      </c>
      <c r="AA432" s="459">
        <v>16</v>
      </c>
      <c r="AB432" s="459">
        <v>23</v>
      </c>
      <c r="AC432" s="459">
        <v>41</v>
      </c>
    </row>
    <row r="433" spans="1:31">
      <c r="A433" s="501"/>
      <c r="B433" s="501" t="s">
        <v>16</v>
      </c>
      <c r="C433" s="523">
        <f>SUM(C427:C432)</f>
        <v>7891</v>
      </c>
      <c r="D433" s="523">
        <f t="shared" ref="D433:AC433" si="201">SUM(D427:D432)</f>
        <v>130</v>
      </c>
      <c r="E433" s="523">
        <f t="shared" si="201"/>
        <v>1770</v>
      </c>
      <c r="F433" s="523">
        <f t="shared" si="201"/>
        <v>378</v>
      </c>
      <c r="G433" s="523">
        <f t="shared" si="201"/>
        <v>188</v>
      </c>
      <c r="H433" s="523">
        <f t="shared" si="201"/>
        <v>141</v>
      </c>
      <c r="I433" s="523">
        <f t="shared" si="201"/>
        <v>87</v>
      </c>
      <c r="J433" s="523">
        <f t="shared" si="201"/>
        <v>189</v>
      </c>
      <c r="K433" s="523">
        <f t="shared" si="201"/>
        <v>358</v>
      </c>
      <c r="L433" s="523">
        <f t="shared" si="201"/>
        <v>139</v>
      </c>
      <c r="M433" s="523">
        <f t="shared" si="201"/>
        <v>174</v>
      </c>
      <c r="N433" s="523">
        <f t="shared" si="201"/>
        <v>334</v>
      </c>
      <c r="O433" s="523">
        <f t="shared" si="201"/>
        <v>200</v>
      </c>
      <c r="P433" s="523">
        <f t="shared" si="201"/>
        <v>198</v>
      </c>
      <c r="Q433" s="523">
        <f t="shared" si="201"/>
        <v>878</v>
      </c>
      <c r="R433" s="523">
        <f t="shared" si="201"/>
        <v>243</v>
      </c>
      <c r="S433" s="523">
        <f t="shared" si="201"/>
        <v>321</v>
      </c>
      <c r="T433" s="523">
        <f t="shared" si="201"/>
        <v>302</v>
      </c>
      <c r="U433" s="523">
        <f t="shared" si="201"/>
        <v>163</v>
      </c>
      <c r="V433" s="523">
        <f t="shared" si="201"/>
        <v>428</v>
      </c>
      <c r="W433" s="523">
        <f t="shared" si="201"/>
        <v>70</v>
      </c>
      <c r="X433" s="523">
        <f t="shared" si="201"/>
        <v>270</v>
      </c>
      <c r="Y433" s="523">
        <f t="shared" si="201"/>
        <v>138</v>
      </c>
      <c r="Z433" s="523">
        <f t="shared" si="201"/>
        <v>121</v>
      </c>
      <c r="AA433" s="523">
        <f t="shared" si="201"/>
        <v>179</v>
      </c>
      <c r="AB433" s="523">
        <f t="shared" si="201"/>
        <v>290</v>
      </c>
      <c r="AC433" s="523">
        <f t="shared" si="201"/>
        <v>200</v>
      </c>
    </row>
    <row r="434" spans="1:31">
      <c r="A434" t="s">
        <v>678</v>
      </c>
    </row>
    <row r="435" spans="1:31" s="714" customFormat="1"/>
    <row r="436" spans="1:31" s="714" customFormat="1"/>
    <row r="437" spans="1:31" s="714" customFormat="1"/>
    <row r="438" spans="1:31" s="714" customFormat="1" ht="15.6">
      <c r="A438" s="401" t="s">
        <v>1127</v>
      </c>
    </row>
    <row r="439" spans="1:31" s="714" customFormat="1" ht="17.399999999999999">
      <c r="A439" s="716" t="s">
        <v>1122</v>
      </c>
      <c r="B439" s="716" t="s">
        <v>677</v>
      </c>
      <c r="C439" s="716" t="s">
        <v>1124</v>
      </c>
      <c r="D439" s="716" t="s">
        <v>1125</v>
      </c>
      <c r="E439" s="700"/>
      <c r="F439" s="700"/>
      <c r="G439" s="700"/>
      <c r="H439" s="700"/>
      <c r="I439" s="700"/>
      <c r="J439" s="700"/>
      <c r="K439" s="700"/>
      <c r="L439" s="700"/>
      <c r="M439" s="700"/>
      <c r="N439" s="700"/>
      <c r="O439" s="700"/>
      <c r="P439" s="700"/>
      <c r="Q439" s="700"/>
      <c r="R439" s="700"/>
      <c r="S439" s="700"/>
      <c r="T439" s="700"/>
      <c r="U439" s="700"/>
      <c r="V439" s="700"/>
      <c r="W439" s="700"/>
      <c r="X439" s="700"/>
      <c r="Y439" s="700"/>
      <c r="Z439" s="700"/>
      <c r="AA439" s="700"/>
      <c r="AB439" s="700"/>
      <c r="AC439" s="700"/>
      <c r="AD439" s="700"/>
      <c r="AE439" s="700"/>
    </row>
    <row r="440" spans="1:31" s="714" customFormat="1">
      <c r="A440" s="845" t="s">
        <v>1119</v>
      </c>
      <c r="B440" s="714" t="s">
        <v>671</v>
      </c>
      <c r="E440" s="700"/>
      <c r="G440" s="700"/>
      <c r="H440" s="700"/>
      <c r="I440" s="700"/>
      <c r="J440" s="700"/>
      <c r="K440" s="700"/>
      <c r="L440" s="700"/>
      <c r="M440" s="700"/>
      <c r="N440" s="700"/>
      <c r="O440" s="700"/>
      <c r="P440" s="700"/>
      <c r="Q440" s="700"/>
      <c r="R440" s="700"/>
      <c r="S440" s="700"/>
      <c r="T440" s="700"/>
      <c r="U440" s="700"/>
      <c r="V440" s="700"/>
      <c r="W440" s="700"/>
      <c r="X440" s="700"/>
      <c r="Y440" s="700"/>
      <c r="Z440" s="700"/>
      <c r="AA440" s="700"/>
      <c r="AB440" s="700"/>
      <c r="AC440" s="700"/>
      <c r="AD440" s="700"/>
      <c r="AE440" s="700"/>
    </row>
    <row r="441" spans="1:31" s="714" customFormat="1">
      <c r="A441" s="845"/>
      <c r="B441" s="714" t="s">
        <v>672</v>
      </c>
      <c r="C441" s="714">
        <v>292</v>
      </c>
      <c r="D441" s="714">
        <v>6667</v>
      </c>
      <c r="E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row>
    <row r="442" spans="1:31" s="714" customFormat="1">
      <c r="A442" s="845" t="s">
        <v>1120</v>
      </c>
      <c r="B442" s="714" t="s">
        <v>673</v>
      </c>
      <c r="C442" s="714">
        <v>246</v>
      </c>
      <c r="D442" s="714">
        <v>4107</v>
      </c>
      <c r="E442" s="700"/>
      <c r="G442" s="700"/>
      <c r="H442" s="700"/>
      <c r="I442" s="700"/>
      <c r="J442" s="700"/>
      <c r="K442" s="700"/>
      <c r="L442" s="700"/>
      <c r="M442" s="700"/>
      <c r="N442" s="700"/>
      <c r="O442" s="700"/>
      <c r="P442" s="700"/>
      <c r="Q442" s="700"/>
      <c r="R442" s="700"/>
      <c r="S442" s="700"/>
      <c r="T442" s="700"/>
      <c r="U442" s="700"/>
      <c r="V442" s="700"/>
      <c r="W442" s="700"/>
      <c r="X442" s="700"/>
      <c r="Y442" s="700"/>
      <c r="Z442" s="700"/>
      <c r="AA442" s="700"/>
      <c r="AB442" s="700"/>
      <c r="AC442" s="700"/>
      <c r="AD442" s="700"/>
      <c r="AE442" s="700"/>
    </row>
    <row r="443" spans="1:31" s="714" customFormat="1">
      <c r="A443" s="845"/>
      <c r="B443" s="714" t="s">
        <v>674</v>
      </c>
      <c r="C443" s="714">
        <v>894</v>
      </c>
      <c r="D443" s="714">
        <v>12416</v>
      </c>
      <c r="E443" s="700"/>
      <c r="G443" s="700"/>
      <c r="H443" s="700"/>
      <c r="I443" s="700"/>
      <c r="J443" s="700"/>
      <c r="K443" s="700"/>
      <c r="L443" s="700"/>
      <c r="M443" s="700"/>
      <c r="N443" s="700"/>
      <c r="O443" s="700"/>
      <c r="P443" s="700"/>
      <c r="Q443" s="700"/>
      <c r="R443" s="700"/>
      <c r="S443" s="700"/>
      <c r="T443" s="700"/>
      <c r="U443" s="700"/>
      <c r="V443" s="700"/>
      <c r="W443" s="700"/>
      <c r="X443" s="700"/>
      <c r="Y443" s="700"/>
      <c r="Z443" s="700"/>
      <c r="AA443" s="700"/>
      <c r="AB443" s="700"/>
      <c r="AC443" s="700"/>
      <c r="AD443" s="700"/>
      <c r="AE443" s="700"/>
    </row>
    <row r="444" spans="1:31" s="714" customFormat="1">
      <c r="A444" s="845" t="s">
        <v>1121</v>
      </c>
      <c r="B444" s="714" t="s">
        <v>675</v>
      </c>
      <c r="C444" s="714">
        <v>2606</v>
      </c>
      <c r="D444" s="714">
        <v>35975</v>
      </c>
      <c r="E444" s="700"/>
      <c r="G444" s="700"/>
      <c r="H444" s="700"/>
      <c r="I444" s="700"/>
      <c r="J444" s="700"/>
      <c r="K444" s="700"/>
      <c r="L444" s="700"/>
      <c r="M444" s="700"/>
      <c r="N444" s="700"/>
      <c r="O444" s="700"/>
      <c r="P444" s="700"/>
      <c r="Q444" s="700"/>
      <c r="R444" s="700"/>
      <c r="S444" s="700"/>
      <c r="T444" s="700"/>
      <c r="U444" s="700"/>
      <c r="V444" s="700"/>
      <c r="W444" s="700"/>
      <c r="X444" s="700"/>
      <c r="Y444" s="700"/>
      <c r="Z444" s="700"/>
      <c r="AA444" s="700"/>
      <c r="AB444" s="700"/>
      <c r="AC444" s="700"/>
      <c r="AD444" s="700"/>
      <c r="AE444" s="700"/>
    </row>
    <row r="445" spans="1:31">
      <c r="A445" s="845"/>
      <c r="B445" s="714" t="s">
        <v>676</v>
      </c>
      <c r="C445" s="714">
        <v>7500</v>
      </c>
      <c r="D445" s="714">
        <v>90871</v>
      </c>
      <c r="E445" s="700"/>
      <c r="F445" s="700"/>
      <c r="G445" s="700"/>
      <c r="H445" s="700"/>
      <c r="I445" s="700"/>
      <c r="J445" s="700"/>
      <c r="K445" s="700"/>
      <c r="L445" s="700"/>
      <c r="M445" s="700"/>
      <c r="N445" s="700"/>
      <c r="O445" s="700"/>
      <c r="P445" s="700"/>
      <c r="Q445" s="700"/>
      <c r="R445" s="700"/>
      <c r="S445" s="700"/>
      <c r="T445" s="700"/>
      <c r="U445" s="700"/>
      <c r="V445" s="700"/>
      <c r="W445" s="700"/>
      <c r="X445" s="700"/>
      <c r="Y445" s="700"/>
      <c r="Z445" s="700"/>
      <c r="AA445" s="700"/>
      <c r="AB445" s="700"/>
      <c r="AC445" s="700"/>
      <c r="AD445" s="700"/>
      <c r="AE445" s="700"/>
    </row>
    <row r="446" spans="1:31">
      <c r="A446" s="804"/>
      <c r="B446" s="804" t="s">
        <v>16</v>
      </c>
      <c r="C446" s="806">
        <f>SUM(C440:C445)</f>
        <v>11538</v>
      </c>
      <c r="D446" s="806">
        <f>SUM(D440:D445)</f>
        <v>150036</v>
      </c>
      <c r="E446" s="700"/>
      <c r="F446" s="700"/>
      <c r="G446" s="700"/>
      <c r="H446" s="700"/>
      <c r="I446" s="700"/>
      <c r="J446" s="700"/>
      <c r="K446" s="700"/>
      <c r="L446" s="700"/>
      <c r="M446" s="700"/>
      <c r="N446" s="700"/>
      <c r="O446" s="700"/>
      <c r="P446" s="700"/>
      <c r="Q446" s="700"/>
      <c r="R446" s="700"/>
      <c r="S446" s="700"/>
      <c r="T446" s="700"/>
      <c r="U446" s="700"/>
      <c r="V446" s="700"/>
      <c r="W446" s="700"/>
      <c r="X446" s="700"/>
      <c r="Y446" s="700"/>
      <c r="Z446" s="700"/>
      <c r="AA446" s="700"/>
      <c r="AB446" s="700"/>
      <c r="AC446" s="700"/>
      <c r="AD446" s="700"/>
      <c r="AE446" s="700"/>
    </row>
    <row r="447" spans="1:31" s="714" customFormat="1">
      <c r="A447" s="714" t="s">
        <v>1126</v>
      </c>
      <c r="B447" s="805"/>
      <c r="C447" s="807"/>
      <c r="D447" s="700"/>
      <c r="E447" s="700"/>
      <c r="F447" s="700"/>
      <c r="G447" s="700"/>
      <c r="H447" s="700"/>
      <c r="I447" s="700"/>
      <c r="J447" s="700"/>
      <c r="K447" s="700"/>
      <c r="L447" s="700"/>
      <c r="M447" s="700"/>
      <c r="N447" s="700"/>
      <c r="O447" s="700"/>
      <c r="P447" s="700"/>
      <c r="Q447" s="700"/>
      <c r="R447" s="700"/>
      <c r="S447" s="700"/>
      <c r="T447" s="700"/>
      <c r="U447" s="700"/>
      <c r="V447" s="700"/>
      <c r="W447" s="700"/>
      <c r="X447" s="700"/>
      <c r="Y447" s="700"/>
      <c r="Z447" s="700"/>
      <c r="AA447" s="700"/>
      <c r="AB447" s="700"/>
      <c r="AC447" s="700"/>
      <c r="AD447" s="700"/>
      <c r="AE447" s="700"/>
    </row>
    <row r="448" spans="1:31" s="714" customFormat="1">
      <c r="A448" s="805"/>
      <c r="B448" s="805"/>
      <c r="C448" s="807"/>
      <c r="D448" s="700"/>
      <c r="E448" s="700"/>
      <c r="F448" s="700"/>
      <c r="G448" s="700"/>
      <c r="H448" s="700"/>
      <c r="I448" s="700"/>
      <c r="J448" s="700"/>
      <c r="K448" s="700"/>
      <c r="L448" s="700"/>
      <c r="M448" s="700"/>
      <c r="N448" s="700"/>
      <c r="O448" s="700"/>
      <c r="P448" s="700"/>
      <c r="Q448" s="700"/>
      <c r="R448" s="700"/>
      <c r="S448" s="700"/>
      <c r="T448" s="700"/>
      <c r="U448" s="700"/>
      <c r="V448" s="700"/>
      <c r="W448" s="700"/>
      <c r="X448" s="700"/>
      <c r="Y448" s="700"/>
      <c r="Z448" s="700"/>
      <c r="AA448" s="700"/>
      <c r="AB448" s="700"/>
      <c r="AC448" s="700"/>
    </row>
    <row r="449" spans="1:29" s="714" customFormat="1">
      <c r="A449" s="805"/>
      <c r="B449" s="805"/>
      <c r="C449" s="807"/>
      <c r="D449" s="700"/>
      <c r="E449" s="700"/>
      <c r="F449" s="700"/>
      <c r="G449" s="700"/>
      <c r="H449" s="700"/>
      <c r="I449" s="700"/>
      <c r="J449" s="700"/>
      <c r="K449" s="700"/>
      <c r="L449" s="700"/>
      <c r="M449" s="700"/>
      <c r="N449" s="700"/>
      <c r="O449" s="700"/>
      <c r="P449" s="700"/>
      <c r="Q449" s="700"/>
      <c r="R449" s="700"/>
      <c r="S449" s="700"/>
      <c r="T449" s="700"/>
      <c r="U449" s="700"/>
      <c r="V449" s="700"/>
      <c r="W449" s="700"/>
      <c r="X449" s="700"/>
      <c r="Y449" s="700"/>
      <c r="Z449" s="700"/>
      <c r="AA449" s="700"/>
      <c r="AB449" s="700"/>
      <c r="AC449" s="700"/>
    </row>
    <row r="450" spans="1:29" s="714" customFormat="1">
      <c r="A450" s="805"/>
      <c r="B450" s="805"/>
      <c r="C450" s="807"/>
      <c r="D450" s="700"/>
      <c r="E450" s="700"/>
      <c r="F450" s="700"/>
      <c r="G450" s="700"/>
      <c r="H450" s="700"/>
      <c r="I450" s="700"/>
      <c r="J450" s="700"/>
      <c r="K450" s="700"/>
      <c r="L450" s="700"/>
      <c r="M450" s="700"/>
      <c r="N450" s="700"/>
      <c r="O450" s="700"/>
      <c r="P450" s="700"/>
      <c r="Q450" s="700"/>
      <c r="R450" s="700"/>
      <c r="S450" s="700"/>
      <c r="T450" s="700"/>
      <c r="U450" s="700"/>
      <c r="V450" s="700"/>
      <c r="W450" s="700"/>
      <c r="X450" s="700"/>
      <c r="Y450" s="700"/>
      <c r="Z450" s="700"/>
      <c r="AA450" s="700"/>
      <c r="AB450" s="700"/>
      <c r="AC450" s="700"/>
    </row>
    <row r="451" spans="1:29" s="714" customFormat="1" ht="15.6">
      <c r="A451" s="401" t="s">
        <v>1123</v>
      </c>
    </row>
    <row r="452" spans="1:29" s="714" customFormat="1" ht="17.399999999999999">
      <c r="A452" s="716" t="s">
        <v>1122</v>
      </c>
      <c r="B452" s="716" t="s">
        <v>677</v>
      </c>
      <c r="C452" s="130" t="str">
        <f>C426</f>
        <v>IE</v>
      </c>
      <c r="D452" s="130" t="str">
        <f t="shared" ref="D452:AC452" si="202">D426</f>
        <v>IE-CW</v>
      </c>
      <c r="E452" s="130" t="str">
        <f t="shared" si="202"/>
        <v>IE-D</v>
      </c>
      <c r="F452" s="130" t="str">
        <f t="shared" si="202"/>
        <v>IE-KE</v>
      </c>
      <c r="G452" s="130" t="str">
        <f t="shared" si="202"/>
        <v>IE-KK</v>
      </c>
      <c r="H452" s="130" t="str">
        <f t="shared" si="202"/>
        <v>IE-LS</v>
      </c>
      <c r="I452" s="130" t="str">
        <f t="shared" si="202"/>
        <v>IE-LD</v>
      </c>
      <c r="J452" s="130" t="str">
        <f t="shared" si="202"/>
        <v>IE-LH</v>
      </c>
      <c r="K452" s="130" t="str">
        <f t="shared" si="202"/>
        <v>IE-MH</v>
      </c>
      <c r="L452" s="130" t="str">
        <f t="shared" si="202"/>
        <v>IE-OY</v>
      </c>
      <c r="M452" s="130" t="str">
        <f t="shared" si="202"/>
        <v>IE-WH</v>
      </c>
      <c r="N452" s="130" t="str">
        <f t="shared" si="202"/>
        <v>IE-WX</v>
      </c>
      <c r="O452" s="130" t="str">
        <f t="shared" si="202"/>
        <v>IE-WW</v>
      </c>
      <c r="P452" s="130" t="str">
        <f t="shared" si="202"/>
        <v>IE-CE</v>
      </c>
      <c r="Q452" s="130" t="str">
        <f t="shared" si="202"/>
        <v>IE-CO</v>
      </c>
      <c r="R452" s="130" t="str">
        <f t="shared" si="202"/>
        <v>IE-KY</v>
      </c>
      <c r="S452" s="130" t="str">
        <f t="shared" si="202"/>
        <v>IE-LK</v>
      </c>
      <c r="T452" s="130" t="str">
        <f t="shared" si="202"/>
        <v>IE-TA</v>
      </c>
      <c r="U452" s="130" t="str">
        <f t="shared" si="202"/>
        <v>IE-WD</v>
      </c>
      <c r="V452" s="130" t="str">
        <f t="shared" si="202"/>
        <v>IE-G</v>
      </c>
      <c r="W452" s="130" t="str">
        <f t="shared" si="202"/>
        <v>IE-LM</v>
      </c>
      <c r="X452" s="130" t="str">
        <f t="shared" si="202"/>
        <v>IE-MO</v>
      </c>
      <c r="Y452" s="130" t="str">
        <f t="shared" si="202"/>
        <v>IE-RN</v>
      </c>
      <c r="Z452" s="130" t="str">
        <f t="shared" si="202"/>
        <v>IE-SO</v>
      </c>
      <c r="AA452" s="130" t="str">
        <f t="shared" si="202"/>
        <v>IE-CN</v>
      </c>
      <c r="AB452" s="130" t="str">
        <f t="shared" si="202"/>
        <v>IE-DL</v>
      </c>
      <c r="AC452" s="130" t="str">
        <f t="shared" si="202"/>
        <v>IE-MN</v>
      </c>
    </row>
    <row r="453" spans="1:29" s="714" customFormat="1">
      <c r="A453" s="808" t="s">
        <v>1119</v>
      </c>
      <c r="B453" s="714" t="s">
        <v>1128</v>
      </c>
      <c r="C453" s="714">
        <f>C441</f>
        <v>292</v>
      </c>
      <c r="D453" s="6">
        <f t="shared" ref="D453:M455" si="203">$C453*D$509</f>
        <v>4.5036639360040285</v>
      </c>
      <c r="E453" s="6">
        <f t="shared" si="203"/>
        <v>66.545424955208503</v>
      </c>
      <c r="F453" s="6">
        <f t="shared" si="203"/>
        <v>12.206547657003652</v>
      </c>
      <c r="G453" s="6">
        <f t="shared" si="203"/>
        <v>7.8498485859894576</v>
      </c>
      <c r="H453" s="6">
        <f t="shared" si="203"/>
        <v>5.5910693087846983</v>
      </c>
      <c r="I453" s="6">
        <f t="shared" si="203"/>
        <v>2.6981330608871263</v>
      </c>
      <c r="J453" s="6">
        <f t="shared" si="203"/>
        <v>7.0705636223405346</v>
      </c>
      <c r="K453" s="6">
        <f t="shared" si="203"/>
        <v>10.700094745319726</v>
      </c>
      <c r="L453" s="6">
        <f t="shared" si="203"/>
        <v>5.146408425117345</v>
      </c>
      <c r="M453" s="6">
        <f t="shared" si="203"/>
        <v>5.8599386346720381</v>
      </c>
      <c r="N453" s="6">
        <f t="shared" ref="N453:W455" si="204">$C453*N$509</f>
        <v>11.843911540546534</v>
      </c>
      <c r="O453" s="6">
        <f t="shared" si="204"/>
        <v>7.8134215566854737</v>
      </c>
      <c r="P453" s="6">
        <f t="shared" si="204"/>
        <v>7.688817017013525</v>
      </c>
      <c r="Q453" s="6">
        <f t="shared" si="204"/>
        <v>41.139368114561577</v>
      </c>
      <c r="R453" s="6">
        <f t="shared" si="204"/>
        <v>11.193462584085903</v>
      </c>
      <c r="S453" s="6">
        <f t="shared" si="204"/>
        <v>12.61219141872728</v>
      </c>
      <c r="T453" s="6">
        <f t="shared" si="204"/>
        <v>10.324901499916336</v>
      </c>
      <c r="U453" s="6">
        <f t="shared" si="204"/>
        <v>9.1902209904658907</v>
      </c>
      <c r="V453" s="6">
        <f t="shared" si="204"/>
        <v>15.314016005661671</v>
      </c>
      <c r="W453" s="6">
        <f t="shared" si="204"/>
        <v>2.0423414488510581</v>
      </c>
      <c r="X453" s="6">
        <f t="shared" ref="X453:AC455" si="205">$C453*X$509</f>
        <v>7.7447174156619347</v>
      </c>
      <c r="Y453" s="6">
        <f t="shared" si="205"/>
        <v>3.830254629073413</v>
      </c>
      <c r="Z453" s="6">
        <f t="shared" si="205"/>
        <v>4.1769082152806787</v>
      </c>
      <c r="AA453" s="6">
        <f t="shared" si="205"/>
        <v>4.8551180316963602</v>
      </c>
      <c r="AB453" s="6">
        <f t="shared" si="205"/>
        <v>10.146187115388139</v>
      </c>
      <c r="AC453" s="6">
        <f t="shared" si="205"/>
        <v>3.9124694850571404</v>
      </c>
    </row>
    <row r="454" spans="1:29" s="714" customFormat="1">
      <c r="A454" s="808" t="s">
        <v>1120</v>
      </c>
      <c r="B454" s="714" t="s">
        <v>1129</v>
      </c>
      <c r="C454" s="135">
        <f>C442+C443</f>
        <v>1140</v>
      </c>
      <c r="D454" s="6">
        <f t="shared" si="203"/>
        <v>17.58279755837189</v>
      </c>
      <c r="E454" s="6">
        <f t="shared" si="203"/>
        <v>259.80063167444416</v>
      </c>
      <c r="F454" s="6">
        <f t="shared" si="203"/>
        <v>47.65569975679508</v>
      </c>
      <c r="G454" s="6">
        <f t="shared" si="203"/>
        <v>30.646669137082128</v>
      </c>
      <c r="H454" s="6">
        <f t="shared" si="203"/>
        <v>21.828147301419712</v>
      </c>
      <c r="I454" s="6">
        <f t="shared" si="203"/>
        <v>10.533807155518234</v>
      </c>
      <c r="J454" s="6">
        <f t="shared" si="203"/>
        <v>27.604255237904827</v>
      </c>
      <c r="K454" s="6">
        <f t="shared" si="203"/>
        <v>41.774342498850984</v>
      </c>
      <c r="L454" s="6">
        <f t="shared" si="203"/>
        <v>20.09214248162251</v>
      </c>
      <c r="M454" s="6">
        <f t="shared" si="203"/>
        <v>22.877842614815492</v>
      </c>
      <c r="N454" s="6">
        <f t="shared" si="204"/>
        <v>46.239928617202224</v>
      </c>
      <c r="O454" s="6">
        <f t="shared" si="204"/>
        <v>30.504454022676164</v>
      </c>
      <c r="P454" s="6">
        <f t="shared" si="204"/>
        <v>30.017984244504856</v>
      </c>
      <c r="Q454" s="6">
        <f t="shared" si="204"/>
        <v>160.61260154315136</v>
      </c>
      <c r="R454" s="6">
        <f t="shared" si="204"/>
        <v>43.700504609102502</v>
      </c>
      <c r="S454" s="6">
        <f t="shared" si="204"/>
        <v>49.239377456675001</v>
      </c>
      <c r="T454" s="6">
        <f t="shared" si="204"/>
        <v>40.309546951728159</v>
      </c>
      <c r="U454" s="6">
        <f t="shared" si="204"/>
        <v>35.879629894284641</v>
      </c>
      <c r="V454" s="6">
        <f t="shared" si="204"/>
        <v>59.787596734432547</v>
      </c>
      <c r="W454" s="6">
        <f t="shared" si="204"/>
        <v>7.9735248345555005</v>
      </c>
      <c r="X454" s="6">
        <f t="shared" si="205"/>
        <v>30.236225526899336</v>
      </c>
      <c r="Y454" s="6">
        <f t="shared" si="205"/>
        <v>14.953733825834558</v>
      </c>
      <c r="Z454" s="6">
        <f t="shared" si="205"/>
        <v>16.307107415821825</v>
      </c>
      <c r="AA454" s="6">
        <f t="shared" si="205"/>
        <v>18.954912863472092</v>
      </c>
      <c r="AB454" s="6">
        <f t="shared" si="205"/>
        <v>39.611826409392052</v>
      </c>
      <c r="AC454" s="6">
        <f t="shared" si="205"/>
        <v>15.27470963344226</v>
      </c>
    </row>
    <row r="455" spans="1:29" s="714" customFormat="1">
      <c r="A455" s="808" t="s">
        <v>1121</v>
      </c>
      <c r="B455" s="714" t="s">
        <v>1130</v>
      </c>
      <c r="C455" s="714">
        <f>C444+C445</f>
        <v>10106</v>
      </c>
      <c r="D455" s="6">
        <f t="shared" si="203"/>
        <v>155.86995800430381</v>
      </c>
      <c r="E455" s="6">
        <f t="shared" si="203"/>
        <v>2303.1098102648534</v>
      </c>
      <c r="F455" s="6">
        <f t="shared" si="203"/>
        <v>422.46359801944828</v>
      </c>
      <c r="G455" s="6">
        <f t="shared" si="203"/>
        <v>271.68003359592279</v>
      </c>
      <c r="H455" s="6">
        <f t="shared" si="203"/>
        <v>193.50461107732247</v>
      </c>
      <c r="I455" s="6">
        <f t="shared" si="203"/>
        <v>93.381276415497609</v>
      </c>
      <c r="J455" s="6">
        <f t="shared" si="203"/>
        <v>244.70930125812822</v>
      </c>
      <c r="K455" s="6">
        <f t="shared" si="203"/>
        <v>370.32588183630531</v>
      </c>
      <c r="L455" s="6">
        <f t="shared" si="203"/>
        <v>178.11508063094482</v>
      </c>
      <c r="M455" s="6">
        <f t="shared" si="203"/>
        <v>202.81006795203979</v>
      </c>
      <c r="N455" s="6">
        <f t="shared" si="204"/>
        <v>409.91291105740851</v>
      </c>
      <c r="O455" s="6">
        <f t="shared" si="204"/>
        <v>270.41930908172395</v>
      </c>
      <c r="P455" s="6">
        <f t="shared" si="204"/>
        <v>266.10679717102289</v>
      </c>
      <c r="Q455" s="6">
        <f t="shared" si="204"/>
        <v>1423.8166238553399</v>
      </c>
      <c r="R455" s="6">
        <f t="shared" si="204"/>
        <v>387.40113998209637</v>
      </c>
      <c r="S455" s="6">
        <f t="shared" si="204"/>
        <v>436.5027619097873</v>
      </c>
      <c r="T455" s="6">
        <f t="shared" si="204"/>
        <v>357.34059780189892</v>
      </c>
      <c r="U455" s="6">
        <f t="shared" si="204"/>
        <v>318.06977167687774</v>
      </c>
      <c r="V455" s="6">
        <f t="shared" si="204"/>
        <v>530.01180052471523</v>
      </c>
      <c r="W455" s="6">
        <f t="shared" si="204"/>
        <v>70.684598226331474</v>
      </c>
      <c r="X455" s="6">
        <f t="shared" si="205"/>
        <v>268.04148699547778</v>
      </c>
      <c r="Y455" s="6">
        <f t="shared" si="205"/>
        <v>132.563538634986</v>
      </c>
      <c r="Z455" s="6">
        <f t="shared" si="205"/>
        <v>144.56107679324157</v>
      </c>
      <c r="AA455" s="6">
        <f t="shared" si="205"/>
        <v>168.03363982302542</v>
      </c>
      <c r="AB455" s="6">
        <f t="shared" si="205"/>
        <v>351.15536639764571</v>
      </c>
      <c r="AC455" s="6">
        <f t="shared" si="205"/>
        <v>135.4089610136557</v>
      </c>
    </row>
    <row r="456" spans="1:29" s="714" customFormat="1">
      <c r="A456" s="804"/>
      <c r="B456" s="804" t="s">
        <v>16</v>
      </c>
      <c r="C456" s="806">
        <f t="shared" ref="C456:AC456" si="206">SUM(C453:C455)</f>
        <v>11538</v>
      </c>
      <c r="D456" s="806">
        <f t="shared" si="206"/>
        <v>177.95641949867974</v>
      </c>
      <c r="E456" s="806">
        <f t="shared" si="206"/>
        <v>2629.455866894506</v>
      </c>
      <c r="F456" s="806">
        <f t="shared" si="206"/>
        <v>482.32584543324703</v>
      </c>
      <c r="G456" s="806">
        <f t="shared" si="206"/>
        <v>310.17655131899437</v>
      </c>
      <c r="H456" s="806">
        <f t="shared" si="206"/>
        <v>220.92382768752688</v>
      </c>
      <c r="I456" s="806">
        <f t="shared" si="206"/>
        <v>106.61321663190297</v>
      </c>
      <c r="J456" s="806">
        <f t="shared" si="206"/>
        <v>279.38412011837357</v>
      </c>
      <c r="K456" s="806">
        <f t="shared" si="206"/>
        <v>422.80031908047602</v>
      </c>
      <c r="L456" s="806">
        <f t="shared" si="206"/>
        <v>203.35363153768466</v>
      </c>
      <c r="M456" s="806">
        <f t="shared" si="206"/>
        <v>231.54784920152733</v>
      </c>
      <c r="N456" s="806">
        <f t="shared" si="206"/>
        <v>467.99675121515725</v>
      </c>
      <c r="O456" s="806">
        <f t="shared" si="206"/>
        <v>308.73718466108562</v>
      </c>
      <c r="P456" s="806">
        <f t="shared" si="206"/>
        <v>303.81359843254126</v>
      </c>
      <c r="Q456" s="806">
        <f t="shared" si="206"/>
        <v>1625.5685935130527</v>
      </c>
      <c r="R456" s="806">
        <f t="shared" si="206"/>
        <v>442.29510717528478</v>
      </c>
      <c r="S456" s="806">
        <f t="shared" si="206"/>
        <v>498.35433078518957</v>
      </c>
      <c r="T456" s="806">
        <f t="shared" si="206"/>
        <v>407.97504625354344</v>
      </c>
      <c r="U456" s="806">
        <f t="shared" si="206"/>
        <v>363.13962256162824</v>
      </c>
      <c r="V456" s="806">
        <f t="shared" si="206"/>
        <v>605.11341326480942</v>
      </c>
      <c r="W456" s="806">
        <f t="shared" si="206"/>
        <v>80.700464509738026</v>
      </c>
      <c r="X456" s="806">
        <f t="shared" si="206"/>
        <v>306.02242993803907</v>
      </c>
      <c r="Y456" s="806">
        <f t="shared" si="206"/>
        <v>151.34752708989396</v>
      </c>
      <c r="Z456" s="806">
        <f t="shared" si="206"/>
        <v>165.04509242434406</v>
      </c>
      <c r="AA456" s="806">
        <f t="shared" si="206"/>
        <v>191.84367071819389</v>
      </c>
      <c r="AB456" s="806">
        <f t="shared" si="206"/>
        <v>400.91337992242592</v>
      </c>
      <c r="AC456" s="806">
        <f t="shared" si="206"/>
        <v>154.59614013215509</v>
      </c>
    </row>
    <row r="457" spans="1:29" s="714" customFormat="1">
      <c r="A457" s="805"/>
      <c r="B457" s="805"/>
      <c r="C457" s="807"/>
      <c r="D457" s="807"/>
      <c r="E457" s="807"/>
      <c r="F457" s="807"/>
      <c r="G457" s="807"/>
      <c r="H457" s="807"/>
      <c r="I457" s="807"/>
      <c r="J457" s="807"/>
      <c r="K457" s="807"/>
      <c r="L457" s="807"/>
      <c r="M457" s="807"/>
      <c r="N457" s="807"/>
      <c r="O457" s="807"/>
      <c r="P457" s="807"/>
      <c r="Q457" s="807"/>
      <c r="R457" s="807"/>
      <c r="S457" s="807"/>
      <c r="T457" s="807"/>
      <c r="U457" s="807"/>
      <c r="V457" s="807"/>
      <c r="W457" s="807"/>
      <c r="X457" s="807"/>
      <c r="Y457" s="807"/>
      <c r="Z457" s="807"/>
      <c r="AA457" s="807"/>
      <c r="AB457" s="807"/>
      <c r="AC457" s="807"/>
    </row>
    <row r="458" spans="1:29" s="714" customFormat="1">
      <c r="A458" s="805"/>
      <c r="B458" s="805"/>
      <c r="C458" s="807"/>
      <c r="D458" s="807"/>
      <c r="E458" s="807"/>
      <c r="F458" s="807"/>
      <c r="G458" s="807"/>
      <c r="H458" s="807"/>
      <c r="I458" s="807"/>
      <c r="J458" s="807"/>
      <c r="K458" s="807"/>
      <c r="L458" s="807"/>
      <c r="M458" s="807"/>
      <c r="N458" s="807"/>
      <c r="O458" s="807"/>
      <c r="P458" s="807"/>
      <c r="Q458" s="807"/>
      <c r="R458" s="807"/>
      <c r="S458" s="807"/>
      <c r="T458" s="807"/>
      <c r="U458" s="807"/>
      <c r="V458" s="807"/>
      <c r="W458" s="807"/>
      <c r="X458" s="807"/>
      <c r="Y458" s="807"/>
      <c r="Z458" s="807"/>
      <c r="AA458" s="807"/>
      <c r="AB458" s="807"/>
      <c r="AC458" s="807"/>
    </row>
    <row r="459" spans="1:29" s="714" customFormat="1">
      <c r="A459" s="805"/>
      <c r="B459" s="805"/>
      <c r="C459" s="807"/>
      <c r="D459" s="807"/>
      <c r="E459" s="807"/>
      <c r="F459" s="807"/>
      <c r="G459" s="807"/>
      <c r="H459" s="807"/>
      <c r="I459" s="807"/>
      <c r="J459" s="807"/>
      <c r="K459" s="807"/>
      <c r="L459" s="807"/>
      <c r="M459" s="807"/>
      <c r="N459" s="807"/>
      <c r="O459" s="807"/>
      <c r="P459" s="807"/>
      <c r="Q459" s="807"/>
      <c r="R459" s="807"/>
      <c r="S459" s="807"/>
      <c r="T459" s="807"/>
      <c r="U459" s="807"/>
      <c r="V459" s="807"/>
      <c r="W459" s="807"/>
      <c r="X459" s="807"/>
      <c r="Y459" s="807"/>
      <c r="Z459" s="807"/>
      <c r="AA459" s="807"/>
      <c r="AB459" s="807"/>
      <c r="AC459" s="807"/>
    </row>
    <row r="460" spans="1:29" s="714" customFormat="1" ht="15.6">
      <c r="A460" s="401" t="s">
        <v>1139</v>
      </c>
    </row>
    <row r="461" spans="1:29" s="714" customFormat="1" ht="17.399999999999999">
      <c r="A461" s="716"/>
      <c r="B461" s="716" t="s">
        <v>677</v>
      </c>
      <c r="C461" s="130" t="str">
        <f>C452</f>
        <v>IE</v>
      </c>
      <c r="D461" s="130" t="str">
        <f t="shared" ref="D461:AC461" si="207">D452</f>
        <v>IE-CW</v>
      </c>
      <c r="E461" s="130" t="str">
        <f t="shared" si="207"/>
        <v>IE-D</v>
      </c>
      <c r="F461" s="130" t="str">
        <f t="shared" si="207"/>
        <v>IE-KE</v>
      </c>
      <c r="G461" s="130" t="str">
        <f t="shared" si="207"/>
        <v>IE-KK</v>
      </c>
      <c r="H461" s="130" t="str">
        <f t="shared" si="207"/>
        <v>IE-LS</v>
      </c>
      <c r="I461" s="130" t="str">
        <f t="shared" si="207"/>
        <v>IE-LD</v>
      </c>
      <c r="J461" s="130" t="str">
        <f t="shared" si="207"/>
        <v>IE-LH</v>
      </c>
      <c r="K461" s="130" t="str">
        <f t="shared" si="207"/>
        <v>IE-MH</v>
      </c>
      <c r="L461" s="130" t="str">
        <f t="shared" si="207"/>
        <v>IE-OY</v>
      </c>
      <c r="M461" s="130" t="str">
        <f t="shared" si="207"/>
        <v>IE-WH</v>
      </c>
      <c r="N461" s="130" t="str">
        <f t="shared" si="207"/>
        <v>IE-WX</v>
      </c>
      <c r="O461" s="130" t="str">
        <f t="shared" si="207"/>
        <v>IE-WW</v>
      </c>
      <c r="P461" s="130" t="str">
        <f t="shared" si="207"/>
        <v>IE-CE</v>
      </c>
      <c r="Q461" s="130" t="str">
        <f t="shared" si="207"/>
        <v>IE-CO</v>
      </c>
      <c r="R461" s="130" t="str">
        <f t="shared" si="207"/>
        <v>IE-KY</v>
      </c>
      <c r="S461" s="130" t="str">
        <f t="shared" si="207"/>
        <v>IE-LK</v>
      </c>
      <c r="T461" s="130" t="str">
        <f t="shared" si="207"/>
        <v>IE-TA</v>
      </c>
      <c r="U461" s="130" t="str">
        <f t="shared" si="207"/>
        <v>IE-WD</v>
      </c>
      <c r="V461" s="130" t="str">
        <f t="shared" si="207"/>
        <v>IE-G</v>
      </c>
      <c r="W461" s="130" t="str">
        <f t="shared" si="207"/>
        <v>IE-LM</v>
      </c>
      <c r="X461" s="130" t="str">
        <f t="shared" si="207"/>
        <v>IE-MO</v>
      </c>
      <c r="Y461" s="130" t="str">
        <f t="shared" si="207"/>
        <v>IE-RN</v>
      </c>
      <c r="Z461" s="130" t="str">
        <f t="shared" si="207"/>
        <v>IE-SO</v>
      </c>
      <c r="AA461" s="130" t="str">
        <f t="shared" si="207"/>
        <v>IE-CN</v>
      </c>
      <c r="AB461" s="130" t="str">
        <f t="shared" si="207"/>
        <v>IE-DL</v>
      </c>
      <c r="AC461" s="130" t="str">
        <f t="shared" si="207"/>
        <v>IE-MN</v>
      </c>
    </row>
    <row r="462" spans="1:29" s="714" customFormat="1">
      <c r="A462" s="808" t="s">
        <v>1119</v>
      </c>
      <c r="B462" s="714" t="s">
        <v>1128</v>
      </c>
      <c r="C462" s="5">
        <f>C453/SUM(C427:C428)</f>
        <v>4.5497039576191958E-2</v>
      </c>
      <c r="D462" s="5">
        <f t="shared" ref="D462:AC462" si="208">D453/SUM(D427:D428)</f>
        <v>4.3304460923115656E-2</v>
      </c>
      <c r="E462" s="5">
        <f t="shared" si="208"/>
        <v>4.5238222267306935E-2</v>
      </c>
      <c r="F462" s="5">
        <f t="shared" si="208"/>
        <v>4.0553314475095192E-2</v>
      </c>
      <c r="G462" s="5">
        <f t="shared" si="208"/>
        <v>5.6473730834456531E-2</v>
      </c>
      <c r="H462" s="5">
        <f t="shared" si="208"/>
        <v>5.1294213842061454E-2</v>
      </c>
      <c r="I462" s="5">
        <f t="shared" si="208"/>
        <v>3.9103377694016325E-2</v>
      </c>
      <c r="J462" s="5">
        <f t="shared" si="208"/>
        <v>4.876250774027955E-2</v>
      </c>
      <c r="K462" s="5">
        <f t="shared" si="208"/>
        <v>3.9338583622498993E-2</v>
      </c>
      <c r="L462" s="5">
        <f t="shared" si="208"/>
        <v>4.3613630721333431E-2</v>
      </c>
      <c r="M462" s="5">
        <f t="shared" si="208"/>
        <v>3.8552227859684464E-2</v>
      </c>
      <c r="N462" s="5">
        <f t="shared" si="208"/>
        <v>4.8740376710068041E-2</v>
      </c>
      <c r="O462" s="5">
        <f t="shared" si="208"/>
        <v>4.4904721590146399E-2</v>
      </c>
      <c r="P462" s="5">
        <f t="shared" si="208"/>
        <v>4.4702424517520496E-2</v>
      </c>
      <c r="Q462" s="5">
        <f t="shared" si="208"/>
        <v>5.810645213921127E-2</v>
      </c>
      <c r="R462" s="5">
        <f t="shared" si="208"/>
        <v>5.3302202781361448E-2</v>
      </c>
      <c r="S462" s="5">
        <f t="shared" si="208"/>
        <v>5.1478332321335835E-2</v>
      </c>
      <c r="T462" s="5">
        <f t="shared" si="208"/>
        <v>4.3200424685842412E-2</v>
      </c>
      <c r="U462" s="5">
        <f t="shared" si="208"/>
        <v>6.6116697773135905E-2</v>
      </c>
      <c r="V462" s="5">
        <f t="shared" si="208"/>
        <v>4.1727564048124444E-2</v>
      </c>
      <c r="W462" s="5">
        <f t="shared" si="208"/>
        <v>3.348100735821407E-2</v>
      </c>
      <c r="X462" s="5">
        <f t="shared" si="208"/>
        <v>3.2135756911460311E-2</v>
      </c>
      <c r="Y462" s="5">
        <f t="shared" si="208"/>
        <v>3.3019436457529423E-2</v>
      </c>
      <c r="Z462" s="5">
        <f t="shared" si="208"/>
        <v>3.9780078240768367E-2</v>
      </c>
      <c r="AA462" s="5">
        <f t="shared" si="208"/>
        <v>3.3951874347526993E-2</v>
      </c>
      <c r="AB462" s="5">
        <f t="shared" si="208"/>
        <v>4.1077680629101776E-2</v>
      </c>
      <c r="AC462" s="5">
        <f t="shared" si="208"/>
        <v>2.9866179275245347E-2</v>
      </c>
    </row>
    <row r="463" spans="1:29" s="714" customFormat="1">
      <c r="A463" s="808" t="s">
        <v>1120</v>
      </c>
      <c r="B463" s="714" t="s">
        <v>1129</v>
      </c>
      <c r="C463" s="5">
        <f>C454/SUM(C429:C430)</f>
        <v>3.4234234234234235</v>
      </c>
      <c r="D463" s="5">
        <f t="shared" ref="D463:AC463" si="209">D454/SUM(D429:D430)</f>
        <v>3.516559511674378</v>
      </c>
      <c r="E463" s="5">
        <f t="shared" si="209"/>
        <v>2.547065016416119</v>
      </c>
      <c r="F463" s="5">
        <f t="shared" si="209"/>
        <v>3.1770466504530055</v>
      </c>
      <c r="G463" s="5">
        <f t="shared" si="209"/>
        <v>5.107778189513688</v>
      </c>
      <c r="H463" s="5">
        <f t="shared" si="209"/>
        <v>3.6380245502366186</v>
      </c>
      <c r="I463" s="5">
        <f t="shared" si="209"/>
        <v>3.5112690518394114</v>
      </c>
      <c r="J463" s="5">
        <f t="shared" si="209"/>
        <v>2.3003546031587354</v>
      </c>
      <c r="K463" s="5">
        <f t="shared" si="209"/>
        <v>2.9838816070607845</v>
      </c>
      <c r="L463" s="5">
        <f t="shared" si="209"/>
        <v>5.0230356204056275</v>
      </c>
      <c r="M463" s="5">
        <f t="shared" si="209"/>
        <v>3.8129737691359153</v>
      </c>
      <c r="N463" s="5">
        <f t="shared" si="209"/>
        <v>3.5569175859386326</v>
      </c>
      <c r="O463" s="5">
        <f t="shared" si="209"/>
        <v>6.1008908045352328</v>
      </c>
      <c r="P463" s="5">
        <f t="shared" si="209"/>
        <v>6.0035968489009708</v>
      </c>
      <c r="Q463" s="5">
        <f t="shared" si="209"/>
        <v>4.723900045386805</v>
      </c>
      <c r="R463" s="5">
        <f t="shared" si="209"/>
        <v>6.2429292298717858</v>
      </c>
      <c r="S463" s="5">
        <f t="shared" si="209"/>
        <v>2.2381535207579546</v>
      </c>
      <c r="T463" s="5">
        <f t="shared" si="209"/>
        <v>3.6645042683389235</v>
      </c>
      <c r="U463" s="5">
        <f t="shared" si="209"/>
        <v>7.1759259788569283</v>
      </c>
      <c r="V463" s="5">
        <f t="shared" si="209"/>
        <v>3.985839782295503</v>
      </c>
      <c r="W463" s="5">
        <f t="shared" si="209"/>
        <v>3.9867624172777503</v>
      </c>
      <c r="X463" s="5">
        <f t="shared" si="209"/>
        <v>4.3194607895570476</v>
      </c>
      <c r="Y463" s="5">
        <f t="shared" si="209"/>
        <v>2.4922889709724263</v>
      </c>
      <c r="Z463" s="5">
        <f t="shared" si="209"/>
        <v>3.2614214831643649</v>
      </c>
      <c r="AA463" s="5">
        <f t="shared" si="209"/>
        <v>3.1591521439120154</v>
      </c>
      <c r="AB463" s="5">
        <f t="shared" si="209"/>
        <v>4.9514783011740064</v>
      </c>
      <c r="AC463" s="5">
        <f t="shared" si="209"/>
        <v>1.9093387041802825</v>
      </c>
    </row>
    <row r="464" spans="1:29" s="714" customFormat="1">
      <c r="A464" s="810" t="s">
        <v>1121</v>
      </c>
      <c r="B464" s="458" t="s">
        <v>1130</v>
      </c>
      <c r="C464" s="811">
        <f>C455/SUM(C431:C432)</f>
        <v>8.8649122807017537</v>
      </c>
      <c r="D464" s="811">
        <f t="shared" ref="D464:AC464" si="210">D455/SUM(D431:D432)</f>
        <v>7.4223789525858956</v>
      </c>
      <c r="E464" s="811">
        <f t="shared" si="210"/>
        <v>11.690912742461185</v>
      </c>
      <c r="F464" s="811">
        <f t="shared" si="210"/>
        <v>6.8139290003136823</v>
      </c>
      <c r="G464" s="811">
        <f t="shared" si="210"/>
        <v>6.3181403161842509</v>
      </c>
      <c r="H464" s="811">
        <f t="shared" si="210"/>
        <v>7.4424850414354795</v>
      </c>
      <c r="I464" s="811">
        <f t="shared" si="210"/>
        <v>6.2254184276998403</v>
      </c>
      <c r="J464" s="811">
        <f t="shared" si="210"/>
        <v>7.6471656643165069</v>
      </c>
      <c r="K464" s="811">
        <f t="shared" si="210"/>
        <v>5.1434150255042406</v>
      </c>
      <c r="L464" s="811">
        <f t="shared" si="210"/>
        <v>10.477357684173224</v>
      </c>
      <c r="M464" s="811">
        <f t="shared" si="210"/>
        <v>12.675629247002487</v>
      </c>
      <c r="N464" s="811">
        <f t="shared" si="210"/>
        <v>5.2552937315052377</v>
      </c>
      <c r="O464" s="811">
        <f t="shared" si="210"/>
        <v>12.877109956272569</v>
      </c>
      <c r="P464" s="811">
        <f t="shared" si="210"/>
        <v>12.671752246239185</v>
      </c>
      <c r="Q464" s="811">
        <f t="shared" si="210"/>
        <v>10.469239881289264</v>
      </c>
      <c r="R464" s="811">
        <f t="shared" si="210"/>
        <v>14.900043845465245</v>
      </c>
      <c r="S464" s="811">
        <f t="shared" si="210"/>
        <v>8.083384479810876</v>
      </c>
      <c r="T464" s="811">
        <f t="shared" si="210"/>
        <v>6.8719345731134407</v>
      </c>
      <c r="U464" s="811">
        <f t="shared" si="210"/>
        <v>16.74051429878304</v>
      </c>
      <c r="V464" s="811">
        <f t="shared" si="210"/>
        <v>11.521995663580766</v>
      </c>
      <c r="W464" s="811">
        <f t="shared" si="210"/>
        <v>10.097799746618781</v>
      </c>
      <c r="X464" s="811">
        <f t="shared" si="210"/>
        <v>12.183703954339899</v>
      </c>
      <c r="Y464" s="811">
        <f t="shared" si="210"/>
        <v>8.2852211646866252</v>
      </c>
      <c r="Z464" s="811">
        <f t="shared" si="210"/>
        <v>13.14191607211287</v>
      </c>
      <c r="AA464" s="811">
        <f t="shared" si="210"/>
        <v>5.6011213274341811</v>
      </c>
      <c r="AB464" s="811">
        <f t="shared" si="210"/>
        <v>10.033010468504163</v>
      </c>
      <c r="AC464" s="811">
        <f t="shared" si="210"/>
        <v>2.219819033010749</v>
      </c>
    </row>
    <row r="465" spans="1:29" s="714" customFormat="1">
      <c r="A465" s="805"/>
      <c r="B465" s="805"/>
      <c r="C465" s="807"/>
      <c r="D465" s="807"/>
      <c r="E465" s="807"/>
      <c r="F465" s="807"/>
      <c r="G465" s="807"/>
      <c r="H465" s="807"/>
      <c r="I465" s="807"/>
      <c r="J465" s="807"/>
      <c r="K465" s="807"/>
      <c r="L465" s="807"/>
      <c r="M465" s="807"/>
      <c r="N465" s="807"/>
      <c r="O465" s="807"/>
      <c r="P465" s="807"/>
      <c r="Q465" s="807"/>
      <c r="R465" s="807"/>
      <c r="S465" s="807"/>
      <c r="T465" s="807"/>
      <c r="U465" s="807"/>
      <c r="V465" s="807"/>
      <c r="W465" s="807"/>
      <c r="X465" s="807"/>
      <c r="Y465" s="807"/>
      <c r="Z465" s="807"/>
      <c r="AA465" s="807"/>
      <c r="AB465" s="807"/>
      <c r="AC465" s="807"/>
    </row>
    <row r="466" spans="1:29" s="714" customFormat="1">
      <c r="A466" s="805"/>
      <c r="B466" s="805"/>
      <c r="C466" s="807"/>
      <c r="D466" s="807"/>
      <c r="E466" s="807"/>
      <c r="F466" s="807"/>
      <c r="G466" s="807"/>
      <c r="H466" s="807"/>
      <c r="I466" s="807"/>
      <c r="J466" s="807"/>
      <c r="K466" s="807"/>
      <c r="L466" s="807"/>
      <c r="M466" s="807"/>
      <c r="N466" s="807"/>
      <c r="O466" s="807"/>
      <c r="P466" s="807"/>
      <c r="Q466" s="807"/>
      <c r="R466" s="807"/>
      <c r="S466" s="807"/>
      <c r="T466" s="807"/>
      <c r="U466" s="807"/>
      <c r="V466" s="807"/>
      <c r="W466" s="807"/>
      <c r="X466" s="807"/>
      <c r="Y466" s="807"/>
      <c r="Z466" s="807"/>
      <c r="AA466" s="807"/>
      <c r="AB466" s="807"/>
      <c r="AC466" s="807"/>
    </row>
    <row r="467" spans="1:29" s="714" customFormat="1">
      <c r="A467" s="805"/>
      <c r="B467" s="805"/>
      <c r="C467" s="807"/>
      <c r="D467" s="807"/>
      <c r="E467" s="807"/>
      <c r="F467" s="807"/>
      <c r="G467" s="807"/>
      <c r="H467" s="807"/>
      <c r="I467" s="807"/>
      <c r="J467" s="807"/>
      <c r="K467" s="807"/>
      <c r="L467" s="807"/>
      <c r="M467" s="807"/>
      <c r="N467" s="807"/>
      <c r="O467" s="807"/>
      <c r="P467" s="807"/>
      <c r="Q467" s="807"/>
      <c r="R467" s="807"/>
      <c r="S467" s="807"/>
      <c r="T467" s="807"/>
      <c r="U467" s="807"/>
      <c r="V467" s="807"/>
      <c r="W467" s="807"/>
      <c r="X467" s="807"/>
      <c r="Y467" s="807"/>
      <c r="Z467" s="807"/>
      <c r="AA467" s="807"/>
      <c r="AB467" s="807"/>
      <c r="AC467" s="807"/>
    </row>
    <row r="468" spans="1:29" s="714" customFormat="1">
      <c r="A468" s="805"/>
      <c r="B468" s="805"/>
      <c r="C468" s="700"/>
      <c r="D468" s="700"/>
      <c r="E468" s="700"/>
      <c r="F468" s="700"/>
      <c r="G468" s="700"/>
      <c r="H468" s="700"/>
      <c r="I468" s="700"/>
      <c r="J468" s="700"/>
      <c r="K468" s="700"/>
      <c r="L468" s="700"/>
      <c r="M468" s="700"/>
      <c r="N468" s="700"/>
      <c r="O468" s="700"/>
      <c r="P468" s="700"/>
      <c r="Q468" s="700"/>
      <c r="R468" s="700"/>
      <c r="S468" s="700"/>
      <c r="T468" s="700"/>
      <c r="U468" s="700"/>
      <c r="V468" s="700"/>
      <c r="W468" s="700"/>
      <c r="X468" s="700"/>
      <c r="Y468" s="700"/>
      <c r="Z468" s="700"/>
      <c r="AA468" s="700"/>
      <c r="AB468" s="700"/>
      <c r="AC468" s="700"/>
    </row>
    <row r="469" spans="1:29" s="714" customFormat="1">
      <c r="A469" s="805"/>
      <c r="B469" s="805"/>
      <c r="C469" s="700"/>
      <c r="D469" s="700"/>
      <c r="E469" s="700"/>
      <c r="F469" s="700"/>
      <c r="G469" s="700"/>
      <c r="H469" s="700"/>
      <c r="I469" s="700"/>
      <c r="J469" s="700"/>
      <c r="K469" s="700"/>
      <c r="L469" s="700"/>
      <c r="M469" s="700"/>
      <c r="N469" s="700"/>
      <c r="O469" s="700"/>
      <c r="P469" s="700"/>
      <c r="Q469" s="700"/>
      <c r="R469" s="700"/>
      <c r="S469" s="700"/>
      <c r="T469" s="700"/>
      <c r="U469" s="700"/>
      <c r="V469" s="700"/>
      <c r="W469" s="700"/>
      <c r="X469" s="700"/>
      <c r="Y469" s="700"/>
      <c r="Z469" s="700"/>
      <c r="AA469" s="700"/>
      <c r="AB469" s="700"/>
      <c r="AC469" s="700"/>
    </row>
    <row r="471" spans="1:29" ht="15.6">
      <c r="A471" s="401" t="s">
        <v>697</v>
      </c>
      <c r="B471" s="459"/>
      <c r="C471" s="459"/>
      <c r="D471" s="459"/>
      <c r="E471" s="459"/>
      <c r="F471" s="459"/>
      <c r="G471" s="459"/>
      <c r="H471" s="459"/>
      <c r="I471" s="459"/>
      <c r="J471" s="459"/>
      <c r="K471" s="459"/>
      <c r="L471" s="459"/>
    </row>
    <row r="472" spans="1:29" ht="15.6">
      <c r="A472" s="132" t="s">
        <v>344</v>
      </c>
      <c r="B472" s="834" t="s">
        <v>694</v>
      </c>
      <c r="C472" s="834"/>
      <c r="D472" s="834"/>
      <c r="E472" s="834"/>
      <c r="F472" s="834"/>
      <c r="G472" s="834"/>
      <c r="H472" s="834"/>
      <c r="I472" s="834"/>
      <c r="J472" s="834"/>
      <c r="K472" s="834"/>
      <c r="L472" s="834"/>
    </row>
    <row r="473" spans="1:29">
      <c r="A473" s="459"/>
      <c r="B473" s="526" t="s">
        <v>681</v>
      </c>
      <c r="C473" s="529" t="s">
        <v>682</v>
      </c>
      <c r="D473" s="532" t="s">
        <v>683</v>
      </c>
      <c r="E473" s="534" t="s">
        <v>684</v>
      </c>
      <c r="F473" s="43" t="s">
        <v>685</v>
      </c>
      <c r="G473" s="537" t="s">
        <v>686</v>
      </c>
      <c r="H473" s="459" t="s">
        <v>373</v>
      </c>
      <c r="I473" s="539" t="s">
        <v>687</v>
      </c>
      <c r="J473" s="540" t="s">
        <v>688</v>
      </c>
      <c r="K473" s="526" t="s">
        <v>689</v>
      </c>
      <c r="L473" s="526" t="s">
        <v>690</v>
      </c>
    </row>
    <row r="474" spans="1:29" ht="15.6">
      <c r="A474" s="528" t="s">
        <v>693</v>
      </c>
    </row>
    <row r="475" spans="1:29">
      <c r="A475" s="525" t="s">
        <v>691</v>
      </c>
      <c r="B475" s="459">
        <v>11537</v>
      </c>
      <c r="C475" s="459">
        <v>863</v>
      </c>
      <c r="D475" s="459">
        <v>913</v>
      </c>
      <c r="E475" s="459">
        <v>1054</v>
      </c>
      <c r="F475" s="459">
        <v>1180</v>
      </c>
      <c r="G475" s="459">
        <v>1840</v>
      </c>
      <c r="H475" s="459">
        <v>2185</v>
      </c>
      <c r="I475" s="459">
        <v>1266</v>
      </c>
      <c r="J475" s="459">
        <v>666</v>
      </c>
      <c r="K475" s="459">
        <v>401</v>
      </c>
      <c r="L475" s="459">
        <v>1169</v>
      </c>
    </row>
    <row r="476" spans="1:29">
      <c r="A476" s="525" t="s">
        <v>682</v>
      </c>
      <c r="B476" s="459">
        <v>1006</v>
      </c>
      <c r="C476" s="459">
        <v>302</v>
      </c>
      <c r="D476" s="459">
        <v>62</v>
      </c>
      <c r="E476" s="459">
        <v>34</v>
      </c>
      <c r="F476" s="459">
        <v>50</v>
      </c>
      <c r="G476" s="459">
        <v>65</v>
      </c>
      <c r="H476" s="459">
        <v>165</v>
      </c>
      <c r="I476" s="459">
        <v>110</v>
      </c>
      <c r="J476" s="459">
        <v>47</v>
      </c>
      <c r="K476" s="459">
        <v>77</v>
      </c>
      <c r="L476" s="459">
        <v>95</v>
      </c>
    </row>
    <row r="477" spans="1:29">
      <c r="A477" s="525" t="s">
        <v>683</v>
      </c>
      <c r="B477" s="459">
        <v>812</v>
      </c>
      <c r="C477" s="459">
        <v>44</v>
      </c>
      <c r="D477" s="459">
        <v>296</v>
      </c>
      <c r="E477" s="459">
        <v>62</v>
      </c>
      <c r="F477" s="459">
        <v>44</v>
      </c>
      <c r="G477" s="459">
        <v>53</v>
      </c>
      <c r="H477" s="459">
        <v>171</v>
      </c>
      <c r="I477" s="459">
        <v>41</v>
      </c>
      <c r="J477" s="459">
        <v>42</v>
      </c>
      <c r="K477" s="459">
        <v>14</v>
      </c>
      <c r="L477" s="459">
        <v>44</v>
      </c>
    </row>
    <row r="478" spans="1:29">
      <c r="A478" s="525" t="s">
        <v>684</v>
      </c>
      <c r="B478" s="459">
        <v>1086</v>
      </c>
      <c r="C478" s="459">
        <v>33</v>
      </c>
      <c r="D478" s="459">
        <v>83</v>
      </c>
      <c r="E478" s="459">
        <v>376</v>
      </c>
      <c r="F478" s="459">
        <v>106</v>
      </c>
      <c r="G478" s="459">
        <v>192</v>
      </c>
      <c r="H478" s="459">
        <v>147</v>
      </c>
      <c r="I478" s="459">
        <v>48</v>
      </c>
      <c r="J478" s="459">
        <v>47</v>
      </c>
      <c r="K478" s="459">
        <v>11</v>
      </c>
      <c r="L478" s="459">
        <v>42</v>
      </c>
    </row>
    <row r="479" spans="1:29">
      <c r="A479" s="525" t="s">
        <v>685</v>
      </c>
      <c r="B479" s="459">
        <v>1010</v>
      </c>
      <c r="C479" s="459">
        <v>25</v>
      </c>
      <c r="D479" s="459">
        <v>47</v>
      </c>
      <c r="E479" s="459">
        <v>66</v>
      </c>
      <c r="F479" s="459">
        <v>360</v>
      </c>
      <c r="G479" s="459">
        <v>113</v>
      </c>
      <c r="H479" s="459">
        <v>136</v>
      </c>
      <c r="I479" s="459">
        <v>90</v>
      </c>
      <c r="J479" s="459">
        <v>56</v>
      </c>
      <c r="K479" s="459">
        <v>37</v>
      </c>
      <c r="L479" s="459">
        <v>80</v>
      </c>
    </row>
    <row r="480" spans="1:29">
      <c r="A480" s="525" t="s">
        <v>686</v>
      </c>
      <c r="B480" s="459">
        <v>1518</v>
      </c>
      <c r="C480" s="459">
        <v>16</v>
      </c>
      <c r="D480" s="459">
        <v>30</v>
      </c>
      <c r="E480" s="459">
        <v>174</v>
      </c>
      <c r="F480" s="459">
        <v>156</v>
      </c>
      <c r="G480" s="459">
        <v>712</v>
      </c>
      <c r="H480" s="459">
        <v>249</v>
      </c>
      <c r="I480" s="459">
        <v>60</v>
      </c>
      <c r="J480" s="459">
        <v>53</v>
      </c>
      <c r="K480" s="459">
        <v>26</v>
      </c>
      <c r="L480" s="459">
        <v>43</v>
      </c>
    </row>
    <row r="481" spans="1:30">
      <c r="A481" s="525" t="s">
        <v>373</v>
      </c>
      <c r="B481" s="459">
        <v>2741</v>
      </c>
      <c r="C481" s="459">
        <v>190</v>
      </c>
      <c r="D481" s="459">
        <v>238</v>
      </c>
      <c r="E481" s="459">
        <v>228</v>
      </c>
      <c r="F481" s="459">
        <v>235</v>
      </c>
      <c r="G481" s="459">
        <v>490</v>
      </c>
      <c r="H481" s="459">
        <v>614</v>
      </c>
      <c r="I481" s="459">
        <v>374</v>
      </c>
      <c r="J481" s="459">
        <v>178</v>
      </c>
      <c r="K481" s="459">
        <v>108</v>
      </c>
      <c r="L481" s="459">
        <v>86</v>
      </c>
    </row>
    <row r="482" spans="1:30">
      <c r="A482" s="525" t="s">
        <v>687</v>
      </c>
      <c r="B482" s="459">
        <v>1308</v>
      </c>
      <c r="C482" s="459">
        <v>107</v>
      </c>
      <c r="D482" s="459">
        <v>48</v>
      </c>
      <c r="E482" s="459">
        <v>49</v>
      </c>
      <c r="F482" s="459">
        <v>120</v>
      </c>
      <c r="G482" s="459">
        <v>91</v>
      </c>
      <c r="H482" s="459">
        <v>300</v>
      </c>
      <c r="I482" s="459">
        <v>421</v>
      </c>
      <c r="J482" s="459">
        <v>73</v>
      </c>
      <c r="K482" s="459">
        <v>48</v>
      </c>
      <c r="L482" s="459">
        <v>51</v>
      </c>
    </row>
    <row r="483" spans="1:30">
      <c r="A483" s="525" t="s">
        <v>688</v>
      </c>
      <c r="B483" s="459">
        <v>697</v>
      </c>
      <c r="C483" s="459">
        <v>58</v>
      </c>
      <c r="D483" s="459">
        <v>73</v>
      </c>
      <c r="E483" s="459">
        <v>45</v>
      </c>
      <c r="F483" s="459">
        <v>64</v>
      </c>
      <c r="G483" s="459">
        <v>48</v>
      </c>
      <c r="H483" s="459">
        <v>122</v>
      </c>
      <c r="I483" s="459">
        <v>62</v>
      </c>
      <c r="J483" s="459">
        <v>156</v>
      </c>
      <c r="K483" s="459">
        <v>37</v>
      </c>
      <c r="L483" s="459">
        <v>31</v>
      </c>
    </row>
    <row r="484" spans="1:30">
      <c r="A484" s="525" t="s">
        <v>689</v>
      </c>
      <c r="B484" s="459">
        <v>231</v>
      </c>
      <c r="C484" s="459">
        <v>55</v>
      </c>
      <c r="D484" s="459">
        <v>12</v>
      </c>
      <c r="E484" s="459">
        <v>3</v>
      </c>
      <c r="F484" s="459">
        <v>12</v>
      </c>
      <c r="G484" s="459">
        <v>26</v>
      </c>
      <c r="H484" s="459">
        <v>51</v>
      </c>
      <c r="I484" s="459">
        <v>25</v>
      </c>
      <c r="J484" s="459">
        <v>5</v>
      </c>
      <c r="K484" s="459">
        <v>27</v>
      </c>
      <c r="L484" s="459">
        <v>15</v>
      </c>
    </row>
    <row r="485" spans="1:30">
      <c r="A485" s="527" t="s">
        <v>690</v>
      </c>
      <c r="B485" s="458">
        <v>1128</v>
      </c>
      <c r="C485" s="458">
        <v>32</v>
      </c>
      <c r="D485" s="458">
        <v>23</v>
      </c>
      <c r="E485" s="458">
        <v>18</v>
      </c>
      <c r="F485" s="458">
        <v>32</v>
      </c>
      <c r="G485" s="458">
        <v>50</v>
      </c>
      <c r="H485" s="458">
        <v>231</v>
      </c>
      <c r="I485" s="458">
        <v>35</v>
      </c>
      <c r="J485" s="458">
        <v>10</v>
      </c>
      <c r="K485" s="458">
        <v>15</v>
      </c>
      <c r="L485" s="458">
        <v>682</v>
      </c>
    </row>
    <row r="486" spans="1:30">
      <c r="A486" s="459" t="s">
        <v>692</v>
      </c>
      <c r="B486" s="448"/>
      <c r="C486" s="448"/>
      <c r="D486" s="448"/>
      <c r="E486" s="448"/>
      <c r="F486" s="448"/>
      <c r="G486" s="448"/>
      <c r="H486" s="448"/>
    </row>
    <row r="487" spans="1:30" s="459" customFormat="1"/>
    <row r="488" spans="1:30" s="459" customFormat="1"/>
    <row r="489" spans="1:30" s="459" customFormat="1"/>
    <row r="490" spans="1:30" s="459" customFormat="1">
      <c r="A490" s="132" t="s">
        <v>698</v>
      </c>
      <c r="B490" s="835" t="s">
        <v>699</v>
      </c>
      <c r="C490" s="835"/>
      <c r="D490" s="835"/>
      <c r="E490" s="835"/>
      <c r="F490" s="835"/>
      <c r="G490"/>
      <c r="H490"/>
      <c r="I490"/>
      <c r="J490"/>
      <c r="K490"/>
      <c r="L490"/>
      <c r="M490"/>
      <c r="N490"/>
      <c r="O490"/>
      <c r="P490"/>
      <c r="Q490"/>
      <c r="R490"/>
      <c r="S490"/>
      <c r="T490"/>
      <c r="U490"/>
      <c r="V490"/>
      <c r="W490"/>
      <c r="X490"/>
      <c r="Y490"/>
      <c r="Z490"/>
      <c r="AA490"/>
      <c r="AB490" s="42"/>
      <c r="AC490"/>
      <c r="AD490"/>
    </row>
    <row r="491" spans="1:30" s="459" customFormat="1">
      <c r="A491" s="529" t="s">
        <v>682</v>
      </c>
      <c r="B491" s="459" t="s">
        <v>396</v>
      </c>
      <c r="C491" t="s">
        <v>395</v>
      </c>
      <c r="D491" s="459" t="s">
        <v>397</v>
      </c>
      <c r="E491" s="459" t="s">
        <v>394</v>
      </c>
      <c r="F491" s="459" t="s">
        <v>391</v>
      </c>
      <c r="G491"/>
      <c r="H491"/>
      <c r="I491"/>
      <c r="J491"/>
      <c r="K491"/>
      <c r="L491"/>
      <c r="M491"/>
      <c r="N491"/>
      <c r="O491"/>
      <c r="P491"/>
      <c r="Q491"/>
      <c r="R491"/>
      <c r="S491"/>
      <c r="T491"/>
      <c r="U491"/>
      <c r="V491"/>
      <c r="W491"/>
      <c r="X491"/>
      <c r="Y491"/>
      <c r="Z491"/>
      <c r="AA491"/>
      <c r="AB491" s="42"/>
      <c r="AC491"/>
      <c r="AD491"/>
    </row>
    <row r="492" spans="1:30" s="459" customFormat="1">
      <c r="A492" s="532" t="s">
        <v>683</v>
      </c>
      <c r="B492" s="459" t="s">
        <v>392</v>
      </c>
      <c r="C492" t="s">
        <v>393</v>
      </c>
      <c r="D492" s="459" t="s">
        <v>390</v>
      </c>
      <c r="E492" s="24"/>
      <c r="F492"/>
      <c r="G492"/>
      <c r="H492"/>
      <c r="I492"/>
      <c r="J492"/>
      <c r="K492"/>
      <c r="L492"/>
      <c r="M492"/>
      <c r="N492"/>
      <c r="O492"/>
      <c r="P492"/>
      <c r="Q492"/>
      <c r="R492"/>
      <c r="S492"/>
      <c r="T492"/>
      <c r="U492"/>
      <c r="V492"/>
      <c r="W492"/>
      <c r="X492"/>
      <c r="Y492"/>
      <c r="Z492"/>
      <c r="AA492"/>
      <c r="AB492" s="42"/>
      <c r="AC492"/>
      <c r="AD492"/>
    </row>
    <row r="493" spans="1:30" s="459" customFormat="1">
      <c r="A493" s="534" t="s">
        <v>684</v>
      </c>
      <c r="B493" t="s">
        <v>384</v>
      </c>
      <c r="C493" s="459" t="s">
        <v>388</v>
      </c>
      <c r="D493" s="459" t="s">
        <v>387</v>
      </c>
      <c r="E493" s="24"/>
      <c r="F493"/>
      <c r="G493"/>
      <c r="H493"/>
      <c r="I493"/>
      <c r="J493"/>
      <c r="K493"/>
      <c r="L493"/>
      <c r="M493"/>
      <c r="N493"/>
      <c r="O493"/>
      <c r="P493"/>
      <c r="Q493"/>
      <c r="R493"/>
      <c r="S493"/>
      <c r="T493"/>
      <c r="U493"/>
      <c r="V493"/>
      <c r="W493"/>
      <c r="X493"/>
      <c r="Y493"/>
      <c r="Z493"/>
      <c r="AA493"/>
      <c r="AB493" s="42"/>
      <c r="AC493"/>
      <c r="AD493"/>
    </row>
    <row r="494" spans="1:30" s="459" customFormat="1">
      <c r="A494" s="43" t="s">
        <v>685</v>
      </c>
      <c r="B494" s="459" t="s">
        <v>372</v>
      </c>
      <c r="C494" t="s">
        <v>375</v>
      </c>
      <c r="D494" s="459" t="s">
        <v>382</v>
      </c>
      <c r="E494" s="459" t="s">
        <v>389</v>
      </c>
      <c r="F494"/>
      <c r="G494"/>
      <c r="H494"/>
      <c r="I494"/>
      <c r="J494"/>
      <c r="K494"/>
      <c r="L494"/>
      <c r="M494"/>
      <c r="N494"/>
      <c r="O494"/>
      <c r="P494"/>
      <c r="Q494"/>
      <c r="R494"/>
      <c r="S494"/>
      <c r="T494"/>
      <c r="U494"/>
      <c r="V494"/>
      <c r="W494"/>
      <c r="X494"/>
      <c r="Y494"/>
      <c r="Z494"/>
      <c r="AA494"/>
      <c r="AB494" s="42"/>
      <c r="AC494"/>
      <c r="AD494"/>
    </row>
    <row r="495" spans="1:30" s="459" customFormat="1">
      <c r="A495" s="537" t="s">
        <v>686</v>
      </c>
      <c r="B495" s="459" t="s">
        <v>386</v>
      </c>
      <c r="C495" t="s">
        <v>385</v>
      </c>
      <c r="D495" s="24"/>
      <c r="E495" s="24"/>
      <c r="F495"/>
      <c r="G495"/>
      <c r="H495"/>
      <c r="I495"/>
      <c r="J495"/>
      <c r="K495"/>
      <c r="L495"/>
      <c r="M495"/>
      <c r="N495"/>
      <c r="O495"/>
      <c r="P495"/>
      <c r="Q495"/>
      <c r="R495"/>
      <c r="S495"/>
      <c r="T495"/>
      <c r="U495"/>
      <c r="V495"/>
      <c r="W495"/>
      <c r="X495"/>
      <c r="Y495"/>
      <c r="Z495"/>
      <c r="AA495"/>
      <c r="AB495" s="42"/>
      <c r="AC495"/>
      <c r="AD495"/>
    </row>
    <row r="496" spans="1:30" s="459" customFormat="1">
      <c r="A496" s="459" t="s">
        <v>373</v>
      </c>
      <c r="B496" t="s">
        <v>373</v>
      </c>
      <c r="C496"/>
      <c r="D496" s="24"/>
      <c r="E496" s="24"/>
      <c r="F496"/>
      <c r="G496"/>
      <c r="H496"/>
      <c r="I496"/>
      <c r="J496"/>
      <c r="K496"/>
      <c r="L496"/>
      <c r="M496"/>
      <c r="N496"/>
      <c r="O496"/>
      <c r="P496"/>
      <c r="Q496"/>
      <c r="R496"/>
      <c r="S496"/>
      <c r="T496"/>
      <c r="U496"/>
      <c r="V496"/>
      <c r="W496"/>
      <c r="X496"/>
      <c r="Y496"/>
      <c r="Z496"/>
      <c r="AA496"/>
      <c r="AB496" s="42"/>
      <c r="AC496"/>
      <c r="AD496"/>
    </row>
    <row r="497" spans="1:30" s="459" customFormat="1">
      <c r="A497" s="539" t="s">
        <v>687</v>
      </c>
      <c r="B497" s="459" t="s">
        <v>374</v>
      </c>
      <c r="C497" s="459" t="s">
        <v>379</v>
      </c>
      <c r="D497" s="459" t="s">
        <v>700</v>
      </c>
      <c r="E497" s="24" t="s">
        <v>378</v>
      </c>
      <c r="F497"/>
      <c r="G497"/>
      <c r="H497"/>
      <c r="I497"/>
      <c r="J497"/>
      <c r="K497"/>
      <c r="L497"/>
      <c r="M497"/>
      <c r="N497"/>
      <c r="O497"/>
      <c r="P497"/>
      <c r="Q497"/>
      <c r="R497"/>
      <c r="S497"/>
      <c r="T497"/>
      <c r="U497"/>
      <c r="V497"/>
      <c r="W497"/>
      <c r="X497"/>
      <c r="Y497"/>
      <c r="Z497"/>
      <c r="AA497"/>
      <c r="AB497" s="42"/>
      <c r="AC497"/>
      <c r="AD497"/>
    </row>
    <row r="498" spans="1:30" s="459" customFormat="1">
      <c r="A498" s="540" t="s">
        <v>688</v>
      </c>
      <c r="B498" s="458" t="s">
        <v>376</v>
      </c>
      <c r="C498" s="458" t="s">
        <v>380</v>
      </c>
      <c r="D498" s="458" t="s">
        <v>701</v>
      </c>
      <c r="E498" s="458" t="s">
        <v>381</v>
      </c>
      <c r="F498" s="458"/>
      <c r="G498"/>
      <c r="H498"/>
      <c r="I498"/>
      <c r="J498"/>
      <c r="K498"/>
      <c r="L498"/>
      <c r="M498"/>
      <c r="N498"/>
      <c r="O498"/>
      <c r="P498"/>
      <c r="Q498"/>
      <c r="R498"/>
      <c r="S498"/>
      <c r="T498"/>
      <c r="U498"/>
      <c r="V498"/>
      <c r="W498"/>
      <c r="X498"/>
      <c r="Y498"/>
      <c r="Z498"/>
      <c r="AA498"/>
      <c r="AB498" s="42"/>
      <c r="AC498"/>
      <c r="AD498"/>
    </row>
    <row r="499" spans="1:30" s="459" customFormat="1">
      <c r="B499"/>
      <c r="C499"/>
      <c r="D499" s="24"/>
      <c r="E499" s="24"/>
      <c r="F499"/>
      <c r="G499"/>
      <c r="H499"/>
      <c r="I499"/>
      <c r="J499"/>
      <c r="K499"/>
      <c r="L499"/>
      <c r="M499"/>
      <c r="N499"/>
      <c r="O499"/>
      <c r="P499"/>
      <c r="Q499"/>
      <c r="R499"/>
      <c r="S499"/>
      <c r="T499"/>
      <c r="U499"/>
      <c r="V499"/>
      <c r="W499"/>
      <c r="X499"/>
      <c r="Y499"/>
      <c r="Z499"/>
      <c r="AA499"/>
      <c r="AB499" s="42"/>
      <c r="AC499"/>
      <c r="AD499"/>
    </row>
    <row r="500" spans="1:30" s="459" customFormat="1">
      <c r="B500"/>
      <c r="C500"/>
      <c r="D500" s="24"/>
      <c r="E500" s="24"/>
      <c r="F500"/>
      <c r="G500"/>
      <c r="H500"/>
      <c r="I500"/>
      <c r="J500"/>
      <c r="K500"/>
      <c r="L500"/>
      <c r="M500"/>
      <c r="N500"/>
      <c r="O500"/>
      <c r="P500"/>
      <c r="Q500"/>
      <c r="R500"/>
      <c r="S500"/>
      <c r="T500"/>
      <c r="U500"/>
      <c r="V500"/>
      <c r="W500"/>
      <c r="X500"/>
      <c r="Y500"/>
      <c r="Z500"/>
      <c r="AA500"/>
      <c r="AB500" s="42"/>
      <c r="AC500"/>
      <c r="AD500"/>
    </row>
    <row r="501" spans="1:30" s="459" customFormat="1">
      <c r="A501"/>
      <c r="B501"/>
      <c r="C501"/>
      <c r="D501" s="24"/>
      <c r="E501" s="24"/>
      <c r="F501"/>
      <c r="G501"/>
      <c r="H501"/>
      <c r="I501"/>
      <c r="J501"/>
      <c r="K501"/>
      <c r="L501"/>
      <c r="M501"/>
      <c r="N501"/>
      <c r="O501"/>
      <c r="P501"/>
      <c r="Q501"/>
      <c r="R501"/>
      <c r="S501"/>
      <c r="T501"/>
      <c r="U501"/>
      <c r="V501"/>
      <c r="W501"/>
      <c r="X501"/>
      <c r="Y501"/>
      <c r="Z501"/>
      <c r="AA501"/>
      <c r="AB501" s="42"/>
      <c r="AC501"/>
      <c r="AD501"/>
    </row>
    <row r="502" spans="1:30" s="459" customFormat="1">
      <c r="A502"/>
      <c r="B502"/>
      <c r="C502"/>
      <c r="D502" s="24"/>
      <c r="E502" s="24"/>
      <c r="F502"/>
      <c r="G502"/>
      <c r="H502"/>
      <c r="I502"/>
      <c r="J502"/>
      <c r="K502"/>
      <c r="L502"/>
      <c r="M502"/>
      <c r="N502"/>
      <c r="O502"/>
      <c r="P502"/>
      <c r="Q502"/>
      <c r="R502"/>
      <c r="S502"/>
      <c r="T502"/>
      <c r="U502"/>
      <c r="V502"/>
      <c r="W502"/>
      <c r="X502"/>
      <c r="Y502"/>
      <c r="Z502"/>
      <c r="AA502"/>
      <c r="AB502" s="42"/>
      <c r="AC502"/>
      <c r="AD502"/>
    </row>
    <row r="503" spans="1:30" s="459" customFormat="1" ht="15.6">
      <c r="A503" s="401" t="s">
        <v>702</v>
      </c>
      <c r="AD503"/>
    </row>
    <row r="504" spans="1:30" s="459" customFormat="1">
      <c r="A504" s="132"/>
      <c r="B504" s="132" t="s">
        <v>64</v>
      </c>
      <c r="C504" s="132" t="str">
        <f t="shared" ref="C504:AC504" si="211">C426</f>
        <v>IE</v>
      </c>
      <c r="D504" s="535" t="str">
        <f t="shared" si="211"/>
        <v>IE-CW</v>
      </c>
      <c r="E504" s="541" t="str">
        <f t="shared" si="211"/>
        <v>IE-D</v>
      </c>
      <c r="F504" s="538" t="str">
        <f t="shared" si="211"/>
        <v>IE-KE</v>
      </c>
      <c r="G504" s="535" t="str">
        <f t="shared" si="211"/>
        <v>IE-KK</v>
      </c>
      <c r="H504" s="132" t="str">
        <f t="shared" si="211"/>
        <v>IE-LS</v>
      </c>
      <c r="I504" s="132" t="str">
        <f t="shared" si="211"/>
        <v>IE-LD</v>
      </c>
      <c r="J504" s="538" t="str">
        <f t="shared" si="211"/>
        <v>IE-LH</v>
      </c>
      <c r="K504" s="538" t="str">
        <f t="shared" si="211"/>
        <v>IE-MH</v>
      </c>
      <c r="L504" s="132" t="str">
        <f t="shared" si="211"/>
        <v>IE-OY</v>
      </c>
      <c r="M504" s="132" t="str">
        <f t="shared" si="211"/>
        <v>IE-WH</v>
      </c>
      <c r="N504" s="535" t="str">
        <f t="shared" si="211"/>
        <v>IE-WX</v>
      </c>
      <c r="O504" s="538" t="str">
        <f t="shared" si="211"/>
        <v>IE-WW</v>
      </c>
      <c r="P504" s="533" t="str">
        <f t="shared" si="211"/>
        <v>IE-CE</v>
      </c>
      <c r="Q504" s="536" t="str">
        <f t="shared" si="211"/>
        <v>IE-CO</v>
      </c>
      <c r="R504" s="536" t="str">
        <f t="shared" si="211"/>
        <v>IE-KY</v>
      </c>
      <c r="S504" s="533" t="str">
        <f t="shared" si="211"/>
        <v>IE-LK</v>
      </c>
      <c r="T504" s="533" t="str">
        <f t="shared" si="211"/>
        <v>IE-TA</v>
      </c>
      <c r="U504" s="535" t="str">
        <f t="shared" si="211"/>
        <v>IE-WD</v>
      </c>
      <c r="V504" s="531" t="str">
        <f t="shared" si="211"/>
        <v>IE-G</v>
      </c>
      <c r="W504" s="530" t="str">
        <f t="shared" si="211"/>
        <v>IE-LM</v>
      </c>
      <c r="X504" s="531" t="str">
        <f t="shared" si="211"/>
        <v>IE-MO</v>
      </c>
      <c r="Y504" s="531" t="str">
        <f t="shared" si="211"/>
        <v>IE-RN</v>
      </c>
      <c r="Z504" s="530" t="str">
        <f t="shared" si="211"/>
        <v>IE-SO</v>
      </c>
      <c r="AA504" s="530" t="str">
        <f t="shared" si="211"/>
        <v>IE-CN</v>
      </c>
      <c r="AB504" s="530" t="str">
        <f t="shared" si="211"/>
        <v>IE-DL</v>
      </c>
      <c r="AC504" s="530" t="str">
        <f t="shared" si="211"/>
        <v>IE-MN</v>
      </c>
      <c r="AD504"/>
    </row>
    <row r="505" spans="1:30" s="459" customFormat="1">
      <c r="A505" s="459" t="s">
        <v>398</v>
      </c>
      <c r="B505" s="459" t="s">
        <v>704</v>
      </c>
      <c r="C505" s="542">
        <f t="shared" ref="C505:AC505" si="212">B184</f>
        <v>4857000.0000000037</v>
      </c>
      <c r="D505" s="542">
        <f t="shared" si="212"/>
        <v>58069.41691963128</v>
      </c>
      <c r="E505" s="542">
        <f t="shared" si="212"/>
        <v>1374277.23444491</v>
      </c>
      <c r="F505" s="542">
        <f t="shared" si="212"/>
        <v>226949.29990665423</v>
      </c>
      <c r="G505" s="542">
        <f t="shared" si="212"/>
        <v>101214.50818114332</v>
      </c>
      <c r="H505" s="542">
        <f t="shared" si="212"/>
        <v>86389.120439155668</v>
      </c>
      <c r="I505" s="542">
        <f t="shared" si="212"/>
        <v>41689.581918009018</v>
      </c>
      <c r="J505" s="542">
        <f t="shared" si="212"/>
        <v>131458.91116190821</v>
      </c>
      <c r="K505" s="542">
        <f t="shared" si="212"/>
        <v>198940.68983476012</v>
      </c>
      <c r="L505" s="542">
        <f t="shared" si="212"/>
        <v>79518.545149851998</v>
      </c>
      <c r="M505" s="542">
        <f t="shared" si="212"/>
        <v>90543.492938166033</v>
      </c>
      <c r="N505" s="542">
        <f t="shared" si="212"/>
        <v>152713.2234954162</v>
      </c>
      <c r="O505" s="542">
        <f t="shared" si="212"/>
        <v>145270.44025817615</v>
      </c>
      <c r="P505" s="542">
        <f t="shared" si="212"/>
        <v>121190.78743307506</v>
      </c>
      <c r="Q505" s="542">
        <f t="shared" si="212"/>
        <v>553713.69746937393</v>
      </c>
      <c r="R505" s="542">
        <f t="shared" si="212"/>
        <v>150657.96678402266</v>
      </c>
      <c r="S505" s="542">
        <f t="shared" si="212"/>
        <v>198792.79294982113</v>
      </c>
      <c r="T505" s="542">
        <f t="shared" si="212"/>
        <v>162740.63229427967</v>
      </c>
      <c r="U505" s="542">
        <f t="shared" si="212"/>
        <v>118497.02417015182</v>
      </c>
      <c r="V505" s="542">
        <f t="shared" si="212"/>
        <v>263213.61609369441</v>
      </c>
      <c r="W505" s="542">
        <f t="shared" si="212"/>
        <v>32684.191592999803</v>
      </c>
      <c r="X505" s="542">
        <f t="shared" si="212"/>
        <v>133114.33629470808</v>
      </c>
      <c r="Y505" s="542">
        <f t="shared" si="212"/>
        <v>65833.493389669806</v>
      </c>
      <c r="Z505" s="542">
        <f t="shared" si="212"/>
        <v>66844.292099839033</v>
      </c>
      <c r="AA505" s="542">
        <f t="shared" si="212"/>
        <v>77697.883497327202</v>
      </c>
      <c r="AB505" s="542">
        <f t="shared" si="212"/>
        <v>162372.42004970741</v>
      </c>
      <c r="AC505" s="542">
        <f t="shared" si="212"/>
        <v>62612.401233550299</v>
      </c>
      <c r="AD505"/>
    </row>
    <row r="506" spans="1:30" s="459" customFormat="1">
      <c r="A506" t="s">
        <v>705</v>
      </c>
      <c r="B506" t="s">
        <v>703</v>
      </c>
      <c r="C506" s="135">
        <f>SUM(D506:AC506)</f>
        <v>9966.9999999999982</v>
      </c>
      <c r="D506" s="135">
        <f>F475*D505/(D505+G505+N505+U505)</f>
        <v>159.1703588572295</v>
      </c>
      <c r="E506" s="135">
        <f>H475</f>
        <v>2185</v>
      </c>
      <c r="F506" s="135">
        <f>I475*F505/(F505+J505+K505+O505)</f>
        <v>408.92386083033193</v>
      </c>
      <c r="G506" s="135">
        <f>F475*G505/(D505+G505+N505+U505)</f>
        <v>277.43260468841072</v>
      </c>
      <c r="H506" s="135">
        <f>J475*H505/(H505+I505+L505+M505)</f>
        <v>192.97984611752955</v>
      </c>
      <c r="I506" s="135">
        <f>J475*I505/(H505+I505+L505+M505)</f>
        <v>93.128035826083391</v>
      </c>
      <c r="J506" s="135">
        <f>I475*J505/(F505+J505+K505+O505)</f>
        <v>236.86649623942267</v>
      </c>
      <c r="K506" s="135">
        <f>I475*K505/(F505+J505+K505+O505)</f>
        <v>358.45713116074887</v>
      </c>
      <c r="L506" s="135">
        <f>J475*L505/(H505+I505+L505+M505)</f>
        <v>177.63205052326197</v>
      </c>
      <c r="M506" s="135">
        <f>J475*M505/(H505+I505+L505+M505)</f>
        <v>202.2600675331251</v>
      </c>
      <c r="N506" s="135">
        <f>F475*N505/(D505+G505+N505+U505)</f>
        <v>418.5924342869057</v>
      </c>
      <c r="O506" s="135">
        <f>I475*O505/(F505+J505+K505+O505)</f>
        <v>261.75251176949638</v>
      </c>
      <c r="P506" s="135">
        <f>E475*P505/(P505+S505+T505)</f>
        <v>264.61297486207627</v>
      </c>
      <c r="Q506" s="135">
        <f>G475*Q505/(Q505+R505)</f>
        <v>1446.4426311407162</v>
      </c>
      <c r="R506" s="135">
        <f>G475*R505/(Q505+R505)</f>
        <v>393.55736885928394</v>
      </c>
      <c r="S506" s="135">
        <f>E475*S505/(P505+S505+T505)</f>
        <v>434.05240148837129</v>
      </c>
      <c r="T506" s="135">
        <f>E475*T505/(P505+S505+T505)</f>
        <v>355.33462364955238</v>
      </c>
      <c r="U506" s="135">
        <f>F475*U505/(D505+G505+N505+U505)</f>
        <v>324.80460216745405</v>
      </c>
      <c r="V506" s="135">
        <f>D475*V505/(V505+X505+Y505)</f>
        <v>519.97853496620019</v>
      </c>
      <c r="W506" s="135">
        <f>C475*W505/(W505+Z505+AA505+AB505+AC505)</f>
        <v>70.128475171999312</v>
      </c>
      <c r="X506" s="135">
        <f>D475*X505/(V505+X505+Y505)</f>
        <v>262.96738974507235</v>
      </c>
      <c r="Y506" s="135">
        <f>D475*Y505/(V505+X505+Y505)</f>
        <v>130.05407528872743</v>
      </c>
      <c r="Z506" s="135">
        <f>C475*Z505/(W505+Z505+AA505+AB505+AC505)</f>
        <v>143.42371802512091</v>
      </c>
      <c r="AA506" s="135">
        <f>C475*AA505/(W505+Z505+AA505+AB505+AC505)</f>
        <v>166.71160668774871</v>
      </c>
      <c r="AB506" s="135">
        <f>C475*AB505/(W505+Z505+AA505+AB505+AC505)</f>
        <v>348.39259204783781</v>
      </c>
      <c r="AC506" s="135">
        <f>C475*AC505/(W505+Z505+AA505+AB505+AC505)</f>
        <v>134.34360806729339</v>
      </c>
      <c r="AD506"/>
    </row>
    <row r="507" spans="1:30" s="459" customFormat="1">
      <c r="A507" t="s">
        <v>706</v>
      </c>
      <c r="B507" s="459" t="s">
        <v>703</v>
      </c>
      <c r="C507" s="135">
        <f>SUM(D507:AC507)</f>
        <v>1569.9999999999995</v>
      </c>
      <c r="D507" s="135">
        <f>(K475+L475)*D505/C505</f>
        <v>18.77063713482006</v>
      </c>
      <c r="E507" s="135">
        <f>(K475+L475)*E505/C505</f>
        <v>444.22797160356333</v>
      </c>
      <c r="F507" s="135">
        <f>(K475+L475)*F505/C505</f>
        <v>73.360181357514278</v>
      </c>
      <c r="G507" s="135">
        <f>(K475+L475)*G505/C505</f>
        <v>32.717063587480929</v>
      </c>
      <c r="H507" s="135">
        <f>(K475+L475)*H505/C505</f>
        <v>27.924834072364487</v>
      </c>
      <c r="I507" s="135">
        <f>(K475+L475)*I505/C505</f>
        <v>13.475940624104203</v>
      </c>
      <c r="J507" s="135">
        <f>(K475+L475)*J505/C505</f>
        <v>42.493409619970294</v>
      </c>
      <c r="K507" s="135">
        <f>(K475+L475)*K505/C505</f>
        <v>64.306543759640348</v>
      </c>
      <c r="L507" s="135">
        <f>(K475+L475)*L505/C505</f>
        <v>25.703956328035318</v>
      </c>
      <c r="M507" s="135">
        <f>(K475+L475)*M505/C505</f>
        <v>29.267713385406747</v>
      </c>
      <c r="N507" s="135">
        <f>(K475+L475)*N505/C505</f>
        <v>49.363755587359123</v>
      </c>
      <c r="O507" s="135">
        <f>(K475+L475)*O505/C505</f>
        <v>46.957914598586861</v>
      </c>
      <c r="P507" s="135">
        <f>(K475+L475)*P505/C505</f>
        <v>39.174292005338216</v>
      </c>
      <c r="Q507" s="135">
        <f>(K475+L475)*Q505/C505</f>
        <v>178.98507412536884</v>
      </c>
      <c r="R507" s="135">
        <f>(K475+L475)*R505/C505</f>
        <v>48.699404540027878</v>
      </c>
      <c r="S507" s="135">
        <f>(K475+L475)*S505/C505</f>
        <v>64.258736860452728</v>
      </c>
      <c r="T507" s="135">
        <f>(K475+L475)*T505/C505</f>
        <v>52.605063352278954</v>
      </c>
      <c r="U507" s="135">
        <f>(K475+L475)*U505/C505</f>
        <v>38.303547034617715</v>
      </c>
      <c r="V507" s="135">
        <f>(K475+L475)*V505/C505</f>
        <v>85.082433038315813</v>
      </c>
      <c r="W507" s="135">
        <f>(K475+L475)*W505/C505</f>
        <v>10.564995017708391</v>
      </c>
      <c r="X507" s="135">
        <f>(K475+L475)*X505/C505</f>
        <v>43.028517188118492</v>
      </c>
      <c r="Y507" s="135">
        <f>(K475+L475)*Y505/C505</f>
        <v>21.280334490792981</v>
      </c>
      <c r="Z507" s="135">
        <f>(K475+L475)*Z505/C505</f>
        <v>21.607069919033808</v>
      </c>
      <c r="AA507" s="135">
        <f>(K475+L475)*AA505/C505</f>
        <v>25.115436913898211</v>
      </c>
      <c r="AB507" s="135">
        <f>(K475+L475)*AB505/C505</f>
        <v>52.486040658439457</v>
      </c>
      <c r="AC507" s="135">
        <f>(K475+L475)*AC505/C505</f>
        <v>20.239133196762175</v>
      </c>
      <c r="AD507"/>
    </row>
    <row r="508" spans="1:30" s="1" customFormat="1">
      <c r="A508" s="1" t="s">
        <v>707</v>
      </c>
      <c r="B508" s="1" t="s">
        <v>703</v>
      </c>
      <c r="C508" s="135">
        <f>SUM(D508:AC508)</f>
        <v>11536.999999999998</v>
      </c>
      <c r="D508" s="2">
        <f>D506+D507</f>
        <v>177.94099599204955</v>
      </c>
      <c r="E508" s="2">
        <f>E506+E507</f>
        <v>2629.2279716035632</v>
      </c>
      <c r="F508" s="2">
        <f t="shared" ref="F508:AC508" si="213">F506+F507</f>
        <v>482.28404218784624</v>
      </c>
      <c r="G508" s="2">
        <f t="shared" si="213"/>
        <v>310.14966827589166</v>
      </c>
      <c r="H508" s="2">
        <f t="shared" si="213"/>
        <v>220.90468018989404</v>
      </c>
      <c r="I508" s="2">
        <f t="shared" si="213"/>
        <v>106.60397645018759</v>
      </c>
      <c r="J508" s="2">
        <f t="shared" si="213"/>
        <v>279.35990585939294</v>
      </c>
      <c r="K508" s="2">
        <f t="shared" si="213"/>
        <v>422.76367492038924</v>
      </c>
      <c r="L508" s="2">
        <f t="shared" si="213"/>
        <v>203.33600685129727</v>
      </c>
      <c r="M508" s="2">
        <f t="shared" si="213"/>
        <v>231.52778091853185</v>
      </c>
      <c r="N508" s="2">
        <f t="shared" si="213"/>
        <v>467.95618987426485</v>
      </c>
      <c r="O508" s="2">
        <f t="shared" si="213"/>
        <v>308.71042636808323</v>
      </c>
      <c r="P508" s="2">
        <f t="shared" si="213"/>
        <v>303.78726686741447</v>
      </c>
      <c r="Q508" s="2">
        <f t="shared" si="213"/>
        <v>1625.427705266085</v>
      </c>
      <c r="R508" s="2">
        <f t="shared" si="213"/>
        <v>442.25677339931184</v>
      </c>
      <c r="S508" s="2">
        <f t="shared" si="213"/>
        <v>498.31113834882399</v>
      </c>
      <c r="T508" s="2">
        <f t="shared" si="213"/>
        <v>407.93968700183132</v>
      </c>
      <c r="U508" s="2">
        <f t="shared" si="213"/>
        <v>363.10814920207179</v>
      </c>
      <c r="V508" s="2">
        <f t="shared" si="213"/>
        <v>605.06096800451598</v>
      </c>
      <c r="W508" s="2">
        <f t="shared" si="213"/>
        <v>80.69347018970771</v>
      </c>
      <c r="X508" s="2">
        <f t="shared" si="213"/>
        <v>305.99590693319084</v>
      </c>
      <c r="Y508" s="2">
        <f t="shared" si="213"/>
        <v>151.3344097795204</v>
      </c>
      <c r="Z508" s="2">
        <f t="shared" si="213"/>
        <v>165.03078794415472</v>
      </c>
      <c r="AA508" s="2">
        <f t="shared" si="213"/>
        <v>191.82704360164692</v>
      </c>
      <c r="AB508" s="2">
        <f t="shared" si="213"/>
        <v>400.87863270627724</v>
      </c>
      <c r="AC508" s="2">
        <f t="shared" si="213"/>
        <v>154.58274126405556</v>
      </c>
    </row>
    <row r="509" spans="1:30" s="1" customFormat="1">
      <c r="A509" s="21" t="s">
        <v>709</v>
      </c>
      <c r="B509" s="21" t="s">
        <v>610</v>
      </c>
      <c r="C509" s="34">
        <f>SUM(D509:AC509)</f>
        <v>1.0000000000000002</v>
      </c>
      <c r="D509" s="34">
        <f t="shared" ref="D509:AC509" si="214">D508/$C$508</f>
        <v>1.5423506630150782E-2</v>
      </c>
      <c r="E509" s="34">
        <f t="shared" si="214"/>
        <v>0.22789529094249489</v>
      </c>
      <c r="F509" s="34">
        <f t="shared" si="214"/>
        <v>4.1803245400697436E-2</v>
      </c>
      <c r="G509" s="34">
        <f t="shared" si="214"/>
        <v>2.6883043102703622E-2</v>
      </c>
      <c r="H509" s="34">
        <f t="shared" si="214"/>
        <v>1.914749763282431E-2</v>
      </c>
      <c r="I509" s="34">
        <f t="shared" si="214"/>
        <v>9.2401817153668717E-3</v>
      </c>
      <c r="J509" s="34">
        <f t="shared" si="214"/>
        <v>2.421425898061827E-2</v>
      </c>
      <c r="K509" s="34">
        <f t="shared" si="214"/>
        <v>3.664416008671139E-2</v>
      </c>
      <c r="L509" s="34">
        <f t="shared" si="214"/>
        <v>1.7624686387388167E-2</v>
      </c>
      <c r="M509" s="34">
        <f t="shared" si="214"/>
        <v>2.0068282995452186E-2</v>
      </c>
      <c r="N509" s="34">
        <f t="shared" si="214"/>
        <v>4.0561340892282652E-2</v>
      </c>
      <c r="O509" s="34">
        <f t="shared" si="214"/>
        <v>2.6758293002347514E-2</v>
      </c>
      <c r="P509" s="34">
        <f t="shared" si="214"/>
        <v>2.6331565126758646E-2</v>
      </c>
      <c r="Q509" s="34">
        <f t="shared" si="214"/>
        <v>0.14088824696767663</v>
      </c>
      <c r="R509" s="34">
        <f t="shared" si="214"/>
        <v>3.833377597289693E-2</v>
      </c>
      <c r="S509" s="34">
        <f t="shared" si="214"/>
        <v>4.3192436365504384E-2</v>
      </c>
      <c r="T509" s="34">
        <f t="shared" si="214"/>
        <v>3.5359251712042246E-2</v>
      </c>
      <c r="U509" s="34">
        <f t="shared" si="214"/>
        <v>3.1473359556390038E-2</v>
      </c>
      <c r="V509" s="34">
        <f t="shared" si="214"/>
        <v>5.2445260293361884E-2</v>
      </c>
      <c r="W509" s="34">
        <f t="shared" si="214"/>
        <v>6.9943200303118425E-3</v>
      </c>
      <c r="X509" s="34">
        <f t="shared" si="214"/>
        <v>2.6523004848157311E-2</v>
      </c>
      <c r="Y509" s="34">
        <f t="shared" si="214"/>
        <v>1.3117310373539085E-2</v>
      </c>
      <c r="Z509" s="34">
        <f t="shared" si="214"/>
        <v>1.4304480189317391E-2</v>
      </c>
      <c r="AA509" s="34">
        <f t="shared" si="214"/>
        <v>1.6627116546905345E-2</v>
      </c>
      <c r="AB509" s="34">
        <f t="shared" si="214"/>
        <v>3.474721614858952E-2</v>
      </c>
      <c r="AC509" s="34">
        <f t="shared" si="214"/>
        <v>1.3398868099510755E-2</v>
      </c>
    </row>
    <row r="510" spans="1:30" s="459" customFormat="1">
      <c r="A510" s="458" t="s">
        <v>710</v>
      </c>
      <c r="B510" s="458" t="s">
        <v>610</v>
      </c>
      <c r="C510" s="397">
        <f>SUM(D510:AC510)</f>
        <v>0.99999153639772187</v>
      </c>
      <c r="D510" s="397">
        <f t="shared" ref="D510:AC510" si="215">D420/$C$420</f>
        <v>1.6388355211745222E-2</v>
      </c>
      <c r="E510" s="397">
        <f t="shared" si="215"/>
        <v>0.21024434419777746</v>
      </c>
      <c r="F510" s="397">
        <f t="shared" si="215"/>
        <v>4.5395941420587428E-2</v>
      </c>
      <c r="G510" s="397">
        <f t="shared" si="215"/>
        <v>2.3193091443580217E-2</v>
      </c>
      <c r="H510" s="397">
        <f t="shared" si="215"/>
        <v>1.7023125382625352E-2</v>
      </c>
      <c r="I510" s="397">
        <f t="shared" si="215"/>
        <v>1.1112709791541477E-2</v>
      </c>
      <c r="J510" s="397">
        <f t="shared" si="215"/>
        <v>2.297303778434177E-2</v>
      </c>
      <c r="K510" s="397">
        <f t="shared" si="215"/>
        <v>4.1708632027963745E-2</v>
      </c>
      <c r="L510" s="397">
        <f t="shared" si="215"/>
        <v>1.8411156156283238E-2</v>
      </c>
      <c r="M510" s="397">
        <f t="shared" si="215"/>
        <v>2.2877116958519884E-2</v>
      </c>
      <c r="N510" s="397">
        <f t="shared" si="215"/>
        <v>3.9462956223427818E-2</v>
      </c>
      <c r="O510" s="397">
        <f t="shared" si="215"/>
        <v>2.662085036633292E-2</v>
      </c>
      <c r="P510" s="397">
        <f t="shared" si="215"/>
        <v>2.6618029165573452E-2</v>
      </c>
      <c r="Q510" s="397">
        <f t="shared" si="215"/>
        <v>0.11714471913535839</v>
      </c>
      <c r="R510" s="397">
        <f t="shared" si="215"/>
        <v>3.3625891852090084E-2</v>
      </c>
      <c r="S510" s="397">
        <f t="shared" si="215"/>
        <v>3.8503747965208952E-2</v>
      </c>
      <c r="T510" s="397">
        <f t="shared" si="215"/>
        <v>3.9389605003681667E-2</v>
      </c>
      <c r="U510" s="397">
        <f t="shared" si="215"/>
        <v>2.3026640598771648E-2</v>
      </c>
      <c r="V510" s="397">
        <f t="shared" si="215"/>
        <v>5.7431183860474695E-2</v>
      </c>
      <c r="W510" s="397">
        <f t="shared" si="215"/>
        <v>9.6033673852264998E-3</v>
      </c>
      <c r="X510" s="397">
        <f t="shared" si="215"/>
        <v>3.7694063347241853E-2</v>
      </c>
      <c r="Y510" s="397">
        <f t="shared" si="215"/>
        <v>1.8010545648438889E-2</v>
      </c>
      <c r="Z510" s="397">
        <f t="shared" si="215"/>
        <v>1.7056979791738959E-2</v>
      </c>
      <c r="AA510" s="397">
        <f t="shared" si="215"/>
        <v>2.2707844912951851E-2</v>
      </c>
      <c r="AB510" s="397">
        <f t="shared" si="215"/>
        <v>4.1288273114803126E-2</v>
      </c>
      <c r="AC510" s="397">
        <f t="shared" si="215"/>
        <v>2.2479327651435003E-2</v>
      </c>
    </row>
    <row r="511" spans="1:30" s="459" customFormat="1">
      <c r="A511" s="21" t="s">
        <v>708</v>
      </c>
    </row>
    <row r="512" spans="1:30" s="459" customFormat="1">
      <c r="D512" s="388"/>
      <c r="E512" s="388"/>
      <c r="F512" s="388"/>
      <c r="G512" s="388"/>
      <c r="H512" s="388"/>
      <c r="I512" s="388"/>
      <c r="J512" s="388"/>
      <c r="K512" s="388"/>
      <c r="L512" s="388"/>
      <c r="M512" s="388"/>
      <c r="N512" s="388"/>
      <c r="O512" s="388"/>
      <c r="P512" s="388"/>
      <c r="Q512" s="388"/>
      <c r="R512" s="388"/>
      <c r="S512" s="388"/>
      <c r="T512" s="388"/>
      <c r="U512" s="388"/>
      <c r="V512" s="388"/>
      <c r="W512" s="388"/>
      <c r="X512" s="388"/>
      <c r="Y512" s="388"/>
      <c r="Z512" s="388"/>
      <c r="AA512" s="388"/>
      <c r="AB512" s="388"/>
      <c r="AC512" s="388"/>
    </row>
    <row r="513" spans="1:12" s="459" customFormat="1">
      <c r="D513" s="388"/>
    </row>
    <row r="514" spans="1:12" s="459" customFormat="1"/>
    <row r="515" spans="1:12" s="459" customFormat="1" ht="15.6">
      <c r="A515" s="401" t="s">
        <v>695</v>
      </c>
    </row>
    <row r="516" spans="1:12" s="459" customFormat="1" ht="15.6">
      <c r="A516" s="132" t="s">
        <v>344</v>
      </c>
      <c r="B516" s="834" t="s">
        <v>694</v>
      </c>
      <c r="C516" s="834"/>
      <c r="D516" s="834"/>
      <c r="E516" s="834"/>
      <c r="F516" s="834"/>
      <c r="G516" s="834"/>
      <c r="H516" s="834"/>
      <c r="I516" s="834"/>
      <c r="J516" s="834"/>
      <c r="K516" s="834"/>
      <c r="L516" s="834"/>
    </row>
    <row r="517" spans="1:12" s="459" customFormat="1">
      <c r="B517" s="526" t="s">
        <v>681</v>
      </c>
      <c r="C517" s="526" t="s">
        <v>682</v>
      </c>
      <c r="D517" s="526" t="s">
        <v>683</v>
      </c>
      <c r="E517" s="526" t="s">
        <v>684</v>
      </c>
      <c r="F517" s="526" t="s">
        <v>685</v>
      </c>
      <c r="G517" s="526" t="s">
        <v>686</v>
      </c>
      <c r="H517" s="526" t="s">
        <v>373</v>
      </c>
      <c r="I517" s="526" t="s">
        <v>687</v>
      </c>
      <c r="J517" s="526" t="s">
        <v>688</v>
      </c>
      <c r="K517" s="526" t="s">
        <v>689</v>
      </c>
      <c r="L517" s="526" t="s">
        <v>690</v>
      </c>
    </row>
    <row r="518" spans="1:12" s="459" customFormat="1" ht="15.6">
      <c r="A518" s="528" t="s">
        <v>693</v>
      </c>
    </row>
    <row r="519" spans="1:12" s="459" customFormat="1">
      <c r="A519" s="525" t="s">
        <v>691</v>
      </c>
      <c r="B519" s="459">
        <v>150036</v>
      </c>
      <c r="C519" s="459">
        <v>12832</v>
      </c>
      <c r="D519" s="459">
        <v>11088</v>
      </c>
      <c r="E519" s="459">
        <v>15360</v>
      </c>
      <c r="F519" s="459">
        <v>16432</v>
      </c>
      <c r="G519" s="459">
        <v>22808</v>
      </c>
      <c r="H519" s="459">
        <v>33096</v>
      </c>
      <c r="I519" s="459">
        <v>24798</v>
      </c>
      <c r="J519" s="459">
        <v>8768</v>
      </c>
      <c r="K519" s="459">
        <v>2833</v>
      </c>
      <c r="L519" s="459">
        <v>2021</v>
      </c>
    </row>
    <row r="520" spans="1:12" s="459" customFormat="1">
      <c r="A520" s="525" t="s">
        <v>682</v>
      </c>
      <c r="B520" s="459">
        <v>12777</v>
      </c>
      <c r="C520" s="459">
        <v>7932</v>
      </c>
      <c r="D520" s="459">
        <v>509</v>
      </c>
      <c r="E520" s="459">
        <v>128</v>
      </c>
      <c r="F520" s="459">
        <v>221</v>
      </c>
      <c r="G520" s="459">
        <v>201</v>
      </c>
      <c r="H520" s="459">
        <v>1260</v>
      </c>
      <c r="I520" s="459">
        <v>1037</v>
      </c>
      <c r="J520" s="459">
        <v>472</v>
      </c>
      <c r="K520" s="459">
        <v>874</v>
      </c>
      <c r="L520" s="459">
        <v>144</v>
      </c>
    </row>
    <row r="521" spans="1:12" s="459" customFormat="1">
      <c r="A521" s="525" t="s">
        <v>683</v>
      </c>
      <c r="B521" s="459">
        <v>10377</v>
      </c>
      <c r="C521" s="459">
        <v>423</v>
      </c>
      <c r="D521" s="459">
        <v>7419</v>
      </c>
      <c r="E521" s="459">
        <v>507</v>
      </c>
      <c r="F521" s="459">
        <v>204</v>
      </c>
      <c r="G521" s="459">
        <v>266</v>
      </c>
      <c r="H521" s="459">
        <v>808</v>
      </c>
      <c r="I521" s="459">
        <v>209</v>
      </c>
      <c r="J521" s="459">
        <v>423</v>
      </c>
      <c r="K521" s="459">
        <v>76</v>
      </c>
      <c r="L521" s="459">
        <v>42</v>
      </c>
    </row>
    <row r="522" spans="1:12" s="459" customFormat="1">
      <c r="A522" s="525" t="s">
        <v>684</v>
      </c>
      <c r="B522" s="459">
        <v>16123</v>
      </c>
      <c r="C522" s="459">
        <v>157</v>
      </c>
      <c r="D522" s="459">
        <v>666</v>
      </c>
      <c r="E522" s="459">
        <v>10260</v>
      </c>
      <c r="F522" s="459">
        <v>1056</v>
      </c>
      <c r="G522" s="459">
        <v>2312</v>
      </c>
      <c r="H522" s="459">
        <v>802</v>
      </c>
      <c r="I522" s="459">
        <v>311</v>
      </c>
      <c r="J522" s="459">
        <v>460</v>
      </c>
      <c r="K522" s="459">
        <v>44</v>
      </c>
      <c r="L522" s="459">
        <v>53</v>
      </c>
    </row>
    <row r="523" spans="1:12" s="459" customFormat="1">
      <c r="A523" s="525" t="s">
        <v>685</v>
      </c>
      <c r="B523" s="459">
        <v>14354</v>
      </c>
      <c r="C523" s="459">
        <v>116</v>
      </c>
      <c r="D523" s="459">
        <v>214</v>
      </c>
      <c r="E523" s="459">
        <v>612</v>
      </c>
      <c r="F523" s="459">
        <v>9917</v>
      </c>
      <c r="G523" s="459">
        <v>875</v>
      </c>
      <c r="H523" s="459">
        <v>1006</v>
      </c>
      <c r="I523" s="459">
        <v>874</v>
      </c>
      <c r="J523" s="459">
        <v>534</v>
      </c>
      <c r="K523" s="459">
        <v>124</v>
      </c>
      <c r="L523" s="459">
        <v>83</v>
      </c>
    </row>
    <row r="524" spans="1:12" s="459" customFormat="1">
      <c r="A524" s="525" t="s">
        <v>686</v>
      </c>
      <c r="B524" s="459">
        <v>21387</v>
      </c>
      <c r="C524" s="459">
        <v>53</v>
      </c>
      <c r="D524" s="459">
        <v>135</v>
      </c>
      <c r="E524" s="459">
        <v>1943</v>
      </c>
      <c r="F524" s="459">
        <v>1173</v>
      </c>
      <c r="G524" s="459">
        <v>16468</v>
      </c>
      <c r="H524" s="459">
        <v>1001</v>
      </c>
      <c r="I524" s="459">
        <v>240</v>
      </c>
      <c r="J524" s="459">
        <v>266</v>
      </c>
      <c r="K524" s="459">
        <v>70</v>
      </c>
      <c r="L524" s="459">
        <v>37</v>
      </c>
    </row>
    <row r="525" spans="1:12" s="459" customFormat="1">
      <c r="A525" s="525" t="s">
        <v>373</v>
      </c>
      <c r="B525" s="459">
        <v>37815</v>
      </c>
      <c r="C525" s="459">
        <v>1334</v>
      </c>
      <c r="D525" s="459">
        <v>1109</v>
      </c>
      <c r="E525" s="459">
        <v>1141</v>
      </c>
      <c r="F525" s="459">
        <v>1754</v>
      </c>
      <c r="G525" s="459">
        <v>1952</v>
      </c>
      <c r="H525" s="459">
        <v>20253</v>
      </c>
      <c r="I525" s="459">
        <v>7895</v>
      </c>
      <c r="J525" s="459">
        <v>1556</v>
      </c>
      <c r="K525" s="459">
        <v>638</v>
      </c>
      <c r="L525" s="459">
        <v>182</v>
      </c>
    </row>
    <row r="526" spans="1:12" s="459" customFormat="1">
      <c r="A526" s="525" t="s">
        <v>687</v>
      </c>
      <c r="B526" s="459">
        <v>24113</v>
      </c>
      <c r="C526" s="459">
        <v>1251</v>
      </c>
      <c r="D526" s="459">
        <v>265</v>
      </c>
      <c r="E526" s="459">
        <v>288</v>
      </c>
      <c r="F526" s="459">
        <v>1378</v>
      </c>
      <c r="G526" s="459">
        <v>354</v>
      </c>
      <c r="H526" s="459">
        <v>6088</v>
      </c>
      <c r="I526" s="459">
        <v>13114</v>
      </c>
      <c r="J526" s="459">
        <v>906</v>
      </c>
      <c r="K526" s="459">
        <v>397</v>
      </c>
      <c r="L526" s="459">
        <v>71</v>
      </c>
    </row>
    <row r="527" spans="1:12" s="459" customFormat="1">
      <c r="A527" s="525" t="s">
        <v>688</v>
      </c>
      <c r="B527" s="459">
        <v>9093</v>
      </c>
      <c r="C527" s="459">
        <v>763</v>
      </c>
      <c r="D527" s="459">
        <v>679</v>
      </c>
      <c r="E527" s="459">
        <v>435</v>
      </c>
      <c r="F527" s="459">
        <v>636</v>
      </c>
      <c r="G527" s="459">
        <v>242</v>
      </c>
      <c r="H527" s="459">
        <v>1182</v>
      </c>
      <c r="I527" s="459">
        <v>796</v>
      </c>
      <c r="J527" s="459">
        <v>4097</v>
      </c>
      <c r="K527" s="459">
        <v>210</v>
      </c>
      <c r="L527" s="459">
        <v>54</v>
      </c>
    </row>
    <row r="528" spans="1:12" s="459" customFormat="1">
      <c r="A528" s="525" t="s">
        <v>689</v>
      </c>
      <c r="B528" s="459">
        <v>1932</v>
      </c>
      <c r="C528" s="459">
        <v>745</v>
      </c>
      <c r="D528" s="459">
        <v>53</v>
      </c>
      <c r="E528" s="459">
        <v>12</v>
      </c>
      <c r="F528" s="459">
        <v>46</v>
      </c>
      <c r="G528" s="459">
        <v>76</v>
      </c>
      <c r="H528" s="459">
        <v>316</v>
      </c>
      <c r="I528" s="459">
        <v>259</v>
      </c>
      <c r="J528" s="459">
        <v>30</v>
      </c>
      <c r="K528" s="459">
        <v>374</v>
      </c>
      <c r="L528" s="459">
        <v>21</v>
      </c>
    </row>
    <row r="529" spans="1:12" s="459" customFormat="1">
      <c r="A529" s="527" t="s">
        <v>690</v>
      </c>
      <c r="B529" s="458">
        <v>2066</v>
      </c>
      <c r="C529" s="458">
        <v>58</v>
      </c>
      <c r="D529" s="458">
        <v>38</v>
      </c>
      <c r="E529" s="458">
        <v>35</v>
      </c>
      <c r="F529" s="458">
        <v>46</v>
      </c>
      <c r="G529" s="458">
        <v>63</v>
      </c>
      <c r="H529" s="458">
        <v>380</v>
      </c>
      <c r="I529" s="458">
        <v>63</v>
      </c>
      <c r="J529" s="458">
        <v>24</v>
      </c>
      <c r="K529" s="458">
        <v>26</v>
      </c>
      <c r="L529" s="458">
        <v>1333</v>
      </c>
    </row>
    <row r="530" spans="1:12" s="459" customFormat="1">
      <c r="A530" s="459" t="s">
        <v>692</v>
      </c>
    </row>
    <row r="531" spans="1:12" s="459" customFormat="1"/>
    <row r="532" spans="1:12" s="459" customFormat="1"/>
    <row r="533" spans="1:12" s="459" customFormat="1"/>
    <row r="534" spans="1:12" s="459" customFormat="1" ht="15.6">
      <c r="A534" s="401" t="s">
        <v>696</v>
      </c>
    </row>
    <row r="535" spans="1:12" s="459" customFormat="1" ht="15.6">
      <c r="A535" s="132" t="s">
        <v>344</v>
      </c>
      <c r="B535" s="834" t="s">
        <v>694</v>
      </c>
      <c r="C535" s="834"/>
      <c r="D535" s="834"/>
      <c r="E535" s="834"/>
      <c r="F535" s="834"/>
      <c r="G535" s="834"/>
      <c r="H535" s="834"/>
      <c r="I535" s="834"/>
      <c r="J535" s="834"/>
      <c r="K535" s="834"/>
      <c r="L535" s="834"/>
    </row>
    <row r="536" spans="1:12" s="459" customFormat="1">
      <c r="B536" s="526" t="s">
        <v>681</v>
      </c>
      <c r="C536" s="526" t="s">
        <v>682</v>
      </c>
      <c r="D536" s="526" t="s">
        <v>683</v>
      </c>
      <c r="E536" s="526" t="s">
        <v>684</v>
      </c>
      <c r="F536" s="526" t="s">
        <v>685</v>
      </c>
      <c r="G536" s="526" t="s">
        <v>686</v>
      </c>
      <c r="H536" s="526" t="s">
        <v>373</v>
      </c>
      <c r="I536" s="526" t="s">
        <v>687</v>
      </c>
      <c r="J536" s="526" t="s">
        <v>688</v>
      </c>
      <c r="K536" s="526" t="s">
        <v>689</v>
      </c>
      <c r="L536" s="526" t="s">
        <v>690</v>
      </c>
    </row>
    <row r="537" spans="1:12" s="459" customFormat="1" ht="15.6">
      <c r="A537" s="528" t="s">
        <v>693</v>
      </c>
    </row>
    <row r="538" spans="1:12" s="459" customFormat="1">
      <c r="A538" s="525" t="s">
        <v>691</v>
      </c>
      <c r="B538" s="459">
        <v>1599</v>
      </c>
      <c r="C538" s="459">
        <v>130</v>
      </c>
      <c r="D538" s="459">
        <v>144</v>
      </c>
      <c r="E538" s="459">
        <v>160</v>
      </c>
      <c r="F538" s="459">
        <v>158</v>
      </c>
      <c r="G538" s="459">
        <v>228</v>
      </c>
      <c r="H538" s="459">
        <v>358</v>
      </c>
      <c r="I538" s="459">
        <v>192</v>
      </c>
      <c r="J538" s="459">
        <v>109</v>
      </c>
      <c r="K538" s="459">
        <v>35</v>
      </c>
      <c r="L538" s="459">
        <v>85</v>
      </c>
    </row>
    <row r="539" spans="1:12" s="459" customFormat="1">
      <c r="A539" s="525" t="s">
        <v>682</v>
      </c>
      <c r="B539" s="459">
        <v>136</v>
      </c>
      <c r="C539" s="459">
        <v>51</v>
      </c>
      <c r="D539" s="459">
        <v>11</v>
      </c>
      <c r="E539" s="459">
        <v>4</v>
      </c>
      <c r="F539" s="459">
        <v>4</v>
      </c>
      <c r="G539" s="459">
        <v>5</v>
      </c>
      <c r="H539" s="459">
        <v>25</v>
      </c>
      <c r="I539" s="459">
        <v>14</v>
      </c>
      <c r="J539" s="459">
        <v>9</v>
      </c>
      <c r="K539" s="459">
        <v>7</v>
      </c>
      <c r="L539" s="459">
        <v>6</v>
      </c>
    </row>
    <row r="540" spans="1:12" s="459" customFormat="1">
      <c r="A540" s="525" t="s">
        <v>683</v>
      </c>
      <c r="B540" s="459">
        <v>140</v>
      </c>
      <c r="C540" s="459">
        <v>10</v>
      </c>
      <c r="D540" s="459">
        <v>65</v>
      </c>
      <c r="E540" s="459">
        <v>10</v>
      </c>
      <c r="F540" s="459">
        <v>4</v>
      </c>
      <c r="G540" s="459">
        <v>5</v>
      </c>
      <c r="H540" s="459">
        <v>24</v>
      </c>
      <c r="I540" s="459">
        <v>6</v>
      </c>
      <c r="J540" s="459">
        <v>12</v>
      </c>
      <c r="K540" s="459">
        <v>1</v>
      </c>
      <c r="L540" s="459">
        <v>3</v>
      </c>
    </row>
    <row r="541" spans="1:12" s="459" customFormat="1">
      <c r="A541" s="525" t="s">
        <v>684</v>
      </c>
      <c r="B541" s="459">
        <v>159</v>
      </c>
      <c r="C541" s="459">
        <v>5</v>
      </c>
      <c r="D541" s="459">
        <v>10</v>
      </c>
      <c r="E541" s="459">
        <v>66</v>
      </c>
      <c r="F541" s="459">
        <v>10</v>
      </c>
      <c r="G541" s="459">
        <v>30</v>
      </c>
      <c r="H541" s="459">
        <v>21</v>
      </c>
      <c r="I541" s="459">
        <v>6</v>
      </c>
      <c r="J541" s="459">
        <v>6</v>
      </c>
      <c r="K541" s="459">
        <v>1</v>
      </c>
      <c r="L541" s="459">
        <v>4</v>
      </c>
    </row>
    <row r="542" spans="1:12" s="459" customFormat="1">
      <c r="A542" s="525" t="s">
        <v>685</v>
      </c>
      <c r="B542" s="459">
        <v>156</v>
      </c>
      <c r="C542" s="459">
        <v>3</v>
      </c>
      <c r="D542" s="459">
        <v>5</v>
      </c>
      <c r="E542" s="459">
        <v>10</v>
      </c>
      <c r="F542" s="459">
        <v>68</v>
      </c>
      <c r="G542" s="459">
        <v>15</v>
      </c>
      <c r="H542" s="459">
        <v>25</v>
      </c>
      <c r="I542" s="459">
        <v>14</v>
      </c>
      <c r="J542" s="459">
        <v>7</v>
      </c>
      <c r="K542" s="459">
        <v>2</v>
      </c>
      <c r="L542" s="459">
        <v>6</v>
      </c>
    </row>
    <row r="543" spans="1:12" s="459" customFormat="1">
      <c r="A543" s="525" t="s">
        <v>686</v>
      </c>
      <c r="B543" s="459">
        <v>227</v>
      </c>
      <c r="C543" s="459">
        <v>4</v>
      </c>
      <c r="D543" s="459">
        <v>6</v>
      </c>
      <c r="E543" s="459">
        <v>29</v>
      </c>
      <c r="F543" s="459">
        <v>17</v>
      </c>
      <c r="G543" s="459">
        <v>112</v>
      </c>
      <c r="H543" s="459">
        <v>37</v>
      </c>
      <c r="I543" s="459">
        <v>9</v>
      </c>
      <c r="J543" s="459">
        <v>7</v>
      </c>
      <c r="K543" s="459">
        <v>3</v>
      </c>
      <c r="L543" s="459">
        <v>3</v>
      </c>
    </row>
    <row r="544" spans="1:12" s="459" customFormat="1">
      <c r="A544" s="525" t="s">
        <v>373</v>
      </c>
      <c r="B544" s="459">
        <v>366</v>
      </c>
      <c r="C544" s="459">
        <v>25</v>
      </c>
      <c r="D544" s="459">
        <v>25</v>
      </c>
      <c r="E544" s="459">
        <v>23</v>
      </c>
      <c r="F544" s="459">
        <v>28</v>
      </c>
      <c r="G544" s="459">
        <v>39</v>
      </c>
      <c r="H544" s="459">
        <v>126</v>
      </c>
      <c r="I544" s="459">
        <v>58</v>
      </c>
      <c r="J544" s="459">
        <v>24</v>
      </c>
      <c r="K544" s="459">
        <v>9</v>
      </c>
      <c r="L544" s="459">
        <v>8</v>
      </c>
    </row>
    <row r="545" spans="1:12" s="459" customFormat="1">
      <c r="A545" s="525" t="s">
        <v>687</v>
      </c>
      <c r="B545" s="459">
        <v>193</v>
      </c>
      <c r="C545" s="459">
        <v>14</v>
      </c>
      <c r="D545" s="459">
        <v>6</v>
      </c>
      <c r="E545" s="459">
        <v>7</v>
      </c>
      <c r="F545" s="459">
        <v>15</v>
      </c>
      <c r="G545" s="459">
        <v>9</v>
      </c>
      <c r="H545" s="459">
        <v>55</v>
      </c>
      <c r="I545" s="459">
        <v>68</v>
      </c>
      <c r="J545" s="459">
        <v>12</v>
      </c>
      <c r="K545" s="459">
        <v>5</v>
      </c>
      <c r="L545" s="459">
        <v>3</v>
      </c>
    </row>
    <row r="546" spans="1:12" s="459" customFormat="1">
      <c r="A546" s="525" t="s">
        <v>688</v>
      </c>
      <c r="B546" s="459">
        <v>111</v>
      </c>
      <c r="C546" s="459">
        <v>9</v>
      </c>
      <c r="D546" s="459">
        <v>14</v>
      </c>
      <c r="E546" s="459">
        <v>7</v>
      </c>
      <c r="F546" s="459">
        <v>7</v>
      </c>
      <c r="G546" s="459">
        <v>7</v>
      </c>
      <c r="H546" s="459">
        <v>22</v>
      </c>
      <c r="I546" s="459">
        <v>12</v>
      </c>
      <c r="J546" s="459">
        <v>29</v>
      </c>
      <c r="K546" s="459">
        <v>3</v>
      </c>
      <c r="L546" s="459">
        <v>2</v>
      </c>
    </row>
    <row r="547" spans="1:12">
      <c r="A547" s="525" t="s">
        <v>689</v>
      </c>
      <c r="B547" s="459">
        <v>29</v>
      </c>
      <c r="C547" s="459">
        <v>6</v>
      </c>
      <c r="D547" s="459">
        <v>1</v>
      </c>
      <c r="E547" s="459">
        <v>1</v>
      </c>
      <c r="F547" s="459">
        <v>2</v>
      </c>
      <c r="G547" s="459">
        <v>3</v>
      </c>
      <c r="H547" s="459">
        <v>8</v>
      </c>
      <c r="I547" s="459">
        <v>4</v>
      </c>
      <c r="J547" s="459">
        <v>2</v>
      </c>
      <c r="K547" s="459">
        <v>2</v>
      </c>
      <c r="L547" s="459">
        <v>1</v>
      </c>
    </row>
    <row r="548" spans="1:12">
      <c r="A548" s="527" t="s">
        <v>690</v>
      </c>
      <c r="B548" s="458">
        <v>82</v>
      </c>
      <c r="C548" s="458">
        <v>2</v>
      </c>
      <c r="D548" s="458">
        <v>2</v>
      </c>
      <c r="E548" s="458">
        <v>2</v>
      </c>
      <c r="F548" s="458">
        <v>2</v>
      </c>
      <c r="G548" s="458">
        <v>3</v>
      </c>
      <c r="H548" s="458">
        <v>15</v>
      </c>
      <c r="I548" s="458">
        <v>3</v>
      </c>
      <c r="J548" s="458">
        <v>1</v>
      </c>
      <c r="K548" s="458">
        <v>1</v>
      </c>
      <c r="L548" s="458">
        <v>50</v>
      </c>
    </row>
    <row r="549" spans="1:12">
      <c r="A549" s="459" t="s">
        <v>692</v>
      </c>
      <c r="B549" s="459"/>
      <c r="C549" s="459"/>
      <c r="D549" s="459"/>
      <c r="E549" s="459"/>
      <c r="F549" s="459"/>
      <c r="G549" s="459"/>
      <c r="H549" s="459"/>
      <c r="I549" s="459"/>
      <c r="J549" s="459"/>
      <c r="K549" s="459"/>
      <c r="L549" s="459"/>
    </row>
    <row r="551" spans="1:12" s="459" customFormat="1"/>
    <row r="552" spans="1:12">
      <c r="A552" s="459"/>
    </row>
    <row r="553" spans="1:12">
      <c r="A553" s="824" t="s">
        <v>718</v>
      </c>
      <c r="B553" s="824"/>
      <c r="C553" s="824"/>
      <c r="D553" s="824"/>
      <c r="E553" s="824"/>
      <c r="F553" s="824"/>
      <c r="G553" s="824"/>
    </row>
    <row r="554" spans="1:12">
      <c r="A554" s="518"/>
      <c r="B554" s="518"/>
      <c r="C554" s="518"/>
      <c r="D554" s="518"/>
      <c r="E554" s="518"/>
      <c r="F554" s="518"/>
      <c r="G554" s="543" t="s">
        <v>715</v>
      </c>
    </row>
    <row r="555" spans="1:12">
      <c r="A555" s="544"/>
      <c r="B555" s="545">
        <v>2013</v>
      </c>
      <c r="C555" s="546">
        <v>2014</v>
      </c>
      <c r="D555" s="546">
        <v>2015</v>
      </c>
      <c r="E555" s="546">
        <v>2016</v>
      </c>
      <c r="F555" s="546">
        <v>2017</v>
      </c>
      <c r="G555" s="546">
        <v>2018</v>
      </c>
    </row>
    <row r="556" spans="1:12">
      <c r="A556" s="14" t="s">
        <v>21</v>
      </c>
      <c r="B556" s="13"/>
      <c r="C556" s="13"/>
      <c r="D556" s="13"/>
      <c r="E556" s="13"/>
      <c r="F556" s="13"/>
      <c r="G556" s="13"/>
    </row>
    <row r="557" spans="1:12">
      <c r="A557" s="547" t="s">
        <v>38</v>
      </c>
      <c r="B557" s="12">
        <v>8144</v>
      </c>
      <c r="C557" s="12">
        <v>10230</v>
      </c>
      <c r="D557" s="12">
        <v>10490</v>
      </c>
      <c r="E557" s="12">
        <v>10771.652254326058</v>
      </c>
      <c r="F557" s="12">
        <v>11557.033844917567</v>
      </c>
      <c r="G557" s="12">
        <v>12438</v>
      </c>
    </row>
    <row r="558" spans="1:12">
      <c r="A558" s="547" t="s">
        <v>39</v>
      </c>
      <c r="B558" s="12">
        <v>11730</v>
      </c>
      <c r="C558" s="12">
        <v>10584</v>
      </c>
      <c r="D558" s="12">
        <v>10962</v>
      </c>
      <c r="E558" s="12">
        <v>11953.521212477279</v>
      </c>
      <c r="F558" s="12">
        <v>12695.598551411398</v>
      </c>
      <c r="G558" s="12">
        <v>13299</v>
      </c>
    </row>
    <row r="559" spans="1:12">
      <c r="A559" s="547" t="s">
        <v>40</v>
      </c>
      <c r="B559" s="12">
        <v>15985</v>
      </c>
      <c r="C559" s="12">
        <v>15949</v>
      </c>
      <c r="D559" s="12">
        <v>17150</v>
      </c>
      <c r="E559" s="12">
        <v>18986.617545944344</v>
      </c>
      <c r="F559" s="12">
        <v>20077.245353236714</v>
      </c>
      <c r="G559" s="12">
        <v>20934</v>
      </c>
    </row>
    <row r="560" spans="1:12">
      <c r="A560" s="547" t="s">
        <v>41</v>
      </c>
      <c r="B560" s="12">
        <v>880</v>
      </c>
      <c r="C560" s="12">
        <v>1041</v>
      </c>
      <c r="D560" s="12">
        <v>1058</v>
      </c>
      <c r="E560" s="12">
        <v>1102.8053175033033</v>
      </c>
      <c r="F560" s="12">
        <v>1175.0163992303337</v>
      </c>
      <c r="G560" s="12">
        <v>1290</v>
      </c>
    </row>
    <row r="561" spans="1:32">
      <c r="A561" s="548" t="s">
        <v>1</v>
      </c>
      <c r="B561" s="549">
        <v>36739</v>
      </c>
      <c r="C561" s="549">
        <v>37804</v>
      </c>
      <c r="D561" s="549">
        <v>39660</v>
      </c>
      <c r="E561" s="549">
        <v>42815</v>
      </c>
      <c r="F561" s="549">
        <v>45505</v>
      </c>
      <c r="G561" s="549">
        <v>47960</v>
      </c>
    </row>
    <row r="562" spans="1:32">
      <c r="A562" s="14" t="s">
        <v>35</v>
      </c>
      <c r="B562" s="12">
        <v>1591851</v>
      </c>
      <c r="C562" s="12">
        <v>1862793</v>
      </c>
      <c r="D562" s="12">
        <v>1916722</v>
      </c>
      <c r="E562" s="12">
        <v>1989798</v>
      </c>
      <c r="F562" s="12">
        <v>2120987</v>
      </c>
      <c r="G562" s="12">
        <v>2281083</v>
      </c>
    </row>
    <row r="563" spans="1:32">
      <c r="A563" s="14" t="s">
        <v>42</v>
      </c>
      <c r="B563" s="12">
        <v>589</v>
      </c>
      <c r="C563" s="12">
        <v>578</v>
      </c>
      <c r="D563" s="12">
        <v>540</v>
      </c>
      <c r="E563" s="12">
        <v>581</v>
      </c>
      <c r="F563" s="12">
        <v>546</v>
      </c>
      <c r="G563" s="12">
        <v>516</v>
      </c>
    </row>
    <row r="564" spans="1:32">
      <c r="A564" s="550" t="s">
        <v>716</v>
      </c>
      <c r="B564" s="551">
        <v>98845</v>
      </c>
      <c r="C564" s="551">
        <v>99827</v>
      </c>
      <c r="D564" s="551">
        <v>96406</v>
      </c>
      <c r="E564" s="551">
        <v>101480</v>
      </c>
      <c r="F564" s="551">
        <v>100399</v>
      </c>
      <c r="G564" s="551">
        <v>88551</v>
      </c>
    </row>
    <row r="565" spans="1:32">
      <c r="A565" s="836" t="s">
        <v>717</v>
      </c>
      <c r="B565" s="836"/>
      <c r="C565" s="836"/>
      <c r="D565" s="836"/>
      <c r="E565" s="836"/>
      <c r="F565" s="836"/>
      <c r="G565" s="836"/>
    </row>
    <row r="566" spans="1:32">
      <c r="A566" s="837" t="s">
        <v>719</v>
      </c>
      <c r="B566" s="837"/>
      <c r="C566" s="837"/>
      <c r="D566" s="837"/>
      <c r="E566" s="837"/>
      <c r="F566" s="837"/>
      <c r="G566" s="837"/>
    </row>
    <row r="571" spans="1:32">
      <c r="A571" s="459"/>
      <c r="B571" s="459"/>
      <c r="C571" s="459"/>
      <c r="D571" s="459"/>
      <c r="E571" s="459"/>
      <c r="F571" s="459"/>
      <c r="G571" s="459"/>
      <c r="H571" s="459"/>
      <c r="I571" s="459"/>
      <c r="J571" s="459"/>
      <c r="K571" s="459"/>
      <c r="L571" s="459"/>
      <c r="M571" s="459"/>
      <c r="N571" s="459"/>
      <c r="O571" s="459"/>
      <c r="P571" s="459"/>
      <c r="Q571" s="459"/>
      <c r="R571" s="459"/>
      <c r="S571" s="459"/>
      <c r="T571" s="459"/>
      <c r="U571" s="459"/>
      <c r="V571" s="459"/>
      <c r="W571" s="459"/>
      <c r="X571" s="459"/>
      <c r="Y571" s="459"/>
      <c r="Z571" s="459"/>
      <c r="AA571" s="459"/>
      <c r="AB571" s="459"/>
      <c r="AC571" s="459"/>
      <c r="AD571" s="459"/>
    </row>
    <row r="572" spans="1:32">
      <c r="A572" s="459"/>
      <c r="B572" s="459"/>
      <c r="C572" s="459"/>
      <c r="D572" s="459"/>
      <c r="E572" s="459"/>
      <c r="F572" s="459"/>
      <c r="G572" s="459"/>
      <c r="H572" s="459"/>
      <c r="I572" s="459"/>
      <c r="J572" s="459"/>
      <c r="K572" s="459"/>
      <c r="L572" s="459"/>
      <c r="M572" s="459"/>
      <c r="N572" s="459"/>
      <c r="O572" s="459"/>
      <c r="P572" s="459"/>
      <c r="Q572" s="459"/>
      <c r="R572" s="459"/>
      <c r="S572" s="459"/>
      <c r="T572" s="459"/>
      <c r="U572" s="459"/>
      <c r="V572" s="459"/>
      <c r="W572" s="459"/>
      <c r="X572" s="459"/>
      <c r="Y572" s="459"/>
      <c r="Z572" s="459"/>
      <c r="AA572" s="459"/>
      <c r="AB572" s="459"/>
      <c r="AC572" s="459"/>
      <c r="AD572" s="459"/>
    </row>
    <row r="573" spans="1:32" ht="15.6">
      <c r="A573" s="401" t="s">
        <v>737</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row>
    <row r="574" spans="1:32" ht="15.6">
      <c r="A574" s="132" t="s">
        <v>344</v>
      </c>
      <c r="B574" s="834" t="s">
        <v>694</v>
      </c>
      <c r="C574" s="834"/>
      <c r="D574" s="834"/>
      <c r="E574" s="834"/>
      <c r="F574" s="834"/>
      <c r="G574" s="834"/>
      <c r="H574" s="834"/>
      <c r="I574" s="834"/>
      <c r="J574" s="834"/>
      <c r="K574" s="834"/>
      <c r="L574" s="834"/>
      <c r="M574" s="459"/>
      <c r="N574" s="459"/>
      <c r="O574" s="459"/>
      <c r="P574" s="459"/>
      <c r="Q574" s="459"/>
      <c r="R574" s="459"/>
      <c r="S574" s="459"/>
      <c r="T574" s="459"/>
      <c r="U574" s="459"/>
      <c r="V574" s="459"/>
      <c r="W574" s="459"/>
      <c r="X574" s="459"/>
      <c r="Y574" s="459"/>
      <c r="Z574" s="459"/>
      <c r="AA574" s="459"/>
      <c r="AB574" s="459"/>
      <c r="AC574" s="459"/>
      <c r="AD574" s="459"/>
      <c r="AE574" s="459"/>
      <c r="AF574" s="459"/>
    </row>
    <row r="575" spans="1:32">
      <c r="A575" s="459"/>
      <c r="B575" s="526" t="s">
        <v>681</v>
      </c>
      <c r="C575" s="529" t="s">
        <v>682</v>
      </c>
      <c r="D575" s="532" t="s">
        <v>683</v>
      </c>
      <c r="E575" s="534" t="s">
        <v>684</v>
      </c>
      <c r="F575" s="43" t="s">
        <v>685</v>
      </c>
      <c r="G575" s="537" t="s">
        <v>686</v>
      </c>
      <c r="H575" s="459" t="s">
        <v>373</v>
      </c>
      <c r="I575" s="539" t="s">
        <v>687</v>
      </c>
      <c r="J575" s="540" t="s">
        <v>688</v>
      </c>
      <c r="K575" s="526" t="s">
        <v>689</v>
      </c>
      <c r="L575" s="526" t="s">
        <v>690</v>
      </c>
      <c r="M575" s="459"/>
      <c r="N575" s="459"/>
      <c r="O575" s="459"/>
      <c r="P575" s="459"/>
      <c r="Q575" s="459"/>
      <c r="R575" s="459"/>
      <c r="S575" s="459"/>
      <c r="T575" s="459"/>
      <c r="U575" s="459"/>
      <c r="V575" s="459"/>
      <c r="W575" s="459"/>
      <c r="X575" s="459"/>
      <c r="Y575" s="459"/>
      <c r="Z575" s="459"/>
      <c r="AA575" s="459"/>
      <c r="AB575" s="459"/>
      <c r="AC575" s="459"/>
      <c r="AD575" s="459"/>
      <c r="AE575" s="459"/>
      <c r="AF575" s="459"/>
    </row>
    <row r="576" spans="1:32" ht="15.6">
      <c r="A576" s="528" t="s">
        <v>693</v>
      </c>
      <c r="B576" s="459"/>
      <c r="C576" s="459"/>
      <c r="D576" s="459"/>
      <c r="E576" s="459"/>
      <c r="F576" s="459"/>
      <c r="G576" s="459"/>
      <c r="H576" s="459"/>
      <c r="I576" s="459"/>
      <c r="J576" s="459"/>
      <c r="K576" s="459"/>
      <c r="L576" s="459"/>
      <c r="M576" s="459"/>
      <c r="N576" s="459"/>
      <c r="O576" s="459"/>
      <c r="P576" s="459"/>
      <c r="Q576" s="459"/>
      <c r="R576" s="459"/>
      <c r="S576" s="459"/>
      <c r="T576" s="459"/>
      <c r="U576" s="459"/>
      <c r="V576" s="459"/>
      <c r="W576" s="459"/>
      <c r="X576" s="459"/>
      <c r="Y576" s="459"/>
      <c r="Z576" s="459"/>
      <c r="AA576" s="459"/>
      <c r="AB576" s="459"/>
      <c r="AC576" s="459"/>
      <c r="AD576" s="459"/>
      <c r="AE576" s="459"/>
      <c r="AF576" s="459"/>
    </row>
    <row r="577" spans="1:32">
      <c r="A577" s="525" t="s">
        <v>691</v>
      </c>
      <c r="B577" s="6">
        <f>B475/B538</f>
        <v>7.2151344590368982</v>
      </c>
      <c r="C577" s="6">
        <f t="shared" ref="C577:L577" si="216">C475/C538</f>
        <v>6.6384615384615389</v>
      </c>
      <c r="D577" s="6">
        <f t="shared" si="216"/>
        <v>6.3402777777777777</v>
      </c>
      <c r="E577" s="6">
        <f t="shared" si="216"/>
        <v>6.5875000000000004</v>
      </c>
      <c r="F577" s="6">
        <f t="shared" si="216"/>
        <v>7.4683544303797467</v>
      </c>
      <c r="G577" s="6">
        <f t="shared" si="216"/>
        <v>8.0701754385964914</v>
      </c>
      <c r="H577" s="6">
        <f>H475/H538</f>
        <v>6.1033519553072626</v>
      </c>
      <c r="I577" s="6">
        <f t="shared" si="216"/>
        <v>6.59375</v>
      </c>
      <c r="J577" s="6">
        <f t="shared" si="216"/>
        <v>6.1100917431192663</v>
      </c>
      <c r="K577" s="6">
        <f t="shared" si="216"/>
        <v>11.457142857142857</v>
      </c>
      <c r="L577" s="6">
        <f t="shared" si="216"/>
        <v>13.752941176470589</v>
      </c>
      <c r="M577" s="459"/>
      <c r="N577" s="459"/>
      <c r="O577" s="459"/>
      <c r="P577" s="459"/>
      <c r="Q577" s="459"/>
      <c r="R577" s="459"/>
      <c r="S577" s="459"/>
      <c r="T577" s="459"/>
      <c r="U577" s="459"/>
      <c r="V577" s="459"/>
      <c r="W577" s="459"/>
      <c r="X577" s="459"/>
      <c r="Y577" s="459"/>
      <c r="Z577" s="459"/>
      <c r="AA577" s="459"/>
      <c r="AB577" s="459"/>
      <c r="AC577" s="459"/>
      <c r="AD577" s="459"/>
      <c r="AE577" s="459"/>
      <c r="AF577" s="459"/>
    </row>
    <row r="578" spans="1:32">
      <c r="A578" s="525" t="s">
        <v>682</v>
      </c>
      <c r="B578" s="6">
        <f t="shared" ref="B578:L587" si="217">B476/B539</f>
        <v>7.3970588235294121</v>
      </c>
      <c r="C578" s="6">
        <f t="shared" si="217"/>
        <v>5.9215686274509807</v>
      </c>
      <c r="D578" s="6">
        <f t="shared" si="217"/>
        <v>5.6363636363636367</v>
      </c>
      <c r="E578" s="6">
        <f t="shared" si="217"/>
        <v>8.5</v>
      </c>
      <c r="F578" s="6">
        <f t="shared" si="217"/>
        <v>12.5</v>
      </c>
      <c r="G578" s="6">
        <f t="shared" si="217"/>
        <v>13</v>
      </c>
      <c r="H578" s="6">
        <f t="shared" si="217"/>
        <v>6.6</v>
      </c>
      <c r="I578" s="6">
        <f t="shared" si="217"/>
        <v>7.8571428571428568</v>
      </c>
      <c r="J578" s="6">
        <f t="shared" si="217"/>
        <v>5.2222222222222223</v>
      </c>
      <c r="K578" s="6">
        <f t="shared" si="217"/>
        <v>11</v>
      </c>
      <c r="L578" s="6">
        <f t="shared" si="217"/>
        <v>15.833333333333334</v>
      </c>
      <c r="M578" s="459"/>
      <c r="N578" s="459"/>
      <c r="O578" s="459"/>
      <c r="P578" s="459"/>
      <c r="Q578" s="459"/>
      <c r="R578" s="459"/>
      <c r="S578" s="459"/>
      <c r="T578" s="459"/>
      <c r="U578" s="459"/>
      <c r="V578" s="459"/>
      <c r="W578" s="459"/>
      <c r="X578" s="459"/>
      <c r="Y578" s="459"/>
      <c r="Z578" s="459"/>
      <c r="AA578" s="459"/>
      <c r="AB578" s="459"/>
      <c r="AC578" s="459"/>
      <c r="AD578" s="459"/>
      <c r="AE578" s="459"/>
      <c r="AF578" s="459"/>
    </row>
    <row r="579" spans="1:32">
      <c r="A579" s="525" t="s">
        <v>683</v>
      </c>
      <c r="B579" s="6">
        <f t="shared" si="217"/>
        <v>5.8</v>
      </c>
      <c r="C579" s="6">
        <f t="shared" si="217"/>
        <v>4.4000000000000004</v>
      </c>
      <c r="D579" s="6">
        <f t="shared" si="217"/>
        <v>4.5538461538461537</v>
      </c>
      <c r="E579" s="6">
        <f t="shared" si="217"/>
        <v>6.2</v>
      </c>
      <c r="F579" s="6">
        <f t="shared" si="217"/>
        <v>11</v>
      </c>
      <c r="G579" s="6">
        <f t="shared" si="217"/>
        <v>10.6</v>
      </c>
      <c r="H579" s="6">
        <f t="shared" si="217"/>
        <v>7.125</v>
      </c>
      <c r="I579" s="6">
        <f t="shared" si="217"/>
        <v>6.833333333333333</v>
      </c>
      <c r="J579" s="6">
        <f t="shared" si="217"/>
        <v>3.5</v>
      </c>
      <c r="K579" s="6">
        <f t="shared" si="217"/>
        <v>14</v>
      </c>
      <c r="L579" s="6">
        <f t="shared" si="217"/>
        <v>14.666666666666666</v>
      </c>
      <c r="M579" s="459"/>
      <c r="N579" s="459"/>
      <c r="O579" s="459"/>
      <c r="P579" s="459"/>
      <c r="Q579" s="459"/>
      <c r="R579" s="459"/>
      <c r="S579" s="459"/>
      <c r="T579" s="459"/>
      <c r="U579" s="459"/>
      <c r="V579" s="459"/>
      <c r="W579" s="459"/>
      <c r="X579" s="459"/>
      <c r="Y579" s="459"/>
      <c r="Z579" s="459"/>
      <c r="AA579" s="459"/>
      <c r="AB579" s="459"/>
      <c r="AC579" s="459"/>
      <c r="AD579" s="459"/>
      <c r="AE579" s="459"/>
      <c r="AF579" s="459"/>
    </row>
    <row r="580" spans="1:32">
      <c r="A580" s="525" t="s">
        <v>684</v>
      </c>
      <c r="B580" s="6">
        <f t="shared" si="217"/>
        <v>6.8301886792452828</v>
      </c>
      <c r="C580" s="6">
        <f t="shared" si="217"/>
        <v>6.6</v>
      </c>
      <c r="D580" s="6">
        <f t="shared" si="217"/>
        <v>8.3000000000000007</v>
      </c>
      <c r="E580" s="6">
        <f t="shared" si="217"/>
        <v>5.6969696969696972</v>
      </c>
      <c r="F580" s="6">
        <f t="shared" si="217"/>
        <v>10.6</v>
      </c>
      <c r="G580" s="6">
        <f t="shared" si="217"/>
        <v>6.4</v>
      </c>
      <c r="H580" s="6">
        <f t="shared" si="217"/>
        <v>7</v>
      </c>
      <c r="I580" s="6">
        <f t="shared" si="217"/>
        <v>8</v>
      </c>
      <c r="J580" s="6">
        <f t="shared" si="217"/>
        <v>7.833333333333333</v>
      </c>
      <c r="K580" s="6">
        <f t="shared" si="217"/>
        <v>11</v>
      </c>
      <c r="L580" s="6">
        <f t="shared" si="217"/>
        <v>10.5</v>
      </c>
      <c r="M580" s="459"/>
      <c r="N580" s="459"/>
      <c r="O580" s="459"/>
      <c r="P580" s="459"/>
      <c r="Q580" s="459"/>
      <c r="R580" s="459"/>
      <c r="S580" s="459"/>
      <c r="T580" s="459"/>
      <c r="U580" s="459"/>
      <c r="V580" s="459"/>
      <c r="W580" s="459"/>
      <c r="X580" s="459"/>
      <c r="Y580" s="459"/>
      <c r="Z580" s="459"/>
      <c r="AA580" s="459"/>
      <c r="AB580" s="459"/>
      <c r="AC580" s="459"/>
      <c r="AD580" s="459"/>
      <c r="AE580" s="459"/>
      <c r="AF580" s="459"/>
    </row>
    <row r="581" spans="1:32">
      <c r="A581" s="525" t="s">
        <v>685</v>
      </c>
      <c r="B581" s="6">
        <f t="shared" si="217"/>
        <v>6.4743589743589745</v>
      </c>
      <c r="C581" s="6">
        <f t="shared" si="217"/>
        <v>8.3333333333333339</v>
      </c>
      <c r="D581" s="6">
        <f t="shared" si="217"/>
        <v>9.4</v>
      </c>
      <c r="E581" s="6">
        <f t="shared" si="217"/>
        <v>6.6</v>
      </c>
      <c r="F581" s="6">
        <f t="shared" si="217"/>
        <v>5.2941176470588234</v>
      </c>
      <c r="G581" s="6">
        <f t="shared" si="217"/>
        <v>7.5333333333333332</v>
      </c>
      <c r="H581" s="6">
        <f t="shared" si="217"/>
        <v>5.44</v>
      </c>
      <c r="I581" s="6">
        <f t="shared" si="217"/>
        <v>6.4285714285714288</v>
      </c>
      <c r="J581" s="6">
        <f t="shared" si="217"/>
        <v>8</v>
      </c>
      <c r="K581" s="6">
        <f t="shared" si="217"/>
        <v>18.5</v>
      </c>
      <c r="L581" s="6">
        <f t="shared" si="217"/>
        <v>13.333333333333334</v>
      </c>
      <c r="M581" s="459"/>
      <c r="N581" s="459"/>
      <c r="O581" s="459"/>
      <c r="P581" s="459"/>
      <c r="Q581" s="459"/>
      <c r="R581" s="459"/>
      <c r="S581" s="459"/>
      <c r="T581" s="459"/>
      <c r="U581" s="459"/>
      <c r="V581" s="459"/>
      <c r="W581" s="459"/>
      <c r="X581" s="459"/>
      <c r="Y581" s="459"/>
      <c r="Z581" s="459"/>
      <c r="AA581" s="459"/>
      <c r="AB581" s="459"/>
      <c r="AC581" s="459"/>
      <c r="AD581" s="459"/>
      <c r="AE581" s="459"/>
      <c r="AF581" s="459"/>
    </row>
    <row r="582" spans="1:32">
      <c r="A582" s="525" t="s">
        <v>686</v>
      </c>
      <c r="B582" s="6">
        <f t="shared" si="217"/>
        <v>6.6872246696035242</v>
      </c>
      <c r="C582" s="6">
        <f t="shared" si="217"/>
        <v>4</v>
      </c>
      <c r="D582" s="6">
        <f t="shared" si="217"/>
        <v>5</v>
      </c>
      <c r="E582" s="6">
        <f t="shared" si="217"/>
        <v>6</v>
      </c>
      <c r="F582" s="6">
        <f t="shared" si="217"/>
        <v>9.1764705882352935</v>
      </c>
      <c r="G582" s="6">
        <f t="shared" si="217"/>
        <v>6.3571428571428568</v>
      </c>
      <c r="H582" s="6">
        <f t="shared" si="217"/>
        <v>6.7297297297297298</v>
      </c>
      <c r="I582" s="6">
        <f t="shared" si="217"/>
        <v>6.666666666666667</v>
      </c>
      <c r="J582" s="6">
        <f t="shared" si="217"/>
        <v>7.5714285714285712</v>
      </c>
      <c r="K582" s="6">
        <f t="shared" si="217"/>
        <v>8.6666666666666661</v>
      </c>
      <c r="L582" s="6">
        <f t="shared" si="217"/>
        <v>14.333333333333334</v>
      </c>
      <c r="M582" s="459"/>
      <c r="N582" s="459"/>
      <c r="O582" s="459"/>
      <c r="P582" s="459"/>
      <c r="Q582" s="459"/>
      <c r="R582" s="459"/>
      <c r="S582" s="459"/>
      <c r="T582" s="459"/>
      <c r="U582" s="459"/>
      <c r="V582" s="459"/>
      <c r="W582" s="459"/>
      <c r="X582" s="459"/>
      <c r="Y582" s="459"/>
      <c r="Z582" s="459"/>
      <c r="AA582" s="459"/>
      <c r="AB582" s="459"/>
      <c r="AC582" s="459"/>
      <c r="AD582" s="459"/>
      <c r="AE582" s="459"/>
      <c r="AF582" s="459"/>
    </row>
    <row r="583" spans="1:32">
      <c r="A583" s="525" t="s">
        <v>373</v>
      </c>
      <c r="B583" s="6">
        <f t="shared" si="217"/>
        <v>7.4890710382513666</v>
      </c>
      <c r="C583" s="6">
        <f t="shared" si="217"/>
        <v>7.6</v>
      </c>
      <c r="D583" s="6">
        <f t="shared" si="217"/>
        <v>9.52</v>
      </c>
      <c r="E583" s="6">
        <f t="shared" si="217"/>
        <v>9.9130434782608692</v>
      </c>
      <c r="F583" s="6">
        <f t="shared" si="217"/>
        <v>8.3928571428571423</v>
      </c>
      <c r="G583" s="6">
        <f t="shared" si="217"/>
        <v>12.564102564102564</v>
      </c>
      <c r="H583" s="6">
        <f t="shared" si="217"/>
        <v>4.8730158730158726</v>
      </c>
      <c r="I583" s="6">
        <f t="shared" si="217"/>
        <v>6.4482758620689653</v>
      </c>
      <c r="J583" s="6">
        <f t="shared" si="217"/>
        <v>7.416666666666667</v>
      </c>
      <c r="K583" s="6">
        <f t="shared" si="217"/>
        <v>12</v>
      </c>
      <c r="L583" s="6">
        <f t="shared" si="217"/>
        <v>10.75</v>
      </c>
      <c r="M583" s="459"/>
      <c r="N583" s="459"/>
      <c r="O583" s="459"/>
      <c r="P583" s="459"/>
      <c r="Q583" s="459"/>
      <c r="R583" s="459"/>
      <c r="S583" s="459"/>
      <c r="T583" s="459"/>
      <c r="U583" s="459"/>
      <c r="V583" s="459"/>
      <c r="W583" s="459"/>
      <c r="X583" s="459"/>
      <c r="Y583" s="459"/>
      <c r="Z583" s="459"/>
      <c r="AA583" s="459"/>
      <c r="AB583" s="459"/>
      <c r="AC583" s="459"/>
      <c r="AD583" s="459"/>
      <c r="AE583" s="459"/>
      <c r="AF583" s="459"/>
    </row>
    <row r="584" spans="1:32">
      <c r="A584" s="525" t="s">
        <v>687</v>
      </c>
      <c r="B584" s="6">
        <f t="shared" si="217"/>
        <v>6.7772020725388602</v>
      </c>
      <c r="C584" s="6">
        <f t="shared" si="217"/>
        <v>7.6428571428571432</v>
      </c>
      <c r="D584" s="6">
        <f t="shared" si="217"/>
        <v>8</v>
      </c>
      <c r="E584" s="6">
        <f t="shared" si="217"/>
        <v>7</v>
      </c>
      <c r="F584" s="6">
        <f t="shared" si="217"/>
        <v>8</v>
      </c>
      <c r="G584" s="6">
        <f t="shared" si="217"/>
        <v>10.111111111111111</v>
      </c>
      <c r="H584" s="6">
        <f t="shared" si="217"/>
        <v>5.4545454545454541</v>
      </c>
      <c r="I584" s="6">
        <f t="shared" si="217"/>
        <v>6.1911764705882355</v>
      </c>
      <c r="J584" s="6">
        <f t="shared" si="217"/>
        <v>6.083333333333333</v>
      </c>
      <c r="K584" s="6">
        <f t="shared" si="217"/>
        <v>9.6</v>
      </c>
      <c r="L584" s="6">
        <f t="shared" si="217"/>
        <v>17</v>
      </c>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c r="A585" s="525" t="s">
        <v>688</v>
      </c>
      <c r="B585" s="6">
        <f t="shared" si="217"/>
        <v>6.2792792792792795</v>
      </c>
      <c r="C585" s="6">
        <f t="shared" si="217"/>
        <v>6.4444444444444446</v>
      </c>
      <c r="D585" s="6">
        <f t="shared" si="217"/>
        <v>5.2142857142857144</v>
      </c>
      <c r="E585" s="6">
        <f t="shared" si="217"/>
        <v>6.4285714285714288</v>
      </c>
      <c r="F585" s="6">
        <f t="shared" si="217"/>
        <v>9.1428571428571423</v>
      </c>
      <c r="G585" s="6">
        <f t="shared" si="217"/>
        <v>6.8571428571428568</v>
      </c>
      <c r="H585" s="6">
        <f t="shared" si="217"/>
        <v>5.5454545454545459</v>
      </c>
      <c r="I585" s="6">
        <f t="shared" si="217"/>
        <v>5.166666666666667</v>
      </c>
      <c r="J585" s="6">
        <f t="shared" si="217"/>
        <v>5.3793103448275863</v>
      </c>
      <c r="K585" s="6">
        <f t="shared" si="217"/>
        <v>12.333333333333334</v>
      </c>
      <c r="L585" s="6">
        <f t="shared" si="217"/>
        <v>15.5</v>
      </c>
      <c r="M585" s="459"/>
      <c r="N585" s="459"/>
      <c r="O585" s="459"/>
      <c r="P585" s="459"/>
      <c r="Q585" s="459"/>
      <c r="R585" s="459"/>
      <c r="S585" s="459"/>
      <c r="T585" s="459"/>
      <c r="U585" s="459"/>
      <c r="V585" s="459"/>
      <c r="W585" s="459"/>
      <c r="X585" s="459"/>
      <c r="Y585" s="459"/>
      <c r="Z585" s="459"/>
      <c r="AA585" s="459"/>
      <c r="AB585" s="459"/>
      <c r="AC585" s="459"/>
      <c r="AD585" s="459"/>
      <c r="AE585" s="459"/>
      <c r="AF585" s="459"/>
    </row>
    <row r="586" spans="1:32">
      <c r="A586" s="525" t="s">
        <v>689</v>
      </c>
      <c r="B586" s="6">
        <f t="shared" si="217"/>
        <v>7.9655172413793105</v>
      </c>
      <c r="C586" s="6">
        <f t="shared" si="217"/>
        <v>9.1666666666666661</v>
      </c>
      <c r="D586" s="6">
        <f t="shared" si="217"/>
        <v>12</v>
      </c>
      <c r="E586" s="6">
        <f t="shared" si="217"/>
        <v>3</v>
      </c>
      <c r="F586" s="6">
        <f t="shared" si="217"/>
        <v>6</v>
      </c>
      <c r="G586" s="6">
        <f t="shared" si="217"/>
        <v>8.6666666666666661</v>
      </c>
      <c r="H586" s="6">
        <f t="shared" si="217"/>
        <v>6.375</v>
      </c>
      <c r="I586" s="6">
        <f t="shared" si="217"/>
        <v>6.25</v>
      </c>
      <c r="J586" s="6">
        <f t="shared" si="217"/>
        <v>2.5</v>
      </c>
      <c r="K586" s="6">
        <f t="shared" si="217"/>
        <v>13.5</v>
      </c>
      <c r="L586" s="6">
        <f t="shared" si="217"/>
        <v>15</v>
      </c>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527" t="s">
        <v>690</v>
      </c>
      <c r="B587" s="516">
        <f t="shared" si="217"/>
        <v>13.75609756097561</v>
      </c>
      <c r="C587" s="516">
        <f t="shared" si="217"/>
        <v>16</v>
      </c>
      <c r="D587" s="516">
        <f t="shared" si="217"/>
        <v>11.5</v>
      </c>
      <c r="E587" s="516">
        <f t="shared" si="217"/>
        <v>9</v>
      </c>
      <c r="F587" s="516">
        <f t="shared" si="217"/>
        <v>16</v>
      </c>
      <c r="G587" s="516">
        <f t="shared" si="217"/>
        <v>16.666666666666668</v>
      </c>
      <c r="H587" s="516">
        <f t="shared" si="217"/>
        <v>15.4</v>
      </c>
      <c r="I587" s="516">
        <f t="shared" si="217"/>
        <v>11.666666666666666</v>
      </c>
      <c r="J587" s="516">
        <f t="shared" si="217"/>
        <v>10</v>
      </c>
      <c r="K587" s="516">
        <f t="shared" si="217"/>
        <v>15</v>
      </c>
      <c r="L587" s="516">
        <f t="shared" si="217"/>
        <v>13.64</v>
      </c>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c r="A588" s="459" t="s">
        <v>739</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c r="AC589" s="459"/>
      <c r="AD589" s="459"/>
      <c r="AE589" s="459"/>
      <c r="AF589" s="459"/>
    </row>
    <row r="590" spans="1:32">
      <c r="A590" s="459"/>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c r="AC590" s="459"/>
      <c r="AD590" s="459"/>
      <c r="AE590" s="459"/>
      <c r="AF590" s="459"/>
    </row>
    <row r="591" spans="1:32">
      <c r="A591" s="459"/>
      <c r="B591" s="459"/>
      <c r="C591" s="459"/>
      <c r="D591" s="459"/>
      <c r="E591" s="459"/>
      <c r="F591" s="459"/>
      <c r="G591" s="459"/>
      <c r="H591" s="459"/>
      <c r="I591" s="459"/>
      <c r="J591" s="459"/>
      <c r="K591" s="459"/>
      <c r="L591" s="459"/>
      <c r="M591" s="459"/>
      <c r="N591" s="459"/>
      <c r="O591" s="459"/>
      <c r="P591" s="459"/>
      <c r="Q591" s="459"/>
      <c r="R591" s="459"/>
      <c r="S591" s="459"/>
      <c r="T591" s="459"/>
      <c r="U591" s="459"/>
      <c r="V591" s="459"/>
      <c r="W591" s="459"/>
      <c r="X591" s="459"/>
      <c r="Y591" s="459"/>
      <c r="Z591" s="459"/>
      <c r="AA591" s="459"/>
      <c r="AB591" s="459"/>
      <c r="AC591" s="459"/>
      <c r="AD591" s="459"/>
      <c r="AE591" s="459"/>
      <c r="AF591" s="459"/>
    </row>
    <row r="592" spans="1:32">
      <c r="A592" s="132" t="s">
        <v>698</v>
      </c>
      <c r="B592" s="835" t="s">
        <v>699</v>
      </c>
      <c r="C592" s="835"/>
      <c r="D592" s="835"/>
      <c r="E592" s="835"/>
      <c r="F592" s="835"/>
      <c r="G592" s="459"/>
      <c r="H592" s="459"/>
      <c r="I592" s="459"/>
      <c r="J592" s="459"/>
      <c r="K592" s="459"/>
      <c r="L592" s="459"/>
      <c r="M592" s="459"/>
      <c r="N592" s="459"/>
      <c r="O592" s="459"/>
      <c r="P592" s="459"/>
      <c r="Q592" s="459"/>
      <c r="R592" s="459"/>
      <c r="S592" s="459"/>
      <c r="T592" s="459"/>
      <c r="U592" s="459"/>
      <c r="V592" s="459"/>
      <c r="W592" s="459"/>
      <c r="X592" s="459"/>
      <c r="Y592" s="459"/>
      <c r="Z592" s="459"/>
      <c r="AA592" s="459"/>
      <c r="AB592" s="459"/>
      <c r="AC592" s="459"/>
      <c r="AD592" s="459"/>
      <c r="AE592" s="459"/>
      <c r="AF592" s="459"/>
    </row>
    <row r="593" spans="1:32">
      <c r="A593" s="529" t="s">
        <v>682</v>
      </c>
      <c r="B593" s="459" t="s">
        <v>396</v>
      </c>
      <c r="C593" s="459" t="s">
        <v>395</v>
      </c>
      <c r="D593" s="459" t="s">
        <v>397</v>
      </c>
      <c r="E593" s="459" t="s">
        <v>394</v>
      </c>
      <c r="F593" s="459" t="s">
        <v>391</v>
      </c>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532" t="s">
        <v>683</v>
      </c>
      <c r="B594" s="459" t="s">
        <v>392</v>
      </c>
      <c r="C594" s="459" t="s">
        <v>393</v>
      </c>
      <c r="D594" s="459" t="s">
        <v>390</v>
      </c>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534" t="s">
        <v>684</v>
      </c>
      <c r="B595" s="459" t="s">
        <v>384</v>
      </c>
      <c r="C595" s="459" t="s">
        <v>388</v>
      </c>
      <c r="D595" s="459" t="s">
        <v>387</v>
      </c>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3" t="s">
        <v>685</v>
      </c>
      <c r="B596" s="459" t="s">
        <v>372</v>
      </c>
      <c r="C596" s="459" t="s">
        <v>375</v>
      </c>
      <c r="D596" s="459" t="s">
        <v>382</v>
      </c>
      <c r="E596" s="459" t="s">
        <v>389</v>
      </c>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537" t="s">
        <v>686</v>
      </c>
      <c r="B597" s="459" t="s">
        <v>386</v>
      </c>
      <c r="C597" s="459" t="s">
        <v>385</v>
      </c>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c r="A598" s="459" t="s">
        <v>373</v>
      </c>
      <c r="B598" s="459" t="s">
        <v>373</v>
      </c>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c r="AD598" s="459"/>
      <c r="AE598" s="459"/>
      <c r="AF598" s="459"/>
    </row>
    <row r="599" spans="1:32">
      <c r="A599" s="539" t="s">
        <v>687</v>
      </c>
      <c r="B599" s="459" t="s">
        <v>374</v>
      </c>
      <c r="C599" s="459" t="s">
        <v>379</v>
      </c>
      <c r="D599" s="459" t="s">
        <v>700</v>
      </c>
      <c r="E599" s="459" t="s">
        <v>378</v>
      </c>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540" t="s">
        <v>688</v>
      </c>
      <c r="B600" s="458" t="s">
        <v>376</v>
      </c>
      <c r="C600" s="458" t="s">
        <v>380</v>
      </c>
      <c r="D600" s="458" t="s">
        <v>701</v>
      </c>
      <c r="E600" s="458" t="s">
        <v>381</v>
      </c>
      <c r="F600" s="458"/>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c r="A601" s="459"/>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459"/>
      <c r="B602" s="459"/>
      <c r="C602" s="459"/>
      <c r="D602" s="459"/>
      <c r="E602" s="459"/>
      <c r="F602" s="459"/>
      <c r="G602" s="459"/>
      <c r="H602" s="459"/>
      <c r="I602" s="459"/>
      <c r="J602" s="459"/>
      <c r="K602" s="459"/>
      <c r="L602" s="459"/>
      <c r="M602" s="459"/>
      <c r="N602" s="459"/>
      <c r="O602" s="459"/>
      <c r="P602" s="459"/>
      <c r="Q602" s="459"/>
      <c r="R602" s="459"/>
      <c r="S602" s="459"/>
      <c r="T602" s="459"/>
      <c r="U602" s="459"/>
      <c r="V602" s="459"/>
      <c r="W602" s="459"/>
      <c r="X602" s="459"/>
      <c r="Y602" s="459"/>
      <c r="Z602" s="459"/>
      <c r="AA602" s="459"/>
      <c r="AB602" s="459"/>
      <c r="AC602" s="459"/>
      <c r="AD602" s="459"/>
      <c r="AE602" s="459"/>
      <c r="AF602" s="459"/>
    </row>
    <row r="603" spans="1:32">
      <c r="A603" s="459"/>
      <c r="B603" s="459"/>
      <c r="C603" s="459"/>
      <c r="D603" s="459"/>
      <c r="E603" s="459"/>
      <c r="F603" s="459"/>
      <c r="G603" s="459"/>
      <c r="H603" s="459"/>
      <c r="I603" s="459"/>
      <c r="J603" s="459"/>
      <c r="K603" s="459"/>
      <c r="L603" s="459"/>
      <c r="M603" s="459"/>
      <c r="N603" s="459"/>
      <c r="O603" s="459"/>
      <c r="P603" s="459"/>
      <c r="Q603" s="459"/>
      <c r="R603" s="459"/>
      <c r="S603" s="459"/>
      <c r="T603" s="459"/>
      <c r="U603" s="459"/>
      <c r="V603" s="459"/>
      <c r="W603" s="459"/>
      <c r="X603" s="459"/>
      <c r="Y603" s="459"/>
      <c r="Z603" s="459"/>
      <c r="AA603" s="459"/>
      <c r="AB603" s="459"/>
      <c r="AC603" s="459"/>
      <c r="AD603" s="459"/>
      <c r="AE603" s="459"/>
      <c r="AF603" s="459"/>
    </row>
    <row r="604" spans="1:32">
      <c r="A604" s="459"/>
      <c r="B604" s="459"/>
      <c r="C604" s="459"/>
      <c r="D604" s="459"/>
      <c r="E604" s="459"/>
      <c r="F604" s="459"/>
      <c r="G604" s="459"/>
      <c r="H604" s="459"/>
      <c r="I604" s="459"/>
      <c r="J604" s="459"/>
      <c r="K604" s="459"/>
      <c r="L604" s="459"/>
      <c r="M604" s="459"/>
      <c r="N604" s="459"/>
      <c r="O604" s="459"/>
      <c r="P604" s="459"/>
      <c r="Q604" s="459"/>
      <c r="R604" s="459"/>
      <c r="S604" s="459"/>
      <c r="T604" s="459"/>
      <c r="U604" s="459"/>
      <c r="V604" s="459"/>
      <c r="W604" s="459"/>
      <c r="X604" s="459"/>
      <c r="Y604" s="459"/>
      <c r="Z604" s="459"/>
      <c r="AA604" s="459"/>
      <c r="AB604" s="459"/>
      <c r="AC604" s="459"/>
      <c r="AD604" s="459"/>
      <c r="AE604" s="459"/>
      <c r="AF604" s="459"/>
    </row>
    <row r="605" spans="1:32" ht="15.6">
      <c r="A605" s="401" t="s">
        <v>737</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c r="A606" s="132"/>
      <c r="B606" s="132" t="s">
        <v>64</v>
      </c>
      <c r="C606" s="132" t="str">
        <f>C504</f>
        <v>IE</v>
      </c>
      <c r="D606" s="132" t="str">
        <f t="shared" ref="D606:AC606" si="218">D504</f>
        <v>IE-CW</v>
      </c>
      <c r="E606" s="132" t="str">
        <f t="shared" si="218"/>
        <v>IE-D</v>
      </c>
      <c r="F606" s="132" t="str">
        <f t="shared" si="218"/>
        <v>IE-KE</v>
      </c>
      <c r="G606" s="132" t="str">
        <f t="shared" si="218"/>
        <v>IE-KK</v>
      </c>
      <c r="H606" s="132" t="str">
        <f t="shared" si="218"/>
        <v>IE-LS</v>
      </c>
      <c r="I606" s="132" t="str">
        <f t="shared" si="218"/>
        <v>IE-LD</v>
      </c>
      <c r="J606" s="132" t="str">
        <f t="shared" si="218"/>
        <v>IE-LH</v>
      </c>
      <c r="K606" s="132" t="str">
        <f t="shared" si="218"/>
        <v>IE-MH</v>
      </c>
      <c r="L606" s="132" t="str">
        <f t="shared" si="218"/>
        <v>IE-OY</v>
      </c>
      <c r="M606" s="132" t="str">
        <f t="shared" si="218"/>
        <v>IE-WH</v>
      </c>
      <c r="N606" s="132" t="str">
        <f t="shared" si="218"/>
        <v>IE-WX</v>
      </c>
      <c r="O606" s="132" t="str">
        <f t="shared" si="218"/>
        <v>IE-WW</v>
      </c>
      <c r="P606" s="132" t="str">
        <f t="shared" si="218"/>
        <v>IE-CE</v>
      </c>
      <c r="Q606" s="132" t="str">
        <f t="shared" si="218"/>
        <v>IE-CO</v>
      </c>
      <c r="R606" s="132" t="str">
        <f t="shared" si="218"/>
        <v>IE-KY</v>
      </c>
      <c r="S606" s="132" t="str">
        <f t="shared" si="218"/>
        <v>IE-LK</v>
      </c>
      <c r="T606" s="132" t="str">
        <f t="shared" si="218"/>
        <v>IE-TA</v>
      </c>
      <c r="U606" s="132" t="str">
        <f t="shared" si="218"/>
        <v>IE-WD</v>
      </c>
      <c r="V606" s="132" t="str">
        <f t="shared" si="218"/>
        <v>IE-G</v>
      </c>
      <c r="W606" s="132" t="str">
        <f t="shared" si="218"/>
        <v>IE-LM</v>
      </c>
      <c r="X606" s="132" t="str">
        <f t="shared" si="218"/>
        <v>IE-MO</v>
      </c>
      <c r="Y606" s="132" t="str">
        <f t="shared" si="218"/>
        <v>IE-RN</v>
      </c>
      <c r="Z606" s="132" t="str">
        <f t="shared" si="218"/>
        <v>IE-SO</v>
      </c>
      <c r="AA606" s="132" t="str">
        <f t="shared" si="218"/>
        <v>IE-CN</v>
      </c>
      <c r="AB606" s="132" t="str">
        <f t="shared" si="218"/>
        <v>IE-DL</v>
      </c>
      <c r="AC606" s="132" t="str">
        <f t="shared" si="218"/>
        <v>IE-MN</v>
      </c>
      <c r="AD606" s="459"/>
      <c r="AE606" s="459"/>
      <c r="AF606" s="459"/>
    </row>
    <row r="607" spans="1:32">
      <c r="A607" s="459" t="s">
        <v>398</v>
      </c>
      <c r="B607" s="459" t="s">
        <v>704</v>
      </c>
      <c r="C607" s="542">
        <f t="shared" ref="C607:AC607" si="219">B184</f>
        <v>4857000.0000000037</v>
      </c>
      <c r="D607" s="542">
        <f t="shared" si="219"/>
        <v>58069.41691963128</v>
      </c>
      <c r="E607" s="542">
        <f t="shared" si="219"/>
        <v>1374277.23444491</v>
      </c>
      <c r="F607" s="542">
        <f t="shared" si="219"/>
        <v>226949.29990665423</v>
      </c>
      <c r="G607" s="542">
        <f t="shared" si="219"/>
        <v>101214.50818114332</v>
      </c>
      <c r="H607" s="542">
        <f t="shared" si="219"/>
        <v>86389.120439155668</v>
      </c>
      <c r="I607" s="542">
        <f t="shared" si="219"/>
        <v>41689.581918009018</v>
      </c>
      <c r="J607" s="542">
        <f t="shared" si="219"/>
        <v>131458.91116190821</v>
      </c>
      <c r="K607" s="542">
        <f t="shared" si="219"/>
        <v>198940.68983476012</v>
      </c>
      <c r="L607" s="542">
        <f t="shared" si="219"/>
        <v>79518.545149851998</v>
      </c>
      <c r="M607" s="542">
        <f t="shared" si="219"/>
        <v>90543.492938166033</v>
      </c>
      <c r="N607" s="542">
        <f t="shared" si="219"/>
        <v>152713.2234954162</v>
      </c>
      <c r="O607" s="542">
        <f t="shared" si="219"/>
        <v>145270.44025817615</v>
      </c>
      <c r="P607" s="542">
        <f t="shared" si="219"/>
        <v>121190.78743307506</v>
      </c>
      <c r="Q607" s="542">
        <f t="shared" si="219"/>
        <v>553713.69746937393</v>
      </c>
      <c r="R607" s="542">
        <f t="shared" si="219"/>
        <v>150657.96678402266</v>
      </c>
      <c r="S607" s="542">
        <f t="shared" si="219"/>
        <v>198792.79294982113</v>
      </c>
      <c r="T607" s="542">
        <f t="shared" si="219"/>
        <v>162740.63229427967</v>
      </c>
      <c r="U607" s="542">
        <f t="shared" si="219"/>
        <v>118497.02417015182</v>
      </c>
      <c r="V607" s="542">
        <f t="shared" si="219"/>
        <v>263213.61609369441</v>
      </c>
      <c r="W607" s="542">
        <f t="shared" si="219"/>
        <v>32684.191592999803</v>
      </c>
      <c r="X607" s="542">
        <f t="shared" si="219"/>
        <v>133114.33629470808</v>
      </c>
      <c r="Y607" s="542">
        <f t="shared" si="219"/>
        <v>65833.493389669806</v>
      </c>
      <c r="Z607" s="542">
        <f t="shared" si="219"/>
        <v>66844.292099839033</v>
      </c>
      <c r="AA607" s="542">
        <f t="shared" si="219"/>
        <v>77697.883497327202</v>
      </c>
      <c r="AB607" s="542">
        <f t="shared" si="219"/>
        <v>162372.42004970741</v>
      </c>
      <c r="AC607" s="542">
        <f t="shared" si="219"/>
        <v>62612.401233550299</v>
      </c>
      <c r="AD607" s="459"/>
      <c r="AE607" s="459"/>
      <c r="AF607" s="459"/>
    </row>
    <row r="608" spans="1:32">
      <c r="A608" s="459" t="s">
        <v>705</v>
      </c>
      <c r="B608" s="1" t="s">
        <v>738</v>
      </c>
      <c r="C608" s="6">
        <f>AVERAGE(D608:AC608)</f>
        <v>2.0735370339862342</v>
      </c>
      <c r="D608" s="6">
        <f>F577*D607/(D607+G607+N607+U607)</f>
        <v>1.0074073345394272</v>
      </c>
      <c r="E608" s="6">
        <f>H577</f>
        <v>6.1033519553072626</v>
      </c>
      <c r="F608" s="6">
        <f>I577*F607/(F607+J607+K607+O607)</f>
        <v>2.1298117751579788</v>
      </c>
      <c r="G608" s="6">
        <f>F577*G607/(D607+G607+N607+U607)</f>
        <v>1.7559025613190551</v>
      </c>
      <c r="H608" s="6">
        <f>J577*H607/(H607+I607+L607+M607)</f>
        <v>1.7704573038305462</v>
      </c>
      <c r="I608" s="6">
        <f>J577*I607/(H607+I607+L607+M607)</f>
        <v>0.85438564978058162</v>
      </c>
      <c r="J608" s="6">
        <f>I577*J607/(F607+J607+K607+O607)</f>
        <v>1.2336796679136599</v>
      </c>
      <c r="K608" s="6">
        <f>I577*K607/(F607+J607+K607+O607)</f>
        <v>1.8669642247955669</v>
      </c>
      <c r="L608" s="6">
        <f>J577*L607/(H607+I607+L607+M607)</f>
        <v>1.6296518396629538</v>
      </c>
      <c r="M608" s="6">
        <f>J577*M607/(H607+I607+L607+M607)</f>
        <v>1.8555969498451843</v>
      </c>
      <c r="N608" s="6">
        <f>F577*N607/(D607+G607+N607+U607)</f>
        <v>2.6493192043475045</v>
      </c>
      <c r="O608" s="6">
        <f>I577*O607/(F607+J607+K607+O607)</f>
        <v>1.3632943321327937</v>
      </c>
      <c r="P608" s="6">
        <f>E577*P607/(P607+S607+T607)</f>
        <v>1.6538310928879769</v>
      </c>
      <c r="Q608" s="6">
        <f>G577*Q607/(Q607+R607)</f>
        <v>6.344046627810159</v>
      </c>
      <c r="R608" s="6">
        <f>G577*R607/(Q607+R607)</f>
        <v>1.7261288107863333</v>
      </c>
      <c r="S608" s="6">
        <f>E577*S607/(P607+S607+T607)</f>
        <v>2.7128275093023206</v>
      </c>
      <c r="T608" s="6">
        <f>E577*T607/(P607+S607+T607)</f>
        <v>2.2208413978097026</v>
      </c>
      <c r="U608" s="6">
        <f>F577*U607/(D607+G607+N607+U607)</f>
        <v>2.0557253301737597</v>
      </c>
      <c r="V608" s="6">
        <f>D577*V607/(V607+X607+Y607)</f>
        <v>3.6109620483763902</v>
      </c>
      <c r="W608" s="6">
        <f>C577*W607/(W607+Z607+AA607+AB607+AC607)</f>
        <v>0.53944980901537942</v>
      </c>
      <c r="X608" s="6">
        <f>D577*X607/(V607+X607+Y607)</f>
        <v>1.8261624287852249</v>
      </c>
      <c r="Y608" s="6">
        <f>D577*Y607/(V607+X607+Y607)</f>
        <v>0.90315330061616272</v>
      </c>
      <c r="Z608" s="6">
        <f>C577*Z607/(W607+Z607+AA607+AB607+AC607)</f>
        <v>1.1032593694240072</v>
      </c>
      <c r="AA608" s="6">
        <f>C577*AA607/(W607+Z607+AA607+AB607+AC607)</f>
        <v>1.2823969745211439</v>
      </c>
      <c r="AB608" s="6">
        <f>C577*AB607/(W607+Z607+AA607+AB607+AC607)</f>
        <v>2.6799430157525985</v>
      </c>
      <c r="AC608" s="6">
        <f>C577*AC607/(W607+Z607+AA607+AB607+AC607)</f>
        <v>1.0334123697484108</v>
      </c>
      <c r="AD608" s="459"/>
      <c r="AE608" s="459"/>
      <c r="AF608" s="459"/>
    </row>
    <row r="609" spans="1:32">
      <c r="A609" s="459" t="s">
        <v>706</v>
      </c>
      <c r="B609" s="1" t="s">
        <v>738</v>
      </c>
      <c r="C609" s="6">
        <f>AVERAGE(D609:AC609)</f>
        <v>0.96961861667744009</v>
      </c>
      <c r="D609" s="6">
        <f>(K577+L577)*D607/C607</f>
        <v>0.30140722263266173</v>
      </c>
      <c r="E609" s="6">
        <f>(K577+L577)*E607/C607</f>
        <v>7.1331366205143176</v>
      </c>
      <c r="F609" s="6">
        <f>(K577+L577)*F607/C607</f>
        <v>1.1779721890089541</v>
      </c>
      <c r="G609" s="6">
        <f>(K577+L577)*G607/C607</f>
        <v>0.52535026902768722</v>
      </c>
      <c r="H609" s="6">
        <f>(K577+L577)*H607/C607</f>
        <v>0.44839962648982212</v>
      </c>
      <c r="I609" s="6">
        <f>(K577+L577)*I607/C607</f>
        <v>0.21638827743035172</v>
      </c>
      <c r="J609" s="6">
        <f>(K577+L577)*J607/C607</f>
        <v>0.68233275630204415</v>
      </c>
      <c r="K609" s="6">
        <f>(K577+L577)*K607/C607</f>
        <v>1.0325945045170533</v>
      </c>
      <c r="L609" s="6">
        <f>(K577+L577)*L607/C607</f>
        <v>0.41273815224592386</v>
      </c>
      <c r="M609" s="6">
        <f>(K577+L577)*M607/C607</f>
        <v>0.46996274771835495</v>
      </c>
      <c r="N609" s="6">
        <f>(K577+L577)*N607/C607</f>
        <v>0.79265250100132401</v>
      </c>
      <c r="O609" s="6">
        <f>(K577+L577)*O607/C607</f>
        <v>0.75402100195771871</v>
      </c>
      <c r="P609" s="6">
        <f>(K577+L577)*P607/C607</f>
        <v>0.6290364289247693</v>
      </c>
      <c r="Q609" s="6">
        <f>(K577+L577)*Q607/C607</f>
        <v>2.8740310569828535</v>
      </c>
      <c r="R609" s="6">
        <f>(K577+L577)*R607/C607</f>
        <v>0.78198476486690383</v>
      </c>
      <c r="S609" s="6">
        <f>(K577+L577)*S607/C607</f>
        <v>1.0318268510483233</v>
      </c>
      <c r="T609" s="6">
        <f>(K577+L577)*T607/C607</f>
        <v>0.84469940618121753</v>
      </c>
      <c r="U609" s="6">
        <f>(K577+L577)*U607/C607</f>
        <v>0.61505454747017685</v>
      </c>
      <c r="V609" s="6">
        <f>(K577+L577)*V607/C607</f>
        <v>1.3662008195415483</v>
      </c>
      <c r="W609" s="6">
        <f>(K577+L577)*W607/C607</f>
        <v>0.16964612242747509</v>
      </c>
      <c r="X609" s="6">
        <f>(K577+L577)*X607/C607</f>
        <v>0.6909251809899668</v>
      </c>
      <c r="Y609" s="6">
        <f>(K577+L577)*Y607/C607</f>
        <v>0.3417063826600597</v>
      </c>
      <c r="Z609" s="6">
        <f>(K577+L577)*Z607/C607</f>
        <v>0.34695289705669019</v>
      </c>
      <c r="AA609" s="6">
        <f>(K577+L577)*AA607/C607</f>
        <v>0.40328807333776506</v>
      </c>
      <c r="AB609" s="6">
        <f>(K577+L577)*AB607/C607</f>
        <v>0.8427882137521725</v>
      </c>
      <c r="AC609" s="6">
        <f>(K577+L577)*AC607/C607</f>
        <v>0.32498741952730581</v>
      </c>
      <c r="AD609" s="459"/>
      <c r="AE609" s="459"/>
      <c r="AF609" s="459"/>
    </row>
    <row r="610" spans="1:32">
      <c r="A610" s="458" t="s">
        <v>707</v>
      </c>
      <c r="B610" s="458" t="s">
        <v>738</v>
      </c>
      <c r="C610" s="516">
        <f>AVERAGE(C608:C609)</f>
        <v>1.5215778253318373</v>
      </c>
      <c r="D610" s="516">
        <f>D608+D609</f>
        <v>1.3088145571720888</v>
      </c>
      <c r="E610" s="516">
        <f>E608+E609</f>
        <v>13.23648857582158</v>
      </c>
      <c r="F610" s="516">
        <f t="shared" ref="F610:AC610" si="220">F608+F609</f>
        <v>3.3077839641669327</v>
      </c>
      <c r="G610" s="516">
        <f t="shared" si="220"/>
        <v>2.2812528303467423</v>
      </c>
      <c r="H610" s="516">
        <f t="shared" si="220"/>
        <v>2.2188569303203685</v>
      </c>
      <c r="I610" s="516">
        <f t="shared" si="220"/>
        <v>1.0707739272109333</v>
      </c>
      <c r="J610" s="516">
        <f t="shared" si="220"/>
        <v>1.9160124242157042</v>
      </c>
      <c r="K610" s="516">
        <f t="shared" si="220"/>
        <v>2.8995587293126199</v>
      </c>
      <c r="L610" s="516">
        <f t="shared" si="220"/>
        <v>2.0423899919088777</v>
      </c>
      <c r="M610" s="516">
        <f t="shared" si="220"/>
        <v>2.3255596975635391</v>
      </c>
      <c r="N610" s="516">
        <f t="shared" si="220"/>
        <v>3.4419717053488283</v>
      </c>
      <c r="O610" s="516">
        <f t="shared" si="220"/>
        <v>2.1173153340905122</v>
      </c>
      <c r="P610" s="516">
        <f t="shared" si="220"/>
        <v>2.2828675218127463</v>
      </c>
      <c r="Q610" s="516">
        <f t="shared" si="220"/>
        <v>9.2180776847930126</v>
      </c>
      <c r="R610" s="516">
        <f t="shared" si="220"/>
        <v>2.5081135756532369</v>
      </c>
      <c r="S610" s="516">
        <f t="shared" si="220"/>
        <v>3.7446543603506441</v>
      </c>
      <c r="T610" s="516">
        <f t="shared" si="220"/>
        <v>3.06554080399092</v>
      </c>
      <c r="U610" s="516">
        <f t="shared" si="220"/>
        <v>2.6707798776439367</v>
      </c>
      <c r="V610" s="516">
        <f t="shared" si="220"/>
        <v>4.9771628679179383</v>
      </c>
      <c r="W610" s="516">
        <f t="shared" si="220"/>
        <v>0.70909593144285454</v>
      </c>
      <c r="X610" s="516">
        <f t="shared" si="220"/>
        <v>2.5170876097751917</v>
      </c>
      <c r="Y610" s="516">
        <f t="shared" si="220"/>
        <v>1.2448596832762224</v>
      </c>
      <c r="Z610" s="516">
        <f t="shared" si="220"/>
        <v>1.4502122664806973</v>
      </c>
      <c r="AA610" s="516">
        <f t="shared" si="220"/>
        <v>1.6856850478589089</v>
      </c>
      <c r="AB610" s="516">
        <f t="shared" si="220"/>
        <v>3.522731229504771</v>
      </c>
      <c r="AC610" s="516">
        <f t="shared" si="220"/>
        <v>1.3583997892757167</v>
      </c>
      <c r="AD610" s="1"/>
      <c r="AE610" s="459"/>
      <c r="AF610" s="459"/>
    </row>
    <row r="611" spans="1:32">
      <c r="A611" s="21" t="s">
        <v>708</v>
      </c>
      <c r="B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c r="B612" s="459"/>
      <c r="C612" s="459"/>
      <c r="D612" s="388"/>
      <c r="E612" s="388"/>
      <c r="F612" s="388"/>
      <c r="G612" s="388"/>
      <c r="H612" s="388"/>
      <c r="I612" s="388"/>
      <c r="J612" s="388"/>
      <c r="K612" s="388"/>
      <c r="L612" s="388"/>
      <c r="M612" s="388"/>
      <c r="N612" s="388"/>
      <c r="O612" s="388"/>
      <c r="P612" s="388"/>
      <c r="Q612" s="388"/>
      <c r="R612" s="388"/>
      <c r="S612" s="388"/>
      <c r="T612" s="388"/>
      <c r="U612" s="388"/>
      <c r="V612" s="388"/>
      <c r="W612" s="388"/>
      <c r="X612" s="388"/>
      <c r="Y612" s="388"/>
      <c r="Z612" s="388"/>
      <c r="AA612" s="388"/>
      <c r="AB612" s="388"/>
      <c r="AC612" s="388"/>
      <c r="AD612" s="459"/>
      <c r="AE612" s="459"/>
      <c r="AF612" s="459"/>
    </row>
    <row r="613" spans="1:32" s="459" customFormat="1">
      <c r="D613" s="388"/>
      <c r="E613" s="388"/>
      <c r="F613" s="388"/>
      <c r="G613" s="388"/>
      <c r="H613" s="388"/>
      <c r="I613" s="388"/>
      <c r="J613" s="388"/>
      <c r="K613" s="388"/>
      <c r="L613" s="388"/>
      <c r="M613" s="388"/>
      <c r="N613" s="388"/>
      <c r="O613" s="388"/>
      <c r="P613" s="388"/>
      <c r="Q613" s="388"/>
      <c r="R613" s="388"/>
      <c r="S613" s="388"/>
      <c r="T613" s="388"/>
      <c r="U613" s="388"/>
      <c r="V613" s="388"/>
      <c r="W613" s="388"/>
      <c r="X613" s="388"/>
      <c r="Y613" s="388"/>
      <c r="Z613" s="388"/>
      <c r="AA613" s="388"/>
      <c r="AB613" s="388"/>
      <c r="AC613" s="388"/>
    </row>
    <row r="614" spans="1:32" s="459" customFormat="1">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row>
    <row r="615" spans="1:32" s="459" customFormat="1" ht="15.6">
      <c r="A615" s="401" t="s">
        <v>791</v>
      </c>
    </row>
    <row r="616" spans="1:32" s="459" customFormat="1">
      <c r="A616" s="132"/>
      <c r="B616" s="132" t="s">
        <v>64</v>
      </c>
      <c r="C616" s="132" t="str">
        <f>C606</f>
        <v>IE</v>
      </c>
      <c r="D616" s="132" t="str">
        <f t="shared" ref="D616:AC616" si="221">D606</f>
        <v>IE-CW</v>
      </c>
      <c r="E616" s="132" t="str">
        <f t="shared" si="221"/>
        <v>IE-D</v>
      </c>
      <c r="F616" s="132" t="str">
        <f t="shared" si="221"/>
        <v>IE-KE</v>
      </c>
      <c r="G616" s="132" t="str">
        <f t="shared" si="221"/>
        <v>IE-KK</v>
      </c>
      <c r="H616" s="132" t="str">
        <f t="shared" si="221"/>
        <v>IE-LS</v>
      </c>
      <c r="I616" s="132" t="str">
        <f t="shared" si="221"/>
        <v>IE-LD</v>
      </c>
      <c r="J616" s="132" t="str">
        <f t="shared" si="221"/>
        <v>IE-LH</v>
      </c>
      <c r="K616" s="132" t="str">
        <f t="shared" si="221"/>
        <v>IE-MH</v>
      </c>
      <c r="L616" s="132" t="str">
        <f t="shared" si="221"/>
        <v>IE-OY</v>
      </c>
      <c r="M616" s="132" t="str">
        <f t="shared" si="221"/>
        <v>IE-WH</v>
      </c>
      <c r="N616" s="132" t="str">
        <f t="shared" si="221"/>
        <v>IE-WX</v>
      </c>
      <c r="O616" s="132" t="str">
        <f t="shared" si="221"/>
        <v>IE-WW</v>
      </c>
      <c r="P616" s="132" t="str">
        <f t="shared" si="221"/>
        <v>IE-CE</v>
      </c>
      <c r="Q616" s="132" t="str">
        <f t="shared" si="221"/>
        <v>IE-CO</v>
      </c>
      <c r="R616" s="132" t="str">
        <f t="shared" si="221"/>
        <v>IE-KY</v>
      </c>
      <c r="S616" s="132" t="str">
        <f t="shared" si="221"/>
        <v>IE-LK</v>
      </c>
      <c r="T616" s="132" t="str">
        <f t="shared" si="221"/>
        <v>IE-TA</v>
      </c>
      <c r="U616" s="132" t="str">
        <f t="shared" si="221"/>
        <v>IE-WD</v>
      </c>
      <c r="V616" s="132" t="str">
        <f t="shared" si="221"/>
        <v>IE-G</v>
      </c>
      <c r="W616" s="132" t="str">
        <f t="shared" si="221"/>
        <v>IE-LM</v>
      </c>
      <c r="X616" s="132" t="str">
        <f t="shared" si="221"/>
        <v>IE-MO</v>
      </c>
      <c r="Y616" s="132" t="str">
        <f t="shared" si="221"/>
        <v>IE-RN</v>
      </c>
      <c r="Z616" s="132" t="str">
        <f t="shared" si="221"/>
        <v>IE-SO</v>
      </c>
      <c r="AA616" s="132" t="str">
        <f t="shared" si="221"/>
        <v>IE-CN</v>
      </c>
      <c r="AB616" s="132" t="str">
        <f t="shared" si="221"/>
        <v>IE-DL</v>
      </c>
      <c r="AC616" s="132" t="str">
        <f t="shared" si="221"/>
        <v>IE-MN</v>
      </c>
    </row>
    <row r="617" spans="1:32" s="459" customFormat="1">
      <c r="A617" s="459" t="s">
        <v>792</v>
      </c>
      <c r="B617" s="459" t="s">
        <v>219</v>
      </c>
      <c r="C617" s="459">
        <v>7891</v>
      </c>
      <c r="D617" s="459">
        <v>129</v>
      </c>
      <c r="E617" s="459">
        <v>1769</v>
      </c>
      <c r="F617" s="459">
        <v>378</v>
      </c>
      <c r="G617" s="459">
        <v>189</v>
      </c>
      <c r="H617" s="459">
        <v>140</v>
      </c>
      <c r="I617" s="459">
        <v>88</v>
      </c>
      <c r="J617" s="459">
        <v>188</v>
      </c>
      <c r="K617" s="459">
        <v>357</v>
      </c>
      <c r="L617" s="459">
        <v>139</v>
      </c>
      <c r="M617" s="459">
        <v>174</v>
      </c>
      <c r="N617" s="459">
        <v>334</v>
      </c>
      <c r="O617" s="459">
        <v>200</v>
      </c>
      <c r="P617" s="459">
        <v>198</v>
      </c>
      <c r="Q617" s="459">
        <v>879</v>
      </c>
      <c r="R617" s="459">
        <v>245</v>
      </c>
      <c r="S617" s="459">
        <v>322</v>
      </c>
      <c r="T617" s="459">
        <v>302</v>
      </c>
      <c r="U617" s="459">
        <v>163</v>
      </c>
      <c r="V617" s="459">
        <v>429</v>
      </c>
      <c r="W617" s="459">
        <v>70</v>
      </c>
      <c r="X617" s="459">
        <v>271</v>
      </c>
      <c r="Y617" s="459">
        <v>138</v>
      </c>
      <c r="Z617" s="459">
        <v>121</v>
      </c>
      <c r="AA617" s="459">
        <v>178</v>
      </c>
      <c r="AB617" s="459">
        <v>289</v>
      </c>
      <c r="AC617" s="459">
        <v>199</v>
      </c>
    </row>
    <row r="618" spans="1:32" s="459" customFormat="1">
      <c r="A618" s="459" t="s">
        <v>793</v>
      </c>
      <c r="B618" s="1" t="s">
        <v>92</v>
      </c>
      <c r="C618" s="135">
        <f>C508</f>
        <v>11536.999999999998</v>
      </c>
      <c r="D618" s="135">
        <f t="shared" ref="D618:AC618" si="222">D508</f>
        <v>177.94099599204955</v>
      </c>
      <c r="E618" s="135">
        <f t="shared" si="222"/>
        <v>2629.2279716035632</v>
      </c>
      <c r="F618" s="135">
        <f t="shared" si="222"/>
        <v>482.28404218784624</v>
      </c>
      <c r="G618" s="135">
        <f t="shared" si="222"/>
        <v>310.14966827589166</v>
      </c>
      <c r="H618" s="135">
        <f t="shared" si="222"/>
        <v>220.90468018989404</v>
      </c>
      <c r="I618" s="135">
        <f t="shared" si="222"/>
        <v>106.60397645018759</v>
      </c>
      <c r="J618" s="135">
        <f t="shared" si="222"/>
        <v>279.35990585939294</v>
      </c>
      <c r="K618" s="135">
        <f t="shared" si="222"/>
        <v>422.76367492038924</v>
      </c>
      <c r="L618" s="135">
        <f t="shared" si="222"/>
        <v>203.33600685129727</v>
      </c>
      <c r="M618" s="135">
        <f t="shared" si="222"/>
        <v>231.52778091853185</v>
      </c>
      <c r="N618" s="135">
        <f t="shared" si="222"/>
        <v>467.95618987426485</v>
      </c>
      <c r="O618" s="135">
        <f t="shared" si="222"/>
        <v>308.71042636808323</v>
      </c>
      <c r="P618" s="135">
        <f t="shared" si="222"/>
        <v>303.78726686741447</v>
      </c>
      <c r="Q618" s="135">
        <f t="shared" si="222"/>
        <v>1625.427705266085</v>
      </c>
      <c r="R618" s="135">
        <f t="shared" si="222"/>
        <v>442.25677339931184</v>
      </c>
      <c r="S618" s="135">
        <f t="shared" si="222"/>
        <v>498.31113834882399</v>
      </c>
      <c r="T618" s="135">
        <f t="shared" si="222"/>
        <v>407.93968700183132</v>
      </c>
      <c r="U618" s="135">
        <f t="shared" si="222"/>
        <v>363.10814920207179</v>
      </c>
      <c r="V618" s="135">
        <f t="shared" si="222"/>
        <v>605.06096800451598</v>
      </c>
      <c r="W618" s="135">
        <f t="shared" si="222"/>
        <v>80.69347018970771</v>
      </c>
      <c r="X618" s="135">
        <f t="shared" si="222"/>
        <v>305.99590693319084</v>
      </c>
      <c r="Y618" s="135">
        <f t="shared" si="222"/>
        <v>151.3344097795204</v>
      </c>
      <c r="Z618" s="135">
        <f t="shared" si="222"/>
        <v>165.03078794415472</v>
      </c>
      <c r="AA618" s="135">
        <f t="shared" si="222"/>
        <v>191.82704360164692</v>
      </c>
      <c r="AB618" s="135">
        <f t="shared" si="222"/>
        <v>400.87863270627724</v>
      </c>
      <c r="AC618" s="135">
        <f t="shared" si="222"/>
        <v>154.58274126405556</v>
      </c>
    </row>
    <row r="619" spans="1:32" s="459" customFormat="1">
      <c r="A619" s="458" t="s">
        <v>790</v>
      </c>
      <c r="B619" s="458" t="s">
        <v>738</v>
      </c>
      <c r="C619" s="600">
        <f>C618/C617</f>
        <v>1.4620453681409198</v>
      </c>
      <c r="D619" s="600">
        <f t="shared" ref="D619:AC619" si="223">D618/D617</f>
        <v>1.3793875658298416</v>
      </c>
      <c r="E619" s="600">
        <f t="shared" si="223"/>
        <v>1.4862792377634615</v>
      </c>
      <c r="F619" s="600">
        <f t="shared" si="223"/>
        <v>1.2758837094916566</v>
      </c>
      <c r="G619" s="600">
        <f t="shared" si="223"/>
        <v>1.6410035358512787</v>
      </c>
      <c r="H619" s="600">
        <f t="shared" si="223"/>
        <v>1.5778905727849575</v>
      </c>
      <c r="I619" s="600">
        <f t="shared" si="223"/>
        <v>1.2114088232975861</v>
      </c>
      <c r="J619" s="600">
        <f t="shared" si="223"/>
        <v>1.4859569460606008</v>
      </c>
      <c r="K619" s="600">
        <f t="shared" si="223"/>
        <v>1.1842119745669166</v>
      </c>
      <c r="L619" s="600">
        <f t="shared" si="223"/>
        <v>1.4628489701532177</v>
      </c>
      <c r="M619" s="600">
        <f t="shared" si="223"/>
        <v>1.3306194305662751</v>
      </c>
      <c r="N619" s="600">
        <f t="shared" si="223"/>
        <v>1.401066436749296</v>
      </c>
      <c r="O619" s="600">
        <f t="shared" si="223"/>
        <v>1.5435521318404162</v>
      </c>
      <c r="P619" s="600">
        <f t="shared" si="223"/>
        <v>1.5342791255930024</v>
      </c>
      <c r="Q619" s="600">
        <f t="shared" si="223"/>
        <v>1.8491782767532252</v>
      </c>
      <c r="R619" s="600">
        <f t="shared" si="223"/>
        <v>1.80512968734413</v>
      </c>
      <c r="S619" s="600">
        <f t="shared" si="223"/>
        <v>1.5475501190957266</v>
      </c>
      <c r="T619" s="600">
        <f t="shared" si="223"/>
        <v>1.3507936655689778</v>
      </c>
      <c r="U619" s="600">
        <f t="shared" si="223"/>
        <v>2.2276573570679252</v>
      </c>
      <c r="V619" s="600">
        <f t="shared" si="223"/>
        <v>1.4103985268170536</v>
      </c>
      <c r="W619" s="600">
        <f t="shared" si="223"/>
        <v>1.1527638598529673</v>
      </c>
      <c r="X619" s="600">
        <f t="shared" si="223"/>
        <v>1.1291361879453536</v>
      </c>
      <c r="Y619" s="600">
        <f t="shared" si="223"/>
        <v>1.0966261578226115</v>
      </c>
      <c r="Z619" s="600">
        <f t="shared" si="223"/>
        <v>1.3638908094558242</v>
      </c>
      <c r="AA619" s="600">
        <f t="shared" si="223"/>
        <v>1.0776800202339714</v>
      </c>
      <c r="AB619" s="600">
        <f t="shared" si="223"/>
        <v>1.387123296561513</v>
      </c>
      <c r="AC619" s="600">
        <f t="shared" si="223"/>
        <v>0.77679769479424898</v>
      </c>
    </row>
    <row r="620" spans="1:32" s="459" customFormat="1">
      <c r="A620" s="21"/>
    </row>
    <row r="621" spans="1:32" s="459" customFormat="1">
      <c r="D621" s="388"/>
      <c r="E621" s="388"/>
      <c r="F621" s="388"/>
      <c r="G621" s="388"/>
      <c r="H621" s="388"/>
      <c r="I621" s="388"/>
      <c r="J621" s="388"/>
      <c r="K621" s="388"/>
      <c r="L621" s="388"/>
      <c r="M621" s="388"/>
      <c r="N621" s="388"/>
      <c r="O621" s="388"/>
      <c r="P621" s="388"/>
      <c r="Q621" s="388"/>
      <c r="R621" s="388"/>
      <c r="S621" s="388"/>
      <c r="T621" s="388"/>
      <c r="U621" s="388"/>
      <c r="V621" s="388"/>
      <c r="W621" s="388"/>
      <c r="X621" s="388"/>
      <c r="Y621" s="388"/>
      <c r="Z621" s="388"/>
      <c r="AA621" s="388"/>
      <c r="AB621" s="388"/>
      <c r="AC621" s="388"/>
    </row>
    <row r="622" spans="1:32">
      <c r="A622" s="459"/>
      <c r="B622" s="459"/>
      <c r="C622" s="459"/>
      <c r="D622" s="459"/>
      <c r="E622" s="459"/>
      <c r="F622" s="459"/>
      <c r="G622" s="459"/>
      <c r="H622" s="459"/>
      <c r="I622" s="459"/>
      <c r="J622" s="459"/>
      <c r="K622" s="459"/>
      <c r="L622" s="459"/>
      <c r="M622" s="459"/>
      <c r="N622" s="459"/>
      <c r="O622" s="459"/>
      <c r="P622" s="459"/>
      <c r="Q622" s="459"/>
      <c r="R622" s="459"/>
      <c r="S622" s="459"/>
      <c r="T622" s="459"/>
      <c r="U622" s="459"/>
      <c r="V622" s="459"/>
      <c r="W622" s="459"/>
      <c r="X622" s="459"/>
      <c r="Y622" s="459"/>
      <c r="Z622" s="459"/>
      <c r="AA622" s="459"/>
      <c r="AB622" s="459"/>
      <c r="AC622" s="459"/>
      <c r="AD622" s="459"/>
      <c r="AE622" s="459"/>
      <c r="AF622" s="459"/>
    </row>
    <row r="623" spans="1:32" s="520" customFormat="1" ht="18">
      <c r="A623" s="522" t="s">
        <v>742</v>
      </c>
    </row>
    <row r="624" spans="1:32">
      <c r="A624" s="459"/>
      <c r="B624" s="459"/>
      <c r="C624" s="459"/>
      <c r="D624" s="459"/>
      <c r="E624" s="459"/>
      <c r="F624" s="459"/>
      <c r="G624" s="459"/>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5" spans="1:32">
      <c r="A625" s="459"/>
      <c r="B625" s="459"/>
      <c r="C625" s="459"/>
      <c r="D625" s="459"/>
      <c r="E625" s="459"/>
      <c r="F625" s="459"/>
      <c r="G625" s="459"/>
      <c r="H625" s="459"/>
      <c r="I625" s="459"/>
      <c r="J625" s="459"/>
      <c r="K625" s="459"/>
      <c r="L625" s="459"/>
      <c r="M625" s="459"/>
      <c r="N625" s="459"/>
      <c r="O625" s="459"/>
      <c r="P625" s="459"/>
      <c r="Q625" s="459"/>
      <c r="R625" s="459"/>
      <c r="S625" s="459"/>
      <c r="T625" s="459"/>
      <c r="U625" s="459"/>
      <c r="V625" s="459"/>
      <c r="W625" s="459"/>
      <c r="X625" s="459"/>
      <c r="Y625" s="459"/>
      <c r="Z625" s="459"/>
      <c r="AA625" s="459"/>
      <c r="AB625" s="459"/>
      <c r="AC625" s="459"/>
      <c r="AD625" s="459"/>
      <c r="AE625" s="459"/>
      <c r="AF625" s="459"/>
    </row>
    <row r="626" spans="1:32" ht="15.6">
      <c r="A626" s="401" t="s">
        <v>743</v>
      </c>
      <c r="B626" s="459"/>
      <c r="C626" s="459"/>
      <c r="D626" s="459"/>
      <c r="E626" s="459"/>
      <c r="F626" s="459"/>
      <c r="G626" s="459"/>
      <c r="H626" s="459"/>
      <c r="I626" s="459"/>
      <c r="J626" s="459"/>
      <c r="K626" s="459"/>
      <c r="L626" s="459"/>
      <c r="M626" s="459"/>
      <c r="N626" s="459"/>
      <c r="O626" s="459"/>
      <c r="P626" s="459"/>
      <c r="Q626" s="459"/>
      <c r="R626" s="459"/>
      <c r="S626" s="459"/>
      <c r="T626" s="459"/>
      <c r="U626" s="459"/>
      <c r="V626" s="459"/>
      <c r="W626" s="459"/>
      <c r="X626" s="459"/>
      <c r="Y626" s="459"/>
      <c r="Z626" s="459"/>
      <c r="AA626" s="459"/>
      <c r="AB626" s="459"/>
      <c r="AC626" s="459"/>
      <c r="AD626" s="459"/>
      <c r="AE626" s="459"/>
      <c r="AF626" s="459"/>
    </row>
    <row r="627" spans="1:32">
      <c r="A627" s="132" t="s">
        <v>118</v>
      </c>
      <c r="B627" s="132" t="str">
        <f t="shared" ref="B627:AC627" si="224">B504</f>
        <v>Unit</v>
      </c>
      <c r="C627" s="132" t="str">
        <f t="shared" si="224"/>
        <v>IE</v>
      </c>
      <c r="D627" s="132" t="str">
        <f t="shared" si="224"/>
        <v>IE-CW</v>
      </c>
      <c r="E627" s="132" t="str">
        <f t="shared" si="224"/>
        <v>IE-D</v>
      </c>
      <c r="F627" s="132" t="str">
        <f t="shared" si="224"/>
        <v>IE-KE</v>
      </c>
      <c r="G627" s="132" t="str">
        <f t="shared" si="224"/>
        <v>IE-KK</v>
      </c>
      <c r="H627" s="132" t="str">
        <f t="shared" si="224"/>
        <v>IE-LS</v>
      </c>
      <c r="I627" s="132" t="str">
        <f t="shared" si="224"/>
        <v>IE-LD</v>
      </c>
      <c r="J627" s="132" t="str">
        <f t="shared" si="224"/>
        <v>IE-LH</v>
      </c>
      <c r="K627" s="132" t="str">
        <f t="shared" si="224"/>
        <v>IE-MH</v>
      </c>
      <c r="L627" s="132" t="str">
        <f t="shared" si="224"/>
        <v>IE-OY</v>
      </c>
      <c r="M627" s="132" t="str">
        <f t="shared" si="224"/>
        <v>IE-WH</v>
      </c>
      <c r="N627" s="132" t="str">
        <f t="shared" si="224"/>
        <v>IE-WX</v>
      </c>
      <c r="O627" s="132" t="str">
        <f t="shared" si="224"/>
        <v>IE-WW</v>
      </c>
      <c r="P627" s="132" t="str">
        <f t="shared" si="224"/>
        <v>IE-CE</v>
      </c>
      <c r="Q627" s="132" t="str">
        <f t="shared" si="224"/>
        <v>IE-CO</v>
      </c>
      <c r="R627" s="132" t="str">
        <f t="shared" si="224"/>
        <v>IE-KY</v>
      </c>
      <c r="S627" s="132" t="str">
        <f t="shared" si="224"/>
        <v>IE-LK</v>
      </c>
      <c r="T627" s="132" t="str">
        <f t="shared" si="224"/>
        <v>IE-TA</v>
      </c>
      <c r="U627" s="132" t="str">
        <f t="shared" si="224"/>
        <v>IE-WD</v>
      </c>
      <c r="V627" s="132" t="str">
        <f t="shared" si="224"/>
        <v>IE-G</v>
      </c>
      <c r="W627" s="132" t="str">
        <f t="shared" si="224"/>
        <v>IE-LM</v>
      </c>
      <c r="X627" s="132" t="str">
        <f t="shared" si="224"/>
        <v>IE-MO</v>
      </c>
      <c r="Y627" s="132" t="str">
        <f t="shared" si="224"/>
        <v>IE-RN</v>
      </c>
      <c r="Z627" s="132" t="str">
        <f t="shared" si="224"/>
        <v>IE-SO</v>
      </c>
      <c r="AA627" s="132" t="str">
        <f t="shared" si="224"/>
        <v>IE-CN</v>
      </c>
      <c r="AB627" s="132" t="str">
        <f t="shared" si="224"/>
        <v>IE-DL</v>
      </c>
      <c r="AC627" s="132" t="str">
        <f t="shared" si="224"/>
        <v>IE-MN</v>
      </c>
      <c r="AD627" s="459"/>
      <c r="AE627" s="459"/>
      <c r="AF627" s="459"/>
    </row>
    <row r="628" spans="1:32">
      <c r="A628" s="459" t="str">
        <f>Commodities!C26</f>
        <v xml:space="preserve">Transport Demand: Turism fuel </v>
      </c>
      <c r="B628" s="459" t="s">
        <v>88</v>
      </c>
      <c r="C628" s="570">
        <f>'EB2018'!AM53*0.041868</f>
        <v>7.7245727925227738</v>
      </c>
      <c r="D628" s="6">
        <f t="shared" ref="D628:AC628" si="225">$C$628*C185</f>
        <v>9.2353600579585152E-2</v>
      </c>
      <c r="E628" s="6">
        <f t="shared" si="225"/>
        <v>2.1856505115455191</v>
      </c>
      <c r="F628" s="6">
        <f t="shared" si="225"/>
        <v>0.36094016622215996</v>
      </c>
      <c r="G628" s="6">
        <f t="shared" si="225"/>
        <v>0.16097155365547308</v>
      </c>
      <c r="H628" s="6">
        <f t="shared" si="225"/>
        <v>0.13739325701343924</v>
      </c>
      <c r="I628" s="6">
        <f t="shared" si="225"/>
        <v>6.6303111018221464E-2</v>
      </c>
      <c r="J628" s="6">
        <f t="shared" si="225"/>
        <v>0.20907225210952107</v>
      </c>
      <c r="K628" s="6">
        <f t="shared" si="225"/>
        <v>0.31639527280693819</v>
      </c>
      <c r="L628" s="6">
        <f t="shared" si="225"/>
        <v>0.12646629408390778</v>
      </c>
      <c r="M628" s="6">
        <f t="shared" si="225"/>
        <v>0.14400037102946978</v>
      </c>
      <c r="N628" s="6">
        <f t="shared" si="225"/>
        <v>0.24287511041201165</v>
      </c>
      <c r="O628" s="6">
        <f t="shared" si="225"/>
        <v>0.23103810796296309</v>
      </c>
      <c r="P628" s="6">
        <f t="shared" si="225"/>
        <v>0.19274182814699234</v>
      </c>
      <c r="Q628" s="6">
        <f t="shared" si="225"/>
        <v>0.88062626360286367</v>
      </c>
      <c r="R628" s="6">
        <f t="shared" si="225"/>
        <v>0.23960643014137542</v>
      </c>
      <c r="S628" s="6">
        <f t="shared" si="225"/>
        <v>0.3161600576013589</v>
      </c>
      <c r="T628" s="6">
        <f t="shared" si="225"/>
        <v>0.25882270135028718</v>
      </c>
      <c r="U628" s="6">
        <f t="shared" si="225"/>
        <v>0.18845766705778619</v>
      </c>
      <c r="V628" s="6">
        <f t="shared" si="225"/>
        <v>0.41861493463020066</v>
      </c>
      <c r="W628" s="6">
        <f t="shared" si="225"/>
        <v>5.1980938259190375E-2</v>
      </c>
      <c r="X628" s="6">
        <f t="shared" si="225"/>
        <v>0.21170504023817749</v>
      </c>
      <c r="Y628" s="6">
        <f t="shared" si="225"/>
        <v>0.10470158778558181</v>
      </c>
      <c r="Z628" s="6">
        <f t="shared" si="225"/>
        <v>0.10630916205267886</v>
      </c>
      <c r="AA628" s="6">
        <f t="shared" si="225"/>
        <v>0.1235707137945352</v>
      </c>
      <c r="AB628" s="6">
        <f t="shared" si="225"/>
        <v>0.25823709659708632</v>
      </c>
      <c r="AC628" s="6">
        <f t="shared" si="225"/>
        <v>9.9578762825448142E-2</v>
      </c>
      <c r="AD628" s="459"/>
      <c r="AE628" s="459"/>
      <c r="AF628" s="459"/>
    </row>
    <row r="629" spans="1:32">
      <c r="A629" s="459" t="str">
        <f>Commodities!C27</f>
        <v xml:space="preserve">Transport Demand: Navigation fuel </v>
      </c>
      <c r="B629" s="459" t="s">
        <v>88</v>
      </c>
      <c r="C629" s="570">
        <f>'EB2018'!AM54*0.041868</f>
        <v>3.513299808727715</v>
      </c>
      <c r="D629" s="6">
        <f t="shared" ref="D629:AC629" si="226">$C$629*C185</f>
        <v>4.2004379525771122E-2</v>
      </c>
      <c r="E629" s="6">
        <f t="shared" si="226"/>
        <v>0.99408028513777069</v>
      </c>
      <c r="F629" s="6">
        <f t="shared" si="226"/>
        <v>0.16416325549782509</v>
      </c>
      <c r="G629" s="6">
        <f t="shared" si="226"/>
        <v>7.3213282321037743E-2</v>
      </c>
      <c r="H629" s="6">
        <f t="shared" si="226"/>
        <v>6.2489372105217399E-2</v>
      </c>
      <c r="I629" s="6">
        <f t="shared" si="226"/>
        <v>3.0156063450376649E-2</v>
      </c>
      <c r="J629" s="6">
        <f t="shared" si="226"/>
        <v>9.5090501840783506E-2</v>
      </c>
      <c r="K629" s="6">
        <f t="shared" si="226"/>
        <v>0.14390329165011773</v>
      </c>
      <c r="L629" s="6">
        <f t="shared" si="226"/>
        <v>5.7519557229829314E-2</v>
      </c>
      <c r="M629" s="6">
        <f t="shared" si="226"/>
        <v>6.5494427922832554E-2</v>
      </c>
      <c r="N629" s="6">
        <f t="shared" si="226"/>
        <v>0.11046475991283469</v>
      </c>
      <c r="O629" s="6">
        <f t="shared" si="226"/>
        <v>0.10508103973087109</v>
      </c>
      <c r="P629" s="6">
        <f t="shared" si="226"/>
        <v>8.766307809515822E-2</v>
      </c>
      <c r="Q629" s="6">
        <f t="shared" si="226"/>
        <v>0.40052753292342302</v>
      </c>
      <c r="R629" s="6">
        <f t="shared" si="226"/>
        <v>0.10897809468511692</v>
      </c>
      <c r="S629" s="6">
        <f t="shared" si="226"/>
        <v>0.1437963107776517</v>
      </c>
      <c r="T629" s="6">
        <f t="shared" si="226"/>
        <v>0.11771806306603248</v>
      </c>
      <c r="U629" s="6">
        <f t="shared" si="226"/>
        <v>8.5714550618035304E-2</v>
      </c>
      <c r="V629" s="6">
        <f t="shared" si="226"/>
        <v>0.19039496542649909</v>
      </c>
      <c r="W629" s="6">
        <f t="shared" si="226"/>
        <v>2.3642035015875255E-2</v>
      </c>
      <c r="X629" s="6">
        <f t="shared" si="226"/>
        <v>9.6287949813282744E-2</v>
      </c>
      <c r="Y629" s="6">
        <f t="shared" si="226"/>
        <v>4.7620506430678201E-2</v>
      </c>
      <c r="Z629" s="6">
        <f t="shared" si="226"/>
        <v>4.8351665359049577E-2</v>
      </c>
      <c r="AA629" s="6">
        <f t="shared" si="226"/>
        <v>5.6202585799816289E-2</v>
      </c>
      <c r="AB629" s="6">
        <f t="shared" si="226"/>
        <v>0.11745171758354803</v>
      </c>
      <c r="AC629" s="6">
        <f t="shared" si="226"/>
        <v>4.529053680827981E-2</v>
      </c>
      <c r="AD629" s="459"/>
      <c r="AE629" s="459"/>
      <c r="AF629" s="459"/>
    </row>
    <row r="630" spans="1:32">
      <c r="A630" s="458" t="str">
        <f>Commodities!C28</f>
        <v>Transport Demand: Unspecified fuel</v>
      </c>
      <c r="B630" s="458" t="s">
        <v>88</v>
      </c>
      <c r="C630" s="574">
        <f>'EB2018'!AM55*0.041868</f>
        <v>22.296388375177408</v>
      </c>
      <c r="D630" s="516">
        <f t="shared" ref="D630:AC630" si="227">$C$630*C185</f>
        <v>0.26657160229775501</v>
      </c>
      <c r="E630" s="516">
        <f t="shared" si="227"/>
        <v>6.3087129821594452</v>
      </c>
      <c r="F630" s="516">
        <f t="shared" si="227"/>
        <v>1.0418261750449602</v>
      </c>
      <c r="G630" s="516">
        <f t="shared" si="227"/>
        <v>0.46463207403939483</v>
      </c>
      <c r="H630" s="516">
        <f t="shared" si="227"/>
        <v>0.39657512470689521</v>
      </c>
      <c r="I630" s="516">
        <f t="shared" si="227"/>
        <v>0.19137885724576939</v>
      </c>
      <c r="J630" s="516">
        <f t="shared" si="227"/>
        <v>0.60347106004608764</v>
      </c>
      <c r="K630" s="516">
        <f t="shared" si="227"/>
        <v>0.91325074823584851</v>
      </c>
      <c r="L630" s="516">
        <f t="shared" si="227"/>
        <v>0.36503528220921938</v>
      </c>
      <c r="M630" s="516">
        <f t="shared" si="227"/>
        <v>0.41564605381809372</v>
      </c>
      <c r="N630" s="516">
        <f t="shared" si="227"/>
        <v>0.7010404243522883</v>
      </c>
      <c r="O630" s="516">
        <f t="shared" si="227"/>
        <v>0.66687382240669146</v>
      </c>
      <c r="P630" s="516">
        <f t="shared" si="227"/>
        <v>0.55633454068383958</v>
      </c>
      <c r="Q630" s="516">
        <f t="shared" si="227"/>
        <v>2.5418603350695159</v>
      </c>
      <c r="R630" s="516">
        <f t="shared" si="227"/>
        <v>0.69160562883078947</v>
      </c>
      <c r="S630" s="516">
        <f t="shared" si="227"/>
        <v>0.91257181754075312</v>
      </c>
      <c r="T630" s="516">
        <f t="shared" si="227"/>
        <v>0.74707192547976031</v>
      </c>
      <c r="U630" s="516">
        <f t="shared" si="227"/>
        <v>0.54396863747179069</v>
      </c>
      <c r="V630" s="516">
        <f t="shared" si="227"/>
        <v>1.2082999814823661</v>
      </c>
      <c r="W630" s="516">
        <f t="shared" si="227"/>
        <v>0.15003900133543985</v>
      </c>
      <c r="X630" s="516">
        <f t="shared" si="227"/>
        <v>0.61107040155050096</v>
      </c>
      <c r="Y630" s="516">
        <f t="shared" si="227"/>
        <v>0.30221312264993849</v>
      </c>
      <c r="Z630" s="516">
        <f t="shared" si="227"/>
        <v>0.3068532627798668</v>
      </c>
      <c r="AA630" s="516">
        <f t="shared" si="227"/>
        <v>0.35667741123856156</v>
      </c>
      <c r="AB630" s="516">
        <f t="shared" si="227"/>
        <v>0.74538162216300519</v>
      </c>
      <c r="AC630" s="516">
        <f t="shared" si="227"/>
        <v>0.28742648033882506</v>
      </c>
      <c r="AD630" s="459"/>
      <c r="AE630" s="459"/>
      <c r="AF630" s="459"/>
    </row>
    <row r="631" spans="1:32">
      <c r="A631" s="575" t="s">
        <v>754</v>
      </c>
      <c r="B631" s="459"/>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c r="AD631" s="459"/>
      <c r="AE631" s="459"/>
      <c r="AF631" s="459"/>
    </row>
    <row r="632" spans="1:32">
      <c r="A632" s="459"/>
      <c r="B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c r="AD632" s="459"/>
      <c r="AE632" s="459"/>
      <c r="AF632" s="459"/>
    </row>
    <row r="633" spans="1:32">
      <c r="A633" s="459"/>
      <c r="B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c r="AD633" s="459"/>
      <c r="AE633" s="459"/>
      <c r="AF633" s="459"/>
    </row>
    <row r="634" spans="1:32">
      <c r="A634" s="459"/>
      <c r="B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c r="AD634" s="459"/>
      <c r="AE634" s="459"/>
      <c r="AF634" s="459"/>
    </row>
    <row r="635" spans="1:32">
      <c r="A635" s="459"/>
      <c r="B635" s="459"/>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c r="AD635" s="459"/>
      <c r="AE635" s="459"/>
      <c r="AF635" s="459"/>
    </row>
    <row r="636" spans="1:32" ht="18">
      <c r="A636" s="522" t="s">
        <v>95</v>
      </c>
      <c r="B636" s="520"/>
      <c r="C636" s="520"/>
      <c r="D636" s="520"/>
      <c r="E636" s="520"/>
      <c r="F636" s="520"/>
      <c r="G636" s="520"/>
      <c r="H636" s="520"/>
      <c r="I636" s="520"/>
      <c r="J636" s="520"/>
      <c r="K636" s="520"/>
      <c r="L636" s="520"/>
      <c r="M636" s="520"/>
      <c r="N636" s="520"/>
      <c r="O636" s="520"/>
      <c r="P636" s="520"/>
      <c r="Q636" s="520"/>
      <c r="R636" s="520"/>
      <c r="S636" s="520"/>
      <c r="T636" s="520"/>
      <c r="U636" s="520"/>
      <c r="V636" s="520"/>
      <c r="W636" s="520"/>
      <c r="X636" s="520"/>
      <c r="Y636" s="520"/>
      <c r="Z636" s="520"/>
      <c r="AA636" s="520"/>
      <c r="AB636" s="520"/>
      <c r="AC636" s="520"/>
      <c r="AD636" s="459"/>
      <c r="AE636" s="459"/>
      <c r="AF636" s="459"/>
    </row>
    <row r="637" spans="1:32">
      <c r="A637" s="459"/>
      <c r="B637" s="459"/>
      <c r="C637" s="459"/>
      <c r="D637" s="459"/>
      <c r="E637" s="459"/>
      <c r="F637" s="459"/>
      <c r="G637" s="459"/>
      <c r="H637" s="459"/>
      <c r="I637" s="459"/>
      <c r="J637" s="459"/>
      <c r="K637" s="459"/>
      <c r="L637" s="459"/>
      <c r="M637" s="459"/>
      <c r="N637" s="459"/>
      <c r="O637" s="459"/>
      <c r="P637" s="459"/>
      <c r="Q637" s="459"/>
      <c r="R637" s="459"/>
      <c r="S637" s="459"/>
      <c r="T637" s="459"/>
      <c r="U637" s="459"/>
      <c r="V637" s="459"/>
      <c r="W637" s="459"/>
      <c r="X637" s="459"/>
      <c r="Y637" s="459"/>
      <c r="Z637" s="459"/>
      <c r="AA637" s="459"/>
      <c r="AB637" s="459"/>
      <c r="AC637" s="459"/>
      <c r="AD637" s="459"/>
      <c r="AE637" s="459"/>
      <c r="AF637" s="459"/>
    </row>
    <row r="638" spans="1:32">
      <c r="A638" s="459"/>
      <c r="B638" s="459"/>
      <c r="C638" s="459"/>
      <c r="D638" s="459"/>
      <c r="E638" s="459"/>
      <c r="F638" s="459"/>
      <c r="G638" s="459"/>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row>
    <row r="639" spans="1:32" ht="15.6">
      <c r="A639" s="401" t="s">
        <v>743</v>
      </c>
      <c r="B639" s="459"/>
      <c r="C639" s="459"/>
      <c r="D639" s="459"/>
      <c r="E639" s="459"/>
      <c r="F639" s="459"/>
      <c r="G639" s="459"/>
      <c r="H639" s="459"/>
      <c r="I639" s="459"/>
      <c r="J639" s="459"/>
      <c r="K639" s="459"/>
      <c r="L639" s="459"/>
      <c r="M639" s="459"/>
      <c r="N639" s="459"/>
      <c r="O639" s="459"/>
      <c r="P639" s="459"/>
      <c r="Q639" s="459"/>
      <c r="R639" s="459"/>
      <c r="S639" s="459"/>
      <c r="T639" s="459"/>
      <c r="U639" s="459"/>
      <c r="V639" s="459"/>
      <c r="W639" s="459"/>
      <c r="X639" s="459"/>
      <c r="Y639" s="459"/>
      <c r="Z639" s="459"/>
      <c r="AA639" s="459"/>
      <c r="AB639" s="459"/>
      <c r="AC639" s="459"/>
      <c r="AD639" s="459"/>
      <c r="AE639" s="459"/>
      <c r="AF639" s="459"/>
    </row>
    <row r="640" spans="1:32">
      <c r="A640" s="132" t="s">
        <v>118</v>
      </c>
      <c r="B640" s="132" t="str">
        <f>B627</f>
        <v>Unit</v>
      </c>
      <c r="C640" s="132" t="str">
        <f t="shared" ref="C640:AC640" si="228">C627</f>
        <v>IE</v>
      </c>
      <c r="D640" s="132" t="str">
        <f t="shared" si="228"/>
        <v>IE-CW</v>
      </c>
      <c r="E640" s="535" t="str">
        <f t="shared" si="228"/>
        <v>IE-D</v>
      </c>
      <c r="F640" s="132" t="str">
        <f t="shared" si="228"/>
        <v>IE-KE</v>
      </c>
      <c r="G640" s="132" t="str">
        <f t="shared" si="228"/>
        <v>IE-KK</v>
      </c>
      <c r="H640" s="132" t="str">
        <f t="shared" si="228"/>
        <v>IE-LS</v>
      </c>
      <c r="I640" s="132" t="str">
        <f t="shared" si="228"/>
        <v>IE-LD</v>
      </c>
      <c r="J640" s="132" t="str">
        <f t="shared" si="228"/>
        <v>IE-LH</v>
      </c>
      <c r="K640" s="132" t="str">
        <f t="shared" si="228"/>
        <v>IE-MH</v>
      </c>
      <c r="L640" s="132" t="str">
        <f t="shared" si="228"/>
        <v>IE-OY</v>
      </c>
      <c r="M640" s="132" t="str">
        <f t="shared" si="228"/>
        <v>IE-WH</v>
      </c>
      <c r="N640" s="132" t="str">
        <f t="shared" si="228"/>
        <v>IE-WX</v>
      </c>
      <c r="O640" s="132" t="str">
        <f t="shared" si="228"/>
        <v>IE-WW</v>
      </c>
      <c r="P640" s="535" t="str">
        <f t="shared" si="228"/>
        <v>IE-CE</v>
      </c>
      <c r="Q640" s="535" t="str">
        <f t="shared" si="228"/>
        <v>IE-CO</v>
      </c>
      <c r="R640" s="535" t="str">
        <f t="shared" si="228"/>
        <v>IE-KY</v>
      </c>
      <c r="S640" s="132" t="str">
        <f t="shared" si="228"/>
        <v>IE-LK</v>
      </c>
      <c r="T640" s="132" t="str">
        <f t="shared" si="228"/>
        <v>IE-TA</v>
      </c>
      <c r="U640" s="132" t="str">
        <f t="shared" si="228"/>
        <v>IE-WD</v>
      </c>
      <c r="V640" s="132" t="str">
        <f t="shared" si="228"/>
        <v>IE-G</v>
      </c>
      <c r="W640" s="132" t="str">
        <f t="shared" si="228"/>
        <v>IE-LM</v>
      </c>
      <c r="X640" s="535" t="str">
        <f t="shared" si="228"/>
        <v>IE-MO</v>
      </c>
      <c r="Y640" s="132" t="str">
        <f t="shared" si="228"/>
        <v>IE-RN</v>
      </c>
      <c r="Z640" s="132" t="str">
        <f t="shared" si="228"/>
        <v>IE-SO</v>
      </c>
      <c r="AA640" s="132" t="str">
        <f t="shared" si="228"/>
        <v>IE-CN</v>
      </c>
      <c r="AB640" s="132" t="str">
        <f t="shared" si="228"/>
        <v>IE-DL</v>
      </c>
      <c r="AC640" s="132" t="str">
        <f t="shared" si="228"/>
        <v>IE-MN</v>
      </c>
      <c r="AD640" s="459"/>
      <c r="AE640" s="459"/>
      <c r="AF640" s="459"/>
    </row>
    <row r="641" spans="1:32">
      <c r="A641" s="507" t="str">
        <f>Commodities!C29</f>
        <v>Transport Demand: Aviation domestic</v>
      </c>
      <c r="B641" s="459" t="s">
        <v>88</v>
      </c>
      <c r="C641" s="584">
        <f>'EB2018'!AM51*0.041868</f>
        <v>0.2334932002865788</v>
      </c>
      <c r="D641" s="135">
        <v>0</v>
      </c>
      <c r="E641" s="5">
        <f>C641*D661</f>
        <v>0.13599128494106466</v>
      </c>
      <c r="F641" s="135">
        <v>0</v>
      </c>
      <c r="G641" s="135">
        <v>0</v>
      </c>
      <c r="H641" s="135">
        <v>0</v>
      </c>
      <c r="I641" s="135">
        <v>0</v>
      </c>
      <c r="J641" s="135">
        <v>0</v>
      </c>
      <c r="K641" s="135">
        <v>0</v>
      </c>
      <c r="L641" s="135">
        <v>0</v>
      </c>
      <c r="M641" s="135">
        <v>0</v>
      </c>
      <c r="N641" s="135">
        <v>0</v>
      </c>
      <c r="O641" s="135">
        <v>0</v>
      </c>
      <c r="P641" s="5">
        <f>C641*G661</f>
        <v>4.7489540821759567E-2</v>
      </c>
      <c r="Q641" s="10">
        <f>C641*C661</f>
        <v>4.7056267691773237E-4</v>
      </c>
      <c r="R641" s="38">
        <f>C641*E661</f>
        <v>4.7235778638893708E-2</v>
      </c>
      <c r="S641" s="135">
        <v>0</v>
      </c>
      <c r="T641" s="135">
        <v>0</v>
      </c>
      <c r="U641" s="135">
        <v>0</v>
      </c>
      <c r="V641" s="135">
        <v>0</v>
      </c>
      <c r="W641" s="135">
        <v>0</v>
      </c>
      <c r="X641" s="10">
        <f>C641*F661</f>
        <v>9.4112535383546466E-5</v>
      </c>
      <c r="Y641" s="135">
        <v>0</v>
      </c>
      <c r="Z641" s="135">
        <v>0</v>
      </c>
      <c r="AA641" s="135">
        <v>0</v>
      </c>
      <c r="AB641" s="135">
        <v>0</v>
      </c>
      <c r="AC641" s="135">
        <v>0</v>
      </c>
      <c r="AD641" s="459"/>
      <c r="AE641" s="459"/>
      <c r="AF641" s="459"/>
    </row>
    <row r="642" spans="1:32">
      <c r="A642" s="458" t="str">
        <f>Commodities!C30</f>
        <v>Transport Demand: Aviation international</v>
      </c>
      <c r="B642" s="458" t="s">
        <v>88</v>
      </c>
      <c r="C642" s="574">
        <f>'EB2018'!AM52*0.041868</f>
        <v>45.935836654432045</v>
      </c>
      <c r="D642" s="508">
        <v>0</v>
      </c>
      <c r="E642" s="516">
        <f>$C$642*D689</f>
        <v>40.411547456014475</v>
      </c>
      <c r="F642" s="508">
        <v>0</v>
      </c>
      <c r="G642" s="508">
        <v>0</v>
      </c>
      <c r="H642" s="508">
        <v>0</v>
      </c>
      <c r="I642" s="508">
        <v>0</v>
      </c>
      <c r="J642" s="508">
        <v>0</v>
      </c>
      <c r="K642" s="508">
        <v>0</v>
      </c>
      <c r="L642" s="508">
        <v>0</v>
      </c>
      <c r="M642" s="508">
        <v>0</v>
      </c>
      <c r="N642" s="508">
        <v>0</v>
      </c>
      <c r="O642" s="508">
        <v>0</v>
      </c>
      <c r="P642" s="516">
        <f>$C$642*G689</f>
        <v>2.3928132767411885</v>
      </c>
      <c r="Q642" s="516">
        <f>$C$642*C689</f>
        <v>2.2124403851853933</v>
      </c>
      <c r="R642" s="516">
        <f>$C$642*E689</f>
        <v>0.2411025265315139</v>
      </c>
      <c r="S642" s="508">
        <v>0</v>
      </c>
      <c r="T642" s="508">
        <v>0</v>
      </c>
      <c r="U642" s="508">
        <v>0</v>
      </c>
      <c r="V642" s="508">
        <v>0</v>
      </c>
      <c r="W642" s="508">
        <v>0</v>
      </c>
      <c r="X642" s="516">
        <f>$C$642*F689</f>
        <v>0.68832808501139164</v>
      </c>
      <c r="Y642" s="508">
        <v>0</v>
      </c>
      <c r="Z642" s="508">
        <v>0</v>
      </c>
      <c r="AA642" s="508">
        <v>0</v>
      </c>
      <c r="AB642" s="508">
        <v>0</v>
      </c>
      <c r="AC642" s="508">
        <v>0</v>
      </c>
      <c r="AD642" s="459"/>
      <c r="AE642" s="459"/>
      <c r="AF642" s="459"/>
    </row>
    <row r="643" spans="1:32">
      <c r="A643" s="575" t="s">
        <v>770</v>
      </c>
      <c r="B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c r="AD643" s="459"/>
      <c r="AE643" s="459"/>
      <c r="AF643" s="459"/>
    </row>
    <row r="644" spans="1:32" s="459" customFormat="1">
      <c r="A644" s="575"/>
    </row>
    <row r="645" spans="1:32">
      <c r="A645" s="459"/>
      <c r="B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c r="AD645" s="459"/>
      <c r="AE645" s="459"/>
      <c r="AF645" s="459"/>
    </row>
    <row r="646" spans="1:32">
      <c r="A646" s="459"/>
      <c r="B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c r="AD646" s="459"/>
      <c r="AE646" s="459"/>
      <c r="AF646" s="459"/>
    </row>
    <row r="647" spans="1:32">
      <c r="A647" s="459" t="s">
        <v>761</v>
      </c>
      <c r="B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c r="AD647" s="459"/>
      <c r="AE647" s="459"/>
      <c r="AF647" s="459"/>
    </row>
    <row r="648" spans="1:32">
      <c r="A648" s="132" t="s">
        <v>762</v>
      </c>
      <c r="B648" s="132" t="s">
        <v>755</v>
      </c>
      <c r="C648" s="132" t="s">
        <v>385</v>
      </c>
      <c r="D648" s="132" t="s">
        <v>373</v>
      </c>
      <c r="E648" s="132" t="s">
        <v>386</v>
      </c>
      <c r="F648" s="132" t="s">
        <v>756</v>
      </c>
      <c r="G648" s="132" t="s">
        <v>757</v>
      </c>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c r="AD648" s="459"/>
      <c r="AE648" s="459"/>
      <c r="AF648" s="459"/>
    </row>
    <row r="649" spans="1:32">
      <c r="A649" s="459" t="s">
        <v>758</v>
      </c>
      <c r="B649" s="39">
        <v>165.4</v>
      </c>
      <c r="C649" s="577">
        <v>1</v>
      </c>
      <c r="D649" s="39">
        <v>99.7</v>
      </c>
      <c r="E649" s="39">
        <v>57.5</v>
      </c>
      <c r="F649" s="39">
        <v>0.2</v>
      </c>
      <c r="G649" s="39">
        <v>7</v>
      </c>
      <c r="H649" s="459"/>
      <c r="I649" s="459"/>
      <c r="J649" s="459"/>
      <c r="K649" s="459"/>
      <c r="L649" s="459"/>
      <c r="M649" s="459"/>
      <c r="N649" s="459"/>
      <c r="O649" s="459"/>
      <c r="P649" s="459"/>
      <c r="Q649" s="459"/>
      <c r="R649" s="459"/>
      <c r="S649" s="459"/>
      <c r="T649" s="459"/>
      <c r="U649" s="459"/>
      <c r="V649" s="459"/>
      <c r="W649" s="459"/>
      <c r="X649" s="459"/>
      <c r="Y649" s="459"/>
      <c r="Z649" s="459"/>
      <c r="AA649" s="459"/>
      <c r="AB649" s="459"/>
      <c r="AC649" s="459"/>
      <c r="AD649" s="459"/>
      <c r="AE649" s="459"/>
      <c r="AF649" s="459"/>
    </row>
    <row r="650" spans="1:32">
      <c r="A650" s="459" t="s">
        <v>759</v>
      </c>
      <c r="B650" s="39">
        <v>10.1</v>
      </c>
      <c r="C650" s="39">
        <v>0</v>
      </c>
      <c r="D650" s="39">
        <v>5.2</v>
      </c>
      <c r="E650" s="39">
        <v>0</v>
      </c>
      <c r="F650" s="576">
        <v>0</v>
      </c>
      <c r="G650" s="39">
        <v>4.8</v>
      </c>
      <c r="H650" s="459"/>
      <c r="I650" s="459"/>
      <c r="J650" s="459"/>
      <c r="K650" s="459"/>
      <c r="L650" s="459"/>
      <c r="M650" s="459"/>
      <c r="N650" s="459"/>
      <c r="O650" s="459"/>
      <c r="P650" s="459"/>
      <c r="Q650" s="459"/>
      <c r="R650" s="459"/>
      <c r="S650" s="459"/>
      <c r="T650" s="459"/>
      <c r="U650" s="459"/>
      <c r="V650" s="459"/>
      <c r="W650" s="459"/>
      <c r="X650" s="459"/>
      <c r="Y650" s="459"/>
      <c r="Z650" s="459"/>
      <c r="AA650" s="459"/>
      <c r="AB650" s="459"/>
      <c r="AC650" s="459"/>
      <c r="AD650" s="459"/>
      <c r="AE650" s="459"/>
      <c r="AF650" s="459"/>
    </row>
    <row r="651" spans="1:32">
      <c r="A651" s="458" t="s">
        <v>760</v>
      </c>
      <c r="B651" s="457">
        <v>5.4</v>
      </c>
      <c r="C651" s="457">
        <v>0</v>
      </c>
      <c r="D651" s="457">
        <v>3.4</v>
      </c>
      <c r="E651" s="457">
        <v>1.4</v>
      </c>
      <c r="F651" s="457">
        <v>0</v>
      </c>
      <c r="G651" s="457">
        <v>0.5</v>
      </c>
      <c r="H651" s="459"/>
      <c r="I651" s="459"/>
      <c r="J651" s="459"/>
      <c r="K651" s="459"/>
      <c r="L651" s="459"/>
      <c r="M651" s="459"/>
      <c r="N651" s="459"/>
      <c r="O651" s="459"/>
      <c r="P651" s="459"/>
      <c r="Q651" s="459"/>
      <c r="R651" s="459"/>
      <c r="S651" s="459"/>
      <c r="T651" s="459"/>
      <c r="U651" s="459"/>
      <c r="V651" s="459"/>
      <c r="W651" s="459"/>
      <c r="X651" s="459"/>
      <c r="Y651" s="459"/>
      <c r="Z651" s="459"/>
      <c r="AA651" s="459"/>
      <c r="AB651" s="459"/>
      <c r="AC651" s="459"/>
      <c r="AD651" s="459"/>
      <c r="AE651" s="459"/>
      <c r="AF651" s="459"/>
    </row>
    <row r="652" spans="1:32">
      <c r="A652" s="21" t="s">
        <v>763</v>
      </c>
      <c r="B652" s="459"/>
      <c r="C652" s="459"/>
      <c r="D652" s="459"/>
      <c r="E652" s="459"/>
      <c r="F652" s="459"/>
      <c r="G652" s="459"/>
      <c r="H652" s="459"/>
      <c r="I652" s="459"/>
      <c r="J652" s="459"/>
      <c r="K652" s="459"/>
      <c r="L652" s="459"/>
      <c r="M652" s="459"/>
      <c r="N652" s="459"/>
      <c r="O652" s="459"/>
      <c r="P652" s="459"/>
      <c r="Q652" s="459"/>
      <c r="R652" s="459"/>
      <c r="S652" s="459"/>
      <c r="T652" s="459"/>
      <c r="U652" s="459"/>
      <c r="V652" s="459"/>
      <c r="W652" s="459"/>
      <c r="X652" s="459"/>
      <c r="Y652" s="459"/>
      <c r="Z652" s="459"/>
      <c r="AA652" s="459"/>
      <c r="AB652" s="459"/>
      <c r="AC652" s="459"/>
      <c r="AD652" s="459"/>
      <c r="AE652" s="459"/>
      <c r="AF652" s="459"/>
    </row>
    <row r="653" spans="1:32" s="459" customFormat="1">
      <c r="A653" s="21"/>
    </row>
    <row r="654" spans="1:32" s="459" customFormat="1">
      <c r="A654" s="21"/>
    </row>
    <row r="655" spans="1:32" s="459" customFormat="1">
      <c r="A655" s="21"/>
    </row>
    <row r="656" spans="1:32" s="459" customFormat="1">
      <c r="A656" s="459" t="s">
        <v>766</v>
      </c>
    </row>
    <row r="657" spans="1:32" s="459" customFormat="1">
      <c r="A657" s="132" t="s">
        <v>762</v>
      </c>
      <c r="B657" s="132" t="s">
        <v>755</v>
      </c>
      <c r="C657" s="132" t="s">
        <v>385</v>
      </c>
      <c r="D657" s="132" t="s">
        <v>373</v>
      </c>
      <c r="E657" s="132" t="s">
        <v>386</v>
      </c>
      <c r="F657" s="132" t="s">
        <v>756</v>
      </c>
      <c r="G657" s="132" t="s">
        <v>757</v>
      </c>
    </row>
    <row r="658" spans="1:32" s="459" customFormat="1">
      <c r="A658" s="459" t="s">
        <v>758</v>
      </c>
      <c r="B658" s="578">
        <f>B649/$B649</f>
        <v>1</v>
      </c>
      <c r="C658" s="578">
        <f>C649/$B649</f>
        <v>6.0459492140266021E-3</v>
      </c>
      <c r="D658" s="578">
        <f t="shared" ref="D658:G658" si="229">D649/$B649</f>
        <v>0.60278113663845223</v>
      </c>
      <c r="E658" s="578">
        <f t="shared" si="229"/>
        <v>0.34764207980652961</v>
      </c>
      <c r="F658" s="580">
        <f t="shared" si="229"/>
        <v>1.2091898428053204E-3</v>
      </c>
      <c r="G658" s="578">
        <f t="shared" si="229"/>
        <v>4.2321644498186213E-2</v>
      </c>
    </row>
    <row r="659" spans="1:32" s="459" customFormat="1">
      <c r="A659" s="459" t="s">
        <v>759</v>
      </c>
      <c r="B659" s="578">
        <f t="shared" ref="B659" si="230">B650/$B650</f>
        <v>1</v>
      </c>
      <c r="C659" s="578">
        <f t="shared" ref="C659:G659" si="231">C650/$B650</f>
        <v>0</v>
      </c>
      <c r="D659" s="578">
        <f t="shared" si="231"/>
        <v>0.51485148514851486</v>
      </c>
      <c r="E659" s="578">
        <f t="shared" si="231"/>
        <v>0</v>
      </c>
      <c r="F659" s="578">
        <f t="shared" si="231"/>
        <v>0</v>
      </c>
      <c r="G659" s="578">
        <f t="shared" si="231"/>
        <v>0.47524752475247523</v>
      </c>
    </row>
    <row r="660" spans="1:32" s="459" customFormat="1">
      <c r="A660" s="1" t="s">
        <v>760</v>
      </c>
      <c r="B660" s="583">
        <f t="shared" ref="B660" si="232">B651/$B651</f>
        <v>1</v>
      </c>
      <c r="C660" s="583">
        <f t="shared" ref="C660:G660" si="233">C651/$B651</f>
        <v>0</v>
      </c>
      <c r="D660" s="583">
        <f>D651/$B651</f>
        <v>0.62962962962962954</v>
      </c>
      <c r="E660" s="583">
        <f t="shared" si="233"/>
        <v>0.25925925925925924</v>
      </c>
      <c r="F660" s="583">
        <f t="shared" si="233"/>
        <v>0</v>
      </c>
      <c r="G660" s="583">
        <f t="shared" si="233"/>
        <v>9.2592592592592587E-2</v>
      </c>
    </row>
    <row r="661" spans="1:32" s="459" customFormat="1">
      <c r="A661" s="458" t="s">
        <v>769</v>
      </c>
      <c r="B661" s="579"/>
      <c r="C661" s="407">
        <f>AVERAGE(C658:C660)</f>
        <v>2.015316404675534E-3</v>
      </c>
      <c r="D661" s="407">
        <f t="shared" ref="D661:G661" si="234">AVERAGE(D658:D660)</f>
        <v>0.58242075047219888</v>
      </c>
      <c r="E661" s="407">
        <f t="shared" si="234"/>
        <v>0.20230044635526298</v>
      </c>
      <c r="F661" s="407">
        <f t="shared" si="234"/>
        <v>4.0306328093510677E-4</v>
      </c>
      <c r="G661" s="407">
        <f t="shared" si="234"/>
        <v>0.20338725394775134</v>
      </c>
    </row>
    <row r="662" spans="1:32">
      <c r="A662" s="21" t="s">
        <v>767</v>
      </c>
      <c r="B662" s="459"/>
      <c r="C662" s="7"/>
      <c r="D662" s="7"/>
      <c r="E662" s="7"/>
      <c r="F662" s="7"/>
      <c r="G662" s="7"/>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c r="AD662" s="459"/>
      <c r="AE662" s="459"/>
      <c r="AF662" s="459"/>
    </row>
    <row r="664" spans="1:32" s="459" customFormat="1"/>
    <row r="666" spans="1:32">
      <c r="A666" s="459" t="s">
        <v>764</v>
      </c>
      <c r="B666" s="459"/>
      <c r="C666" s="459"/>
      <c r="D666" s="459"/>
      <c r="E666" s="459"/>
      <c r="F666" s="459"/>
      <c r="G666" s="459"/>
    </row>
    <row r="667" spans="1:32">
      <c r="A667" s="132" t="s">
        <v>762</v>
      </c>
      <c r="B667" s="132" t="s">
        <v>755</v>
      </c>
      <c r="C667" s="132" t="s">
        <v>385</v>
      </c>
      <c r="D667" s="132" t="s">
        <v>373</v>
      </c>
      <c r="E667" s="132" t="s">
        <v>386</v>
      </c>
      <c r="F667" s="132" t="s">
        <v>756</v>
      </c>
      <c r="G667" s="132" t="s">
        <v>757</v>
      </c>
    </row>
    <row r="668" spans="1:32">
      <c r="A668" s="459" t="s">
        <v>758</v>
      </c>
      <c r="B668" s="459">
        <v>36521.1</v>
      </c>
      <c r="C668" s="459">
        <v>2387.8000000000002</v>
      </c>
      <c r="D668" s="459">
        <v>31319.4</v>
      </c>
      <c r="E668" s="459">
        <v>365.3</v>
      </c>
      <c r="F668" s="459">
        <v>770.9</v>
      </c>
      <c r="G668" s="459">
        <v>1677.7</v>
      </c>
    </row>
    <row r="669" spans="1:32">
      <c r="A669" s="459" t="s">
        <v>759</v>
      </c>
      <c r="B669" s="459">
        <v>157.4</v>
      </c>
      <c r="C669" s="459">
        <v>0.1</v>
      </c>
      <c r="D669" s="459">
        <v>143.69999999999999</v>
      </c>
      <c r="E669" s="459">
        <v>0</v>
      </c>
      <c r="F669" s="459">
        <v>0</v>
      </c>
      <c r="G669" s="459">
        <v>13.6</v>
      </c>
    </row>
    <row r="670" spans="1:32">
      <c r="A670" s="458" t="s">
        <v>760</v>
      </c>
      <c r="B670" s="458">
        <v>266.39999999999998</v>
      </c>
      <c r="C670" s="458">
        <v>20.399999999999999</v>
      </c>
      <c r="D670" s="458">
        <v>222.7</v>
      </c>
      <c r="E670" s="458">
        <v>3.3</v>
      </c>
      <c r="F670" s="458">
        <v>6.2</v>
      </c>
      <c r="G670" s="458">
        <v>13.7</v>
      </c>
    </row>
    <row r="671" spans="1:32">
      <c r="A671" s="21" t="s">
        <v>763</v>
      </c>
      <c r="B671" s="459"/>
      <c r="C671" s="459"/>
      <c r="D671" s="459"/>
      <c r="E671" s="459"/>
      <c r="F671" s="459"/>
      <c r="G671" s="459"/>
    </row>
    <row r="675" spans="1:7">
      <c r="A675" s="459" t="s">
        <v>765</v>
      </c>
      <c r="B675" s="459"/>
      <c r="C675" s="459"/>
      <c r="D675" s="459"/>
      <c r="E675" s="459"/>
      <c r="F675" s="459"/>
      <c r="G675" s="459"/>
    </row>
    <row r="676" spans="1:7">
      <c r="A676" s="132" t="s">
        <v>762</v>
      </c>
      <c r="B676" s="132" t="s">
        <v>755</v>
      </c>
      <c r="C676" s="132" t="s">
        <v>385</v>
      </c>
      <c r="D676" s="132" t="s">
        <v>373</v>
      </c>
      <c r="E676" s="132" t="s">
        <v>386</v>
      </c>
      <c r="F676" s="132" t="s">
        <v>756</v>
      </c>
      <c r="G676" s="132" t="s">
        <v>757</v>
      </c>
    </row>
    <row r="677" spans="1:7">
      <c r="A677" s="459" t="s">
        <v>758</v>
      </c>
      <c r="B677" s="459">
        <f>B668-B649</f>
        <v>36355.699999999997</v>
      </c>
      <c r="C677" s="459">
        <f t="shared" ref="C677:G677" si="235">C668-C649</f>
        <v>2386.8000000000002</v>
      </c>
      <c r="D677" s="459">
        <f t="shared" si="235"/>
        <v>31219.7</v>
      </c>
      <c r="E677" s="459">
        <f t="shared" si="235"/>
        <v>307.8</v>
      </c>
      <c r="F677" s="459">
        <f t="shared" si="235"/>
        <v>770.69999999999993</v>
      </c>
      <c r="G677" s="459">
        <f t="shared" si="235"/>
        <v>1670.7</v>
      </c>
    </row>
    <row r="678" spans="1:7">
      <c r="A678" s="459" t="s">
        <v>759</v>
      </c>
      <c r="B678" s="459">
        <f>B669-B650</f>
        <v>147.30000000000001</v>
      </c>
      <c r="C678" s="459">
        <f t="shared" ref="C678:G679" si="236">C669-C650</f>
        <v>0.1</v>
      </c>
      <c r="D678" s="459">
        <f t="shared" si="236"/>
        <v>138.5</v>
      </c>
      <c r="E678" s="459">
        <f t="shared" si="236"/>
        <v>0</v>
      </c>
      <c r="F678" s="459">
        <f t="shared" si="236"/>
        <v>0</v>
      </c>
      <c r="G678" s="459">
        <f t="shared" si="236"/>
        <v>8.8000000000000007</v>
      </c>
    </row>
    <row r="679" spans="1:7">
      <c r="A679" s="458" t="s">
        <v>760</v>
      </c>
      <c r="B679" s="458">
        <f>B670-B651</f>
        <v>261</v>
      </c>
      <c r="C679" s="458">
        <f t="shared" si="236"/>
        <v>20.399999999999999</v>
      </c>
      <c r="D679" s="458">
        <f t="shared" si="236"/>
        <v>219.29999999999998</v>
      </c>
      <c r="E679" s="458">
        <f t="shared" si="236"/>
        <v>1.9</v>
      </c>
      <c r="F679" s="458">
        <f t="shared" si="236"/>
        <v>6.2</v>
      </c>
      <c r="G679" s="458">
        <f t="shared" si="236"/>
        <v>13.2</v>
      </c>
    </row>
    <row r="680" spans="1:7">
      <c r="A680" s="21" t="s">
        <v>763</v>
      </c>
      <c r="B680" s="459"/>
      <c r="C680" s="459"/>
      <c r="D680" s="459"/>
      <c r="E680" s="459"/>
      <c r="F680" s="459"/>
      <c r="G680" s="459"/>
    </row>
    <row r="681" spans="1:7">
      <c r="C681" s="357"/>
      <c r="D681" s="357"/>
      <c r="E681" s="357"/>
      <c r="F681" s="357"/>
      <c r="G681" s="357"/>
    </row>
    <row r="682" spans="1:7">
      <c r="C682" s="357"/>
      <c r="D682" s="357"/>
      <c r="E682" s="357"/>
      <c r="F682" s="357"/>
      <c r="G682" s="357"/>
    </row>
    <row r="684" spans="1:7">
      <c r="A684" s="459" t="s">
        <v>768</v>
      </c>
      <c r="B684" s="459"/>
      <c r="C684" s="459"/>
      <c r="D684" s="459"/>
      <c r="E684" s="459"/>
      <c r="F684" s="459"/>
      <c r="G684" s="459"/>
    </row>
    <row r="685" spans="1:7">
      <c r="A685" s="132" t="s">
        <v>762</v>
      </c>
      <c r="B685" s="132" t="s">
        <v>755</v>
      </c>
      <c r="C685" s="132" t="s">
        <v>385</v>
      </c>
      <c r="D685" s="132" t="s">
        <v>373</v>
      </c>
      <c r="E685" s="132" t="s">
        <v>386</v>
      </c>
      <c r="F685" s="132" t="s">
        <v>756</v>
      </c>
      <c r="G685" s="132" t="s">
        <v>757</v>
      </c>
    </row>
    <row r="686" spans="1:7">
      <c r="A686" s="459" t="s">
        <v>758</v>
      </c>
      <c r="B686" s="578">
        <f>B677/$B677</f>
        <v>1</v>
      </c>
      <c r="C686" s="578">
        <f>C677/$B677</f>
        <v>6.5651328402423839E-2</v>
      </c>
      <c r="D686" s="578">
        <f t="shared" ref="D686:G686" si="237">D677/$B677</f>
        <v>0.85872916764083773</v>
      </c>
      <c r="E686" s="578">
        <f t="shared" si="237"/>
        <v>8.4663477804030746E-3</v>
      </c>
      <c r="F686" s="578">
        <f t="shared" si="237"/>
        <v>2.1198876654829918E-2</v>
      </c>
      <c r="G686" s="578">
        <f t="shared" si="237"/>
        <v>4.5954279521505575E-2</v>
      </c>
    </row>
    <row r="687" spans="1:7">
      <c r="A687" s="1" t="s">
        <v>759</v>
      </c>
      <c r="B687" s="583">
        <f t="shared" ref="B687" si="238">B678/$B678</f>
        <v>1</v>
      </c>
      <c r="C687" s="583">
        <f t="shared" ref="C687:G687" si="239">C678/$B678</f>
        <v>6.7888662593346908E-4</v>
      </c>
      <c r="D687" s="583">
        <f>D678/$B678</f>
        <v>0.94025797691785462</v>
      </c>
      <c r="E687" s="583">
        <f t="shared" si="239"/>
        <v>0</v>
      </c>
      <c r="F687" s="583">
        <f t="shared" si="239"/>
        <v>0</v>
      </c>
      <c r="G687" s="583">
        <f t="shared" si="239"/>
        <v>5.9742023082145282E-2</v>
      </c>
    </row>
    <row r="688" spans="1:7">
      <c r="A688" s="1" t="s">
        <v>760</v>
      </c>
      <c r="B688" s="583">
        <f t="shared" ref="B688" si="240">B679/$B679</f>
        <v>1</v>
      </c>
      <c r="C688" s="583">
        <f>C679/$B679</f>
        <v>7.8160919540229884E-2</v>
      </c>
      <c r="D688" s="583">
        <f>D679/$B679</f>
        <v>0.8402298850574712</v>
      </c>
      <c r="E688" s="583">
        <f t="shared" ref="E688:G688" si="241">E679/$B679</f>
        <v>7.2796934865900376E-3</v>
      </c>
      <c r="F688" s="583">
        <f t="shared" si="241"/>
        <v>2.3754789272030653E-2</v>
      </c>
      <c r="G688" s="583">
        <f t="shared" si="241"/>
        <v>5.057471264367816E-2</v>
      </c>
    </row>
    <row r="689" spans="1:29" s="459" customFormat="1">
      <c r="A689" s="458" t="s">
        <v>769</v>
      </c>
      <c r="B689" s="579"/>
      <c r="C689" s="407">
        <f>AVERAGE(C686:C688)</f>
        <v>4.8163711522862397E-2</v>
      </c>
      <c r="D689" s="407">
        <f t="shared" ref="D689:G689" si="242">AVERAGE(D686:D688)</f>
        <v>0.87973900987205456</v>
      </c>
      <c r="E689" s="407">
        <f t="shared" si="242"/>
        <v>5.2486804223310368E-3</v>
      </c>
      <c r="F689" s="407">
        <f t="shared" si="242"/>
        <v>1.4984555308953524E-2</v>
      </c>
      <c r="G689" s="407">
        <f t="shared" si="242"/>
        <v>5.2090338415776337E-2</v>
      </c>
    </row>
    <row r="690" spans="1:29">
      <c r="A690" s="21" t="s">
        <v>767</v>
      </c>
      <c r="B690" s="459"/>
      <c r="C690" s="459"/>
      <c r="D690" s="459"/>
      <c r="E690" s="459"/>
      <c r="F690" s="459"/>
      <c r="G690" s="459"/>
    </row>
    <row r="692" spans="1:29">
      <c r="B692" s="581" t="s">
        <v>755</v>
      </c>
      <c r="C692" s="581" t="s">
        <v>385</v>
      </c>
      <c r="D692" s="581" t="s">
        <v>373</v>
      </c>
      <c r="E692" s="581" t="s">
        <v>386</v>
      </c>
      <c r="F692" s="581" t="s">
        <v>756</v>
      </c>
      <c r="G692" s="581" t="s">
        <v>757</v>
      </c>
    </row>
    <row r="693" spans="1:29">
      <c r="B693" s="582" t="s">
        <v>728</v>
      </c>
      <c r="C693" s="582" t="s">
        <v>385</v>
      </c>
      <c r="D693" s="582" t="s">
        <v>373</v>
      </c>
      <c r="E693" s="582" t="s">
        <v>386</v>
      </c>
      <c r="F693" s="582" t="s">
        <v>392</v>
      </c>
      <c r="G693" s="582" t="s">
        <v>384</v>
      </c>
    </row>
    <row r="698" spans="1:29">
      <c r="AC698" s="459"/>
    </row>
    <row r="699" spans="1:29">
      <c r="A699" s="459"/>
      <c r="B699" s="459"/>
      <c r="C699" s="459"/>
      <c r="D699" s="459"/>
      <c r="E699" s="459"/>
      <c r="F699" s="459"/>
      <c r="G699" s="459"/>
      <c r="H699" s="459"/>
      <c r="I699" s="459"/>
      <c r="J699" s="459"/>
      <c r="K699" s="459"/>
      <c r="L699" s="459"/>
      <c r="M699" s="459"/>
      <c r="N699" s="459"/>
      <c r="O699" s="459"/>
      <c r="P699" s="459"/>
      <c r="Q699" s="459"/>
      <c r="R699" s="459"/>
      <c r="S699" s="459"/>
      <c r="T699" s="459"/>
      <c r="U699" s="459"/>
      <c r="V699" s="459"/>
      <c r="W699" s="459"/>
      <c r="X699" s="459"/>
      <c r="Y699" s="459"/>
      <c r="Z699" s="459"/>
      <c r="AA699" s="459"/>
      <c r="AB699" s="459"/>
      <c r="AC699" s="459"/>
    </row>
    <row r="700" spans="1:29">
      <c r="A700" s="459"/>
      <c r="B700" s="459"/>
      <c r="C700" s="459"/>
      <c r="D700" s="459"/>
      <c r="E700" s="459"/>
      <c r="F700" s="459"/>
      <c r="G700" s="459"/>
      <c r="H700" s="459"/>
      <c r="I700" s="459"/>
      <c r="J700" s="459"/>
      <c r="K700" s="459"/>
      <c r="L700" s="459"/>
      <c r="M700" s="459"/>
      <c r="N700" s="459"/>
      <c r="O700" s="459"/>
      <c r="P700" s="459"/>
      <c r="Q700" s="459"/>
      <c r="R700" s="459"/>
      <c r="S700" s="459"/>
      <c r="T700" s="459"/>
      <c r="U700" s="459"/>
      <c r="V700" s="459"/>
      <c r="W700" s="459"/>
      <c r="X700" s="459"/>
      <c r="Y700" s="459"/>
      <c r="Z700" s="459"/>
      <c r="AA700" s="459"/>
      <c r="AB700" s="459"/>
      <c r="AC700" s="459"/>
    </row>
    <row r="701" spans="1:29">
      <c r="A701" s="459"/>
      <c r="B701" s="459"/>
      <c r="C701" s="459"/>
      <c r="D701" s="459"/>
      <c r="E701" s="459"/>
      <c r="F701" s="459"/>
      <c r="G701" s="459"/>
      <c r="H701" s="459"/>
      <c r="I701" s="459"/>
      <c r="J701" s="459"/>
      <c r="K701" s="459"/>
      <c r="L701" s="459"/>
      <c r="M701" s="459"/>
      <c r="N701" s="459"/>
      <c r="O701" s="459"/>
      <c r="P701" s="459"/>
      <c r="Q701" s="459"/>
      <c r="R701" s="459"/>
      <c r="S701" s="459"/>
      <c r="T701" s="459"/>
      <c r="U701" s="459"/>
      <c r="V701" s="459"/>
      <c r="W701" s="459"/>
      <c r="X701" s="459"/>
      <c r="Y701" s="459"/>
      <c r="Z701" s="459"/>
      <c r="AA701" s="459"/>
      <c r="AB701" s="459"/>
      <c r="AC701" s="459"/>
    </row>
    <row r="702" spans="1:29">
      <c r="A702" s="459"/>
      <c r="B702" s="459"/>
      <c r="C702" s="459"/>
      <c r="D702" s="459"/>
      <c r="E702" s="459"/>
      <c r="F702" s="459"/>
      <c r="G702" s="459"/>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row>
    <row r="703" spans="1:29">
      <c r="A703" s="459"/>
      <c r="B703" s="459"/>
      <c r="C703" s="459"/>
      <c r="D703" s="459"/>
      <c r="E703" s="459"/>
      <c r="F703" s="459"/>
      <c r="G703" s="459"/>
      <c r="H703" s="459"/>
      <c r="I703" s="459"/>
      <c r="J703" s="459"/>
      <c r="K703" s="459"/>
      <c r="L703" s="459"/>
      <c r="M703" s="459"/>
      <c r="N703" s="459"/>
      <c r="O703" s="459"/>
      <c r="P703" s="459"/>
      <c r="Q703" s="459"/>
      <c r="R703" s="459"/>
      <c r="S703" s="459"/>
      <c r="T703" s="459"/>
      <c r="U703" s="459"/>
      <c r="V703" s="459"/>
      <c r="W703" s="459"/>
      <c r="X703" s="459"/>
      <c r="Y703" s="459"/>
      <c r="Z703" s="459"/>
      <c r="AA703" s="459"/>
      <c r="AB703" s="459"/>
      <c r="AC703" s="459"/>
    </row>
    <row r="704" spans="1:29">
      <c r="A704" s="459"/>
      <c r="B704" s="459"/>
      <c r="C704" s="459"/>
      <c r="D704" s="459"/>
      <c r="E704" s="459"/>
      <c r="F704" s="459"/>
      <c r="G704" s="459"/>
      <c r="H704" s="459"/>
      <c r="I704" s="459"/>
      <c r="J704" s="459"/>
      <c r="K704" s="459"/>
      <c r="L704" s="459"/>
      <c r="M704" s="459"/>
      <c r="N704" s="459"/>
      <c r="O704" s="459"/>
      <c r="P704" s="459"/>
      <c r="Q704" s="459"/>
      <c r="R704" s="459"/>
      <c r="S704" s="459"/>
      <c r="T704" s="459"/>
      <c r="U704" s="459"/>
      <c r="V704" s="459"/>
      <c r="W704" s="459"/>
      <c r="X704" s="459"/>
      <c r="Y704" s="459"/>
      <c r="Z704" s="459"/>
      <c r="AA704" s="459"/>
      <c r="AB704" s="459"/>
      <c r="AC704" s="459"/>
    </row>
    <row r="705" spans="1:29">
      <c r="A705" s="459"/>
      <c r="B705" s="459"/>
      <c r="C705" s="459"/>
      <c r="D705" s="459"/>
      <c r="E705" s="459"/>
      <c r="F705" s="459"/>
      <c r="G705" s="459"/>
      <c r="H705" s="459"/>
      <c r="I705" s="459"/>
      <c r="J705" s="459"/>
      <c r="K705" s="459"/>
      <c r="L705" s="459"/>
      <c r="M705" s="459"/>
      <c r="N705" s="459"/>
      <c r="O705" s="459"/>
      <c r="P705" s="459"/>
      <c r="Q705" s="459"/>
      <c r="R705" s="459"/>
      <c r="S705" s="459"/>
      <c r="T705" s="459"/>
      <c r="U705" s="459"/>
      <c r="V705" s="459"/>
      <c r="W705" s="459"/>
      <c r="X705" s="459"/>
      <c r="Y705" s="459"/>
      <c r="Z705" s="459"/>
      <c r="AA705" s="459"/>
      <c r="AB705" s="459"/>
      <c r="AC705" s="459"/>
    </row>
    <row r="706" spans="1:29">
      <c r="A706" s="459"/>
      <c r="B706" s="459"/>
      <c r="C706" s="459"/>
      <c r="D706" s="459"/>
      <c r="E706" s="459"/>
      <c r="F706" s="459"/>
      <c r="G706" s="459"/>
      <c r="H706" s="459"/>
      <c r="I706" s="459"/>
      <c r="J706" s="459"/>
      <c r="K706" s="459"/>
      <c r="L706" s="459"/>
      <c r="M706" s="459"/>
      <c r="N706" s="459"/>
      <c r="O706" s="459"/>
      <c r="P706" s="459"/>
      <c r="Q706" s="459"/>
      <c r="R706" s="459"/>
      <c r="S706" s="459"/>
      <c r="T706" s="459"/>
      <c r="U706" s="459"/>
      <c r="V706" s="459"/>
      <c r="W706" s="459"/>
      <c r="X706" s="459"/>
      <c r="Y706" s="459"/>
      <c r="Z706" s="459"/>
      <c r="AA706" s="459"/>
      <c r="AB706" s="459"/>
      <c r="AC706" s="459"/>
    </row>
    <row r="707" spans="1:29">
      <c r="A707" s="459"/>
      <c r="B707" s="459"/>
      <c r="C707" s="459"/>
      <c r="D707" s="459"/>
      <c r="E707" s="459"/>
      <c r="F707" s="459"/>
      <c r="G707" s="459"/>
      <c r="H707" s="459"/>
      <c r="I707" s="459"/>
      <c r="J707" s="459"/>
      <c r="K707" s="459"/>
      <c r="L707" s="459"/>
      <c r="M707" s="459"/>
      <c r="N707" s="459"/>
      <c r="O707" s="459"/>
      <c r="P707" s="459"/>
      <c r="Q707" s="459"/>
      <c r="R707" s="459"/>
      <c r="S707" s="459"/>
      <c r="T707" s="459"/>
      <c r="U707" s="459"/>
      <c r="V707" s="459"/>
      <c r="W707" s="459"/>
      <c r="X707" s="459"/>
      <c r="Y707" s="459"/>
      <c r="Z707" s="459"/>
      <c r="AA707" s="459"/>
      <c r="AB707" s="459"/>
      <c r="AC707" s="459"/>
    </row>
    <row r="708" spans="1:29">
      <c r="A708" s="459"/>
      <c r="B708" s="459"/>
      <c r="C708" s="459"/>
      <c r="D708" s="459"/>
      <c r="E708" s="459"/>
      <c r="F708" s="459"/>
      <c r="G708" s="459"/>
      <c r="H708" s="459"/>
      <c r="I708" s="459"/>
      <c r="J708" s="459"/>
      <c r="K708" s="459"/>
      <c r="L708" s="459"/>
      <c r="M708" s="459"/>
      <c r="N708" s="459"/>
      <c r="O708" s="459"/>
      <c r="P708" s="459"/>
      <c r="Q708" s="459"/>
      <c r="R708" s="459"/>
      <c r="S708" s="459"/>
      <c r="T708" s="459"/>
      <c r="U708" s="459"/>
      <c r="V708" s="459"/>
      <c r="W708" s="459"/>
      <c r="X708" s="459"/>
      <c r="Y708" s="459"/>
      <c r="Z708" s="459"/>
      <c r="AA708" s="459"/>
      <c r="AB708" s="459"/>
      <c r="AC708" s="459"/>
    </row>
    <row r="709" spans="1:29">
      <c r="A709" s="459"/>
      <c r="B709" s="459"/>
      <c r="C709" s="459"/>
      <c r="D709" s="459"/>
      <c r="E709" s="459"/>
      <c r="F709" s="459"/>
      <c r="G709" s="459"/>
      <c r="H709" s="459"/>
      <c r="I709" s="459"/>
      <c r="J709" s="459"/>
      <c r="K709" s="459"/>
      <c r="L709" s="459"/>
      <c r="M709" s="459"/>
      <c r="N709" s="459"/>
      <c r="O709" s="459"/>
      <c r="P709" s="459"/>
      <c r="Q709" s="459"/>
      <c r="R709" s="459"/>
      <c r="S709" s="459"/>
      <c r="T709" s="459"/>
      <c r="U709" s="459"/>
      <c r="V709" s="459"/>
      <c r="W709" s="459"/>
      <c r="X709" s="459"/>
      <c r="Y709" s="459"/>
      <c r="Z709" s="459"/>
      <c r="AA709" s="459"/>
      <c r="AB709" s="459"/>
      <c r="AC709" s="459"/>
    </row>
    <row r="710" spans="1:29">
      <c r="A710" s="459"/>
      <c r="B710" s="459"/>
      <c r="C710" s="459"/>
      <c r="D710" s="459"/>
      <c r="E710" s="459"/>
      <c r="F710" s="459"/>
      <c r="G710" s="459"/>
      <c r="H710" s="459"/>
      <c r="I710" s="459"/>
      <c r="J710" s="459"/>
      <c r="K710" s="459"/>
      <c r="L710" s="459"/>
      <c r="M710" s="459"/>
      <c r="N710" s="459"/>
      <c r="O710" s="459"/>
      <c r="P710" s="459"/>
      <c r="Q710" s="459"/>
      <c r="R710" s="459"/>
      <c r="S710" s="459"/>
      <c r="T710" s="459"/>
      <c r="U710" s="459"/>
      <c r="V710" s="459"/>
      <c r="W710" s="459"/>
      <c r="X710" s="459"/>
      <c r="Y710" s="459"/>
      <c r="Z710" s="459"/>
      <c r="AA710" s="459"/>
      <c r="AB710" s="459"/>
      <c r="AC710" s="459"/>
    </row>
    <row r="711" spans="1:29">
      <c r="A711" s="459"/>
      <c r="B711" s="459"/>
      <c r="C711" s="459"/>
      <c r="D711" s="459"/>
      <c r="E711" s="459"/>
      <c r="F711" s="459"/>
      <c r="G711" s="459"/>
      <c r="H711" s="459"/>
      <c r="I711" s="459"/>
      <c r="J711" s="459"/>
      <c r="K711" s="459"/>
      <c r="L711" s="459"/>
      <c r="M711" s="459"/>
      <c r="N711" s="459"/>
      <c r="O711" s="459"/>
      <c r="P711" s="459"/>
      <c r="Q711" s="459"/>
      <c r="R711" s="459"/>
      <c r="S711" s="459"/>
      <c r="T711" s="459"/>
      <c r="U711" s="459"/>
      <c r="V711" s="459"/>
      <c r="W711" s="459"/>
      <c r="X711" s="459"/>
      <c r="Y711" s="459"/>
      <c r="Z711" s="459"/>
      <c r="AA711" s="459"/>
      <c r="AB711" s="459"/>
      <c r="AC711" s="459"/>
    </row>
    <row r="712" spans="1:29">
      <c r="A712" s="459"/>
      <c r="B712" s="459"/>
      <c r="C712" s="459"/>
      <c r="D712" s="459"/>
      <c r="E712" s="459"/>
      <c r="F712" s="459"/>
      <c r="G712" s="459"/>
      <c r="H712" s="459"/>
      <c r="I712" s="459"/>
      <c r="J712" s="459"/>
      <c r="K712" s="459"/>
      <c r="L712" s="459"/>
      <c r="M712" s="459"/>
      <c r="N712" s="459"/>
      <c r="O712" s="459"/>
      <c r="P712" s="459"/>
      <c r="Q712" s="459"/>
      <c r="R712" s="459"/>
      <c r="S712" s="459"/>
      <c r="T712" s="459"/>
      <c r="U712" s="459"/>
      <c r="V712" s="459"/>
      <c r="W712" s="459"/>
      <c r="X712" s="459"/>
      <c r="Y712" s="459"/>
      <c r="Z712" s="459"/>
      <c r="AA712" s="459"/>
      <c r="AB712" s="459"/>
      <c r="AC712" s="459"/>
    </row>
    <row r="713" spans="1:29">
      <c r="A713" s="459"/>
      <c r="B713" s="459"/>
      <c r="C713" s="459"/>
      <c r="D713" s="459"/>
      <c r="E713" s="459"/>
      <c r="F713" s="459"/>
      <c r="G713" s="459"/>
      <c r="H713" s="459"/>
      <c r="I713" s="459"/>
      <c r="J713" s="459"/>
      <c r="K713" s="459"/>
      <c r="L713" s="459"/>
      <c r="M713" s="459"/>
      <c r="N713" s="459"/>
      <c r="O713" s="459"/>
      <c r="P713" s="459"/>
      <c r="Q713" s="459"/>
      <c r="R713" s="459"/>
      <c r="S713" s="459"/>
      <c r="T713" s="459"/>
      <c r="U713" s="459"/>
      <c r="V713" s="459"/>
      <c r="W713" s="459"/>
      <c r="X713" s="459"/>
      <c r="Y713" s="459"/>
      <c r="Z713" s="459"/>
      <c r="AA713" s="459"/>
      <c r="AB713" s="459"/>
      <c r="AC713" s="459"/>
    </row>
    <row r="714" spans="1:29">
      <c r="A714" s="459"/>
      <c r="B714" s="459"/>
      <c r="C714" s="459"/>
      <c r="D714" s="459"/>
      <c r="E714" s="459"/>
      <c r="F714" s="459"/>
      <c r="G714" s="459"/>
      <c r="H714" s="459"/>
      <c r="I714" s="459"/>
      <c r="J714" s="459"/>
      <c r="K714" s="459"/>
      <c r="L714" s="459"/>
      <c r="M714" s="459"/>
      <c r="N714" s="459"/>
      <c r="O714" s="459"/>
      <c r="P714" s="459"/>
      <c r="Q714" s="459"/>
      <c r="R714" s="459"/>
      <c r="S714" s="459"/>
      <c r="T714" s="459"/>
      <c r="U714" s="459"/>
      <c r="V714" s="459"/>
      <c r="W714" s="459"/>
      <c r="X714" s="459"/>
      <c r="Y714" s="459"/>
      <c r="Z714" s="459"/>
      <c r="AA714" s="459"/>
      <c r="AB714" s="459"/>
      <c r="AC714" s="459"/>
    </row>
    <row r="715" spans="1:29">
      <c r="A715" s="459"/>
      <c r="B715" s="459"/>
      <c r="C715" s="459"/>
      <c r="D715" s="459"/>
      <c r="E715" s="459"/>
      <c r="F715" s="459"/>
      <c r="G715" s="459"/>
      <c r="H715" s="459"/>
      <c r="I715" s="459"/>
      <c r="J715" s="459"/>
      <c r="K715" s="459"/>
      <c r="L715" s="459"/>
      <c r="M715" s="459"/>
      <c r="N715" s="459"/>
      <c r="O715" s="459"/>
      <c r="P715" s="459"/>
      <c r="Q715" s="459"/>
      <c r="R715" s="459"/>
      <c r="S715" s="459"/>
      <c r="T715" s="459"/>
      <c r="U715" s="459"/>
      <c r="V715" s="459"/>
      <c r="W715" s="459"/>
      <c r="X715" s="459"/>
      <c r="Y715" s="459"/>
      <c r="Z715" s="459"/>
      <c r="AA715" s="459"/>
      <c r="AB715" s="459"/>
      <c r="AC715" s="459"/>
    </row>
    <row r="716" spans="1:29">
      <c r="A716" s="459"/>
      <c r="B716" s="459"/>
      <c r="C716" s="459"/>
      <c r="D716" s="459"/>
      <c r="E716" s="459"/>
      <c r="F716" s="459"/>
      <c r="G716" s="459"/>
      <c r="H716" s="459"/>
      <c r="I716" s="459"/>
      <c r="J716" s="459"/>
      <c r="K716" s="459"/>
      <c r="L716" s="459"/>
      <c r="M716" s="459"/>
      <c r="N716" s="459"/>
      <c r="O716" s="459"/>
      <c r="P716" s="459"/>
      <c r="Q716" s="459"/>
      <c r="R716" s="459"/>
      <c r="S716" s="459"/>
      <c r="T716" s="459"/>
      <c r="U716" s="459"/>
      <c r="V716" s="459"/>
      <c r="W716" s="459"/>
      <c r="X716" s="459"/>
      <c r="Y716" s="459"/>
      <c r="Z716" s="459"/>
      <c r="AA716" s="459"/>
      <c r="AB716" s="459"/>
      <c r="AC716" s="459"/>
    </row>
    <row r="717" spans="1:29">
      <c r="A717" s="459"/>
      <c r="B717" s="459"/>
      <c r="C717" s="459"/>
      <c r="D717" s="459"/>
      <c r="E717" s="459"/>
      <c r="F717" s="459"/>
      <c r="G717" s="459"/>
      <c r="H717" s="459"/>
      <c r="I717" s="459"/>
      <c r="J717" s="459"/>
      <c r="K717" s="459"/>
      <c r="L717" s="459"/>
      <c r="M717" s="459"/>
      <c r="N717" s="459"/>
      <c r="O717" s="459"/>
      <c r="P717" s="459"/>
      <c r="Q717" s="459"/>
      <c r="R717" s="459"/>
      <c r="S717" s="459"/>
      <c r="T717" s="459"/>
      <c r="U717" s="459"/>
      <c r="V717" s="459"/>
      <c r="W717" s="459"/>
      <c r="X717" s="459"/>
      <c r="Y717" s="459"/>
      <c r="Z717" s="459"/>
      <c r="AA717" s="459"/>
      <c r="AB717" s="459"/>
      <c r="AC717" s="459"/>
    </row>
    <row r="718" spans="1:29">
      <c r="A718" s="459"/>
      <c r="B718" s="459"/>
      <c r="C718" s="459"/>
      <c r="D718" s="459"/>
      <c r="E718" s="459"/>
      <c r="F718" s="459"/>
      <c r="G718" s="459"/>
      <c r="H718" s="459"/>
      <c r="I718" s="459"/>
      <c r="J718" s="459"/>
      <c r="K718" s="459"/>
      <c r="L718" s="459"/>
      <c r="M718" s="459"/>
      <c r="N718" s="459"/>
      <c r="O718" s="459"/>
      <c r="P718" s="459"/>
      <c r="Q718" s="459"/>
      <c r="R718" s="459"/>
      <c r="S718" s="459"/>
      <c r="T718" s="459"/>
      <c r="U718" s="459"/>
      <c r="V718" s="459"/>
      <c r="W718" s="459"/>
      <c r="X718" s="459"/>
      <c r="Y718" s="459"/>
      <c r="Z718" s="459"/>
      <c r="AA718" s="459"/>
      <c r="AB718" s="459"/>
      <c r="AC718" s="459"/>
    </row>
    <row r="719" spans="1:29">
      <c r="A719" s="459"/>
      <c r="B719" s="459"/>
      <c r="C719" s="459"/>
      <c r="D719" s="459"/>
      <c r="E719" s="459"/>
      <c r="F719" s="459"/>
      <c r="G719" s="459"/>
      <c r="H719" s="459"/>
      <c r="I719" s="459"/>
      <c r="J719" s="459"/>
      <c r="K719" s="459"/>
      <c r="L719" s="459"/>
      <c r="M719" s="459"/>
      <c r="N719" s="459"/>
      <c r="O719" s="459"/>
      <c r="P719" s="459"/>
      <c r="Q719" s="459"/>
      <c r="R719" s="459"/>
      <c r="S719" s="459"/>
      <c r="T719" s="459"/>
      <c r="U719" s="459"/>
      <c r="V719" s="459"/>
      <c r="W719" s="459"/>
      <c r="X719" s="459"/>
      <c r="Y719" s="459"/>
      <c r="Z719" s="459"/>
      <c r="AA719" s="459"/>
      <c r="AB719" s="459"/>
      <c r="AC719" s="459"/>
    </row>
    <row r="720" spans="1:29">
      <c r="A720" s="459"/>
      <c r="B720" s="459"/>
      <c r="C720" s="459"/>
      <c r="D720" s="459"/>
      <c r="E720" s="459"/>
      <c r="F720" s="459"/>
      <c r="G720" s="459"/>
      <c r="H720" s="459"/>
      <c r="I720" s="459"/>
      <c r="J720" s="459"/>
      <c r="K720" s="459"/>
      <c r="L720" s="459"/>
      <c r="M720" s="459"/>
      <c r="N720" s="459"/>
      <c r="O720" s="459"/>
      <c r="P720" s="459"/>
      <c r="Q720" s="459"/>
      <c r="R720" s="459"/>
      <c r="S720" s="459"/>
      <c r="T720" s="459"/>
      <c r="U720" s="459"/>
      <c r="V720" s="459"/>
      <c r="W720" s="459"/>
      <c r="X720" s="459"/>
      <c r="Y720" s="459"/>
      <c r="Z720" s="459"/>
      <c r="AA720" s="459"/>
      <c r="AB720" s="459"/>
      <c r="AC720" s="459"/>
    </row>
    <row r="721" spans="1:29">
      <c r="A721" s="459"/>
      <c r="B721" s="459"/>
      <c r="C721" s="459"/>
      <c r="D721" s="459"/>
      <c r="E721" s="459"/>
      <c r="F721" s="459"/>
      <c r="G721" s="459"/>
      <c r="H721" s="459"/>
      <c r="I721" s="459"/>
      <c r="J721" s="459"/>
      <c r="K721" s="459"/>
      <c r="L721" s="459"/>
      <c r="M721" s="459"/>
      <c r="N721" s="459"/>
      <c r="O721" s="459"/>
      <c r="P721" s="459"/>
      <c r="Q721" s="459"/>
      <c r="R721" s="459"/>
      <c r="S721" s="459"/>
      <c r="T721" s="459"/>
      <c r="U721" s="459"/>
      <c r="V721" s="459"/>
      <c r="W721" s="459"/>
      <c r="X721" s="459"/>
      <c r="Y721" s="459"/>
      <c r="Z721" s="459"/>
      <c r="AA721" s="459"/>
      <c r="AB721" s="459"/>
      <c r="AC721" s="459"/>
    </row>
    <row r="722" spans="1:29">
      <c r="A722" s="459"/>
      <c r="B722" s="459"/>
      <c r="C722" s="459"/>
      <c r="D722" s="459"/>
      <c r="E722" s="459"/>
      <c r="F722" s="459"/>
      <c r="G722" s="459"/>
      <c r="H722" s="459"/>
      <c r="I722" s="459"/>
      <c r="J722" s="459"/>
      <c r="K722" s="459"/>
      <c r="L722" s="459"/>
      <c r="M722" s="459"/>
      <c r="N722" s="459"/>
      <c r="O722" s="459"/>
      <c r="P722" s="459"/>
      <c r="Q722" s="459"/>
      <c r="R722" s="459"/>
      <c r="S722" s="459"/>
      <c r="T722" s="459"/>
      <c r="U722" s="459"/>
      <c r="V722" s="459"/>
      <c r="W722" s="459"/>
      <c r="X722" s="459"/>
      <c r="Y722" s="459"/>
      <c r="Z722" s="459"/>
      <c r="AA722" s="459"/>
      <c r="AB722" s="459"/>
      <c r="AC722" s="459"/>
    </row>
    <row r="723" spans="1:29">
      <c r="A723" s="459"/>
      <c r="B723" s="459"/>
      <c r="C723" s="459"/>
      <c r="D723" s="459"/>
      <c r="E723" s="459"/>
      <c r="F723" s="459"/>
      <c r="G723" s="459"/>
      <c r="H723" s="459"/>
      <c r="I723" s="459"/>
      <c r="J723" s="459"/>
      <c r="K723" s="459"/>
      <c r="L723" s="459"/>
      <c r="M723" s="459"/>
      <c r="N723" s="459"/>
      <c r="O723" s="459"/>
      <c r="P723" s="459"/>
      <c r="Q723" s="459"/>
      <c r="R723" s="459"/>
      <c r="S723" s="459"/>
      <c r="T723" s="459"/>
      <c r="U723" s="459"/>
      <c r="V723" s="459"/>
      <c r="W723" s="459"/>
      <c r="X723" s="459"/>
      <c r="Y723" s="459"/>
      <c r="Z723" s="459"/>
      <c r="AA723" s="459"/>
      <c r="AB723" s="459"/>
      <c r="AC723" s="459"/>
    </row>
    <row r="724" spans="1:29">
      <c r="A724" s="459"/>
      <c r="B724" s="459"/>
      <c r="C724" s="459"/>
      <c r="D724" s="459"/>
      <c r="E724" s="459"/>
      <c r="F724" s="459"/>
      <c r="G724" s="459"/>
      <c r="H724" s="459"/>
      <c r="I724" s="459"/>
      <c r="J724" s="459"/>
      <c r="K724" s="459"/>
      <c r="L724" s="459"/>
      <c r="M724" s="459"/>
      <c r="N724" s="459"/>
      <c r="O724" s="459"/>
      <c r="P724" s="459"/>
      <c r="Q724" s="459"/>
      <c r="R724" s="459"/>
      <c r="S724" s="459"/>
      <c r="T724" s="459"/>
      <c r="U724" s="459"/>
      <c r="V724" s="459"/>
      <c r="W724" s="459"/>
      <c r="X724" s="459"/>
      <c r="Y724" s="459"/>
      <c r="Z724" s="459"/>
      <c r="AA724" s="459"/>
      <c r="AB724" s="459"/>
      <c r="AC724" s="459"/>
    </row>
    <row r="725" spans="1:29">
      <c r="A725" s="459"/>
      <c r="B725" s="459"/>
      <c r="C725" s="459"/>
      <c r="D725" s="459"/>
      <c r="E725" s="459"/>
      <c r="F725" s="459"/>
      <c r="G725" s="459"/>
      <c r="H725" s="459"/>
      <c r="I725" s="459"/>
      <c r="J725" s="459"/>
      <c r="K725" s="459"/>
      <c r="L725" s="459"/>
      <c r="M725" s="459"/>
      <c r="N725" s="459"/>
      <c r="O725" s="459"/>
      <c r="P725" s="459"/>
      <c r="Q725" s="459"/>
      <c r="R725" s="459"/>
      <c r="S725" s="459"/>
      <c r="T725" s="459"/>
      <c r="U725" s="459"/>
      <c r="V725" s="459"/>
      <c r="W725" s="459"/>
      <c r="X725" s="459"/>
      <c r="Y725" s="459"/>
      <c r="Z725" s="459"/>
      <c r="AA725" s="459"/>
      <c r="AB725" s="459"/>
      <c r="AC725" s="459"/>
    </row>
    <row r="726" spans="1:29">
      <c r="A726" s="459"/>
      <c r="B726" s="459"/>
      <c r="C726" s="459"/>
      <c r="D726" s="459"/>
      <c r="E726" s="459"/>
      <c r="F726" s="459"/>
      <c r="G726" s="459"/>
      <c r="H726" s="459"/>
      <c r="I726" s="459"/>
      <c r="J726" s="459"/>
      <c r="K726" s="459"/>
      <c r="L726" s="459"/>
      <c r="M726" s="459"/>
      <c r="N726" s="459"/>
      <c r="O726" s="459"/>
      <c r="P726" s="459"/>
      <c r="Q726" s="459"/>
      <c r="R726" s="459"/>
      <c r="S726" s="459"/>
      <c r="T726" s="459"/>
      <c r="U726" s="459"/>
      <c r="V726" s="459"/>
      <c r="W726" s="459"/>
      <c r="X726" s="459"/>
      <c r="Y726" s="459"/>
      <c r="Z726" s="459"/>
      <c r="AA726" s="459"/>
      <c r="AB726" s="459"/>
      <c r="AC726" s="459"/>
    </row>
    <row r="727" spans="1:29">
      <c r="B727" s="459"/>
      <c r="C727" s="459"/>
      <c r="D727" s="459"/>
      <c r="E727" s="459"/>
      <c r="F727" s="459"/>
      <c r="G727" s="459"/>
      <c r="H727" s="459"/>
      <c r="I727" s="459"/>
      <c r="J727" s="459"/>
      <c r="K727" s="459"/>
      <c r="L727" s="459"/>
      <c r="M727" s="459"/>
      <c r="N727" s="459"/>
      <c r="O727" s="459"/>
      <c r="P727" s="459"/>
      <c r="Q727" s="459"/>
      <c r="R727" s="459"/>
      <c r="S727" s="459"/>
      <c r="T727" s="459"/>
      <c r="U727" s="459"/>
      <c r="V727" s="459"/>
      <c r="W727" s="459"/>
      <c r="X727" s="459"/>
      <c r="Y727" s="459"/>
      <c r="Z727" s="459"/>
      <c r="AA727" s="459"/>
      <c r="AB727" s="459"/>
      <c r="AC727" s="459"/>
    </row>
    <row r="728" spans="1:29">
      <c r="A728" s="459"/>
      <c r="B728" s="459"/>
      <c r="C728" s="459"/>
      <c r="D728" s="459"/>
      <c r="E728" s="459"/>
      <c r="F728" s="459"/>
      <c r="G728" s="459"/>
      <c r="H728" s="459"/>
      <c r="I728" s="459"/>
      <c r="J728" s="459"/>
      <c r="K728" s="459"/>
      <c r="L728" s="459"/>
      <c r="M728" s="459"/>
      <c r="N728" s="459"/>
      <c r="O728" s="459"/>
      <c r="P728" s="459"/>
      <c r="Q728" s="459"/>
      <c r="R728" s="459"/>
      <c r="S728" s="459"/>
      <c r="T728" s="459"/>
      <c r="U728" s="459"/>
      <c r="V728" s="459"/>
      <c r="W728" s="459"/>
      <c r="X728" s="459"/>
      <c r="Y728" s="459"/>
      <c r="Z728" s="459"/>
      <c r="AA728" s="459"/>
      <c r="AB728" s="459"/>
      <c r="AC728" s="459"/>
    </row>
    <row r="729" spans="1:29">
      <c r="A729" s="459"/>
      <c r="B729" s="459"/>
      <c r="C729" s="459"/>
      <c r="D729" s="459"/>
      <c r="E729" s="459"/>
      <c r="F729" s="459"/>
      <c r="G729" s="459"/>
      <c r="H729" s="459"/>
      <c r="I729" s="459"/>
      <c r="J729" s="459"/>
      <c r="K729" s="459"/>
      <c r="L729" s="459"/>
      <c r="M729" s="459"/>
      <c r="N729" s="459"/>
      <c r="O729" s="459"/>
      <c r="P729" s="459"/>
      <c r="Q729" s="459"/>
      <c r="R729" s="459"/>
      <c r="S729" s="459"/>
      <c r="T729" s="459"/>
      <c r="U729" s="459"/>
      <c r="V729" s="459"/>
      <c r="W729" s="459"/>
      <c r="X729" s="459"/>
      <c r="Y729" s="459"/>
      <c r="Z729" s="459"/>
      <c r="AA729" s="459"/>
      <c r="AB729" s="459"/>
      <c r="AC729" s="459"/>
    </row>
  </sheetData>
  <mergeCells count="41">
    <mergeCell ref="A440:A441"/>
    <mergeCell ref="A442:A443"/>
    <mergeCell ref="A444:A445"/>
    <mergeCell ref="A429:A430"/>
    <mergeCell ref="A431:A432"/>
    <mergeCell ref="A414:A415"/>
    <mergeCell ref="A416:A417"/>
    <mergeCell ref="A418:A419"/>
    <mergeCell ref="B99:C99"/>
    <mergeCell ref="C101:C105"/>
    <mergeCell ref="D101:D105"/>
    <mergeCell ref="B110:C110"/>
    <mergeCell ref="C112:C116"/>
    <mergeCell ref="D112:D116"/>
    <mergeCell ref="C75:C84"/>
    <mergeCell ref="B73:C73"/>
    <mergeCell ref="B89:C89"/>
    <mergeCell ref="C91:C94"/>
    <mergeCell ref="D91:D94"/>
    <mergeCell ref="D75:D84"/>
    <mergeCell ref="B516:L516"/>
    <mergeCell ref="B535:L535"/>
    <mergeCell ref="B490:F490"/>
    <mergeCell ref="A156:B156"/>
    <mergeCell ref="A135:B135"/>
    <mergeCell ref="G176:H176"/>
    <mergeCell ref="G177:H177"/>
    <mergeCell ref="B472:L472"/>
    <mergeCell ref="I252:AB252"/>
    <mergeCell ref="I253:I254"/>
    <mergeCell ref="J253:L253"/>
    <mergeCell ref="N253:P253"/>
    <mergeCell ref="R253:T253"/>
    <mergeCell ref="V253:X253"/>
    <mergeCell ref="Z253:AB253"/>
    <mergeCell ref="A427:A428"/>
    <mergeCell ref="B574:L574"/>
    <mergeCell ref="B592:F592"/>
    <mergeCell ref="A553:G553"/>
    <mergeCell ref="A565:G565"/>
    <mergeCell ref="A566:G566"/>
  </mergeCells>
  <phoneticPr fontId="37" type="noConversion"/>
  <pageMargins left="0.7" right="0.7" top="0.75" bottom="0.75" header="0.3" footer="0.3"/>
  <pageSetup paperSize="9" orientation="portrait" r:id="rId1"/>
  <ignoredErrors>
    <ignoredError sqref="C462:AC464"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300</v>
      </c>
    </row>
    <row r="2" spans="1:4">
      <c r="A2" s="385"/>
      <c r="B2" s="385" t="s">
        <v>19</v>
      </c>
      <c r="C2" s="385" t="s">
        <v>18</v>
      </c>
      <c r="D2" s="385" t="s">
        <v>781</v>
      </c>
    </row>
    <row r="3" spans="1:4">
      <c r="A3" s="385" t="s">
        <v>779</v>
      </c>
      <c r="B3" s="592">
        <v>0.36</v>
      </c>
      <c r="C3" s="592">
        <v>0.34</v>
      </c>
      <c r="D3" s="592">
        <v>0.35</v>
      </c>
    </row>
    <row r="4" spans="1:4">
      <c r="A4" s="385" t="s">
        <v>780</v>
      </c>
      <c r="B4" s="592">
        <v>0.41</v>
      </c>
      <c r="C4" s="592">
        <v>0.41</v>
      </c>
      <c r="D4" s="592">
        <v>0.41</v>
      </c>
    </row>
    <row r="5" spans="1:4" s="459" customFormat="1">
      <c r="A5" s="385" t="s">
        <v>794</v>
      </c>
      <c r="B5" s="592">
        <v>0.45</v>
      </c>
      <c r="C5" s="592">
        <v>0.45</v>
      </c>
      <c r="D5" s="592">
        <v>0.45</v>
      </c>
    </row>
    <row r="6" spans="1:4">
      <c r="A6" s="385" t="s">
        <v>782</v>
      </c>
      <c r="B6" s="592">
        <v>0.4</v>
      </c>
      <c r="C6" s="592">
        <v>0.4</v>
      </c>
      <c r="D6" s="592">
        <v>0.4</v>
      </c>
    </row>
    <row r="30" spans="1:2">
      <c r="A30" s="133" t="s">
        <v>774</v>
      </c>
      <c r="B30" s="591" t="s">
        <v>773</v>
      </c>
    </row>
    <row r="31" spans="1:2">
      <c r="B31" s="591" t="s">
        <v>775</v>
      </c>
    </row>
    <row r="32" spans="1:2" s="459" customFormat="1">
      <c r="B32" s="591"/>
    </row>
    <row r="33" spans="2:2" s="459" customFormat="1">
      <c r="B33" s="591"/>
    </row>
    <row r="35" spans="2:2">
      <c r="B35" t="s">
        <v>777</v>
      </c>
    </row>
    <row r="57" spans="2:2">
      <c r="B57" s="389" t="s">
        <v>776</v>
      </c>
    </row>
    <row r="60" spans="2:2">
      <c r="B60" t="s">
        <v>778</v>
      </c>
    </row>
    <row r="80" spans="2:2">
      <c r="B80" s="389" t="s">
        <v>776</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abSelected="1" topLeftCell="A4" zoomScale="85" zoomScaleNormal="85" workbookViewId="0">
      <selection activeCell="D31" sqref="D31"/>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4" customFormat="1"/>
    <row r="2" spans="1:30" s="714" customFormat="1"/>
    <row r="3" spans="1:30" s="714" customFormat="1" ht="18">
      <c r="A3" s="855" t="s">
        <v>865</v>
      </c>
      <c r="B3" s="855"/>
      <c r="C3" s="855"/>
      <c r="D3" s="855"/>
    </row>
    <row r="4" spans="1:30" s="714" customFormat="1"/>
    <row r="5" spans="1:30" s="714" customFormat="1">
      <c r="D5" s="819" t="s">
        <v>984</v>
      </c>
    </row>
    <row r="6" spans="1:30" s="714" customFormat="1" ht="1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4" customFormat="1">
      <c r="A7" s="455" t="s">
        <v>735</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4" customFormat="1">
      <c r="A8" s="480" t="str">
        <f>A50</f>
        <v>T-WLK_WLK</v>
      </c>
      <c r="B8" s="480" t="str">
        <f t="shared" ref="B8:C8" si="1">B50</f>
        <v>DEMO</v>
      </c>
      <c r="C8" s="480" t="str">
        <f t="shared" si="1"/>
        <v>pass/vehicle</v>
      </c>
      <c r="D8" s="478">
        <f>ROUNDUP(D50,2)</f>
        <v>1</v>
      </c>
      <c r="E8" s="478">
        <f t="shared" ref="E8:AD8" si="2">ROUNDUP(E50,2)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4" customFormat="1">
      <c r="A9" s="480" t="str">
        <f t="shared" ref="A9:C9" si="3">A51</f>
        <v>T-CYC_CYC</v>
      </c>
      <c r="B9" s="480" t="str">
        <f t="shared" si="3"/>
        <v>DEMO</v>
      </c>
      <c r="C9" s="480" t="str">
        <f t="shared" si="3"/>
        <v>pass/vehicle</v>
      </c>
      <c r="D9" s="478">
        <f>ROUNDUP(D51,2)</f>
        <v>1</v>
      </c>
      <c r="E9" s="478">
        <f t="shared" ref="E9:AD9" si="4">ROUNDUP(E51,2)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4" customFormat="1">
      <c r="A10" s="480" t="str">
        <f t="shared" ref="A10:C10" si="5">A52</f>
        <v>T-MOT-ICE_GSL00</v>
      </c>
      <c r="B10" s="480" t="str">
        <f t="shared" si="5"/>
        <v>DEMO</v>
      </c>
      <c r="C10" s="480" t="str">
        <f t="shared" si="5"/>
        <v>pass/vehicle</v>
      </c>
      <c r="D10" s="478">
        <f>ROUNDUP(IF(Stock!AH165&gt;1,Stock!AH165,1),2)</f>
        <v>1.1100000000000001</v>
      </c>
      <c r="E10" s="478">
        <f>ROUNDUP(IF(Stock!AI165&gt;1,Stock!AI165,1),2)</f>
        <v>1</v>
      </c>
      <c r="F10" s="478">
        <f>ROUNDUP(IF(Stock!AJ165&gt;1,Stock!AJ165,1),2)</f>
        <v>1.06</v>
      </c>
      <c r="G10" s="478">
        <f>ROUNDUP(IF(Stock!AK165&gt;1,Stock!AK165,1),2)</f>
        <v>1.23</v>
      </c>
      <c r="H10" s="478">
        <f>ROUNDUP(IF(Stock!AL165&gt;1,Stock!AL165,1),2)</f>
        <v>1</v>
      </c>
      <c r="I10" s="478">
        <f>ROUNDUP(IF(Stock!AM165&gt;1,Stock!AM165,1),2)</f>
        <v>1</v>
      </c>
      <c r="J10" s="478">
        <f>ROUNDUP(IF(Stock!AN165&gt;1,Stock!AN165,1),2)</f>
        <v>1.94</v>
      </c>
      <c r="K10" s="478">
        <f>ROUNDUP(IF(Stock!AO165&gt;1,Stock!AO165,1),2)</f>
        <v>1</v>
      </c>
      <c r="L10" s="478">
        <f>ROUNDUP(IF(Stock!AP165&gt;1,Stock!AP165,1),2)</f>
        <v>1.2</v>
      </c>
      <c r="M10" s="478">
        <f>ROUNDUP(IF(Stock!AQ165&gt;1,Stock!AQ165,1),2)</f>
        <v>1.24</v>
      </c>
      <c r="N10" s="478">
        <f>ROUNDUP(IF(Stock!AR165&gt;1,Stock!AR165,1),2)</f>
        <v>1.35</v>
      </c>
      <c r="O10" s="478">
        <f>ROUNDUP(IF(Stock!AS165&gt;1,Stock!AS165,1),2)</f>
        <v>1.1000000000000001</v>
      </c>
      <c r="P10" s="478">
        <f>ROUNDUP(IF(Stock!AT165&gt;1,Stock!AT165,1),2)</f>
        <v>1.05</v>
      </c>
      <c r="Q10" s="478">
        <f>ROUNDUP(IF(Stock!AU165&gt;1,Stock!AU165,1),2)</f>
        <v>1.32</v>
      </c>
      <c r="R10" s="478">
        <f>ROUNDUP(IF(Stock!AV165&gt;1,Stock!AV165,1),2)</f>
        <v>1.1300000000000001</v>
      </c>
      <c r="S10" s="478">
        <f>ROUNDUP(IF(Stock!AW165&gt;1,Stock!AW165,1),2)</f>
        <v>1.1599999999999999</v>
      </c>
      <c r="T10" s="478">
        <f>ROUNDUP(IF(Stock!AX165&gt;1,Stock!AX165,1),2)</f>
        <v>1.1000000000000001</v>
      </c>
      <c r="U10" s="478">
        <f>ROUNDUP(IF(Stock!AY165&gt;1,Stock!AY165,1),2)</f>
        <v>1.1599999999999999</v>
      </c>
      <c r="V10" s="478">
        <f>ROUNDUP(IF(Stock!AZ165&gt;1,Stock!AZ165,1),2)</f>
        <v>1</v>
      </c>
      <c r="W10" s="478">
        <f>ROUNDUP(IF(Stock!BA165&gt;1,Stock!BA165,1),2)</f>
        <v>1.1200000000000001</v>
      </c>
      <c r="X10" s="478">
        <f>ROUNDUP(IF(Stock!BB165&gt;1,Stock!BB165,1),2)</f>
        <v>2.5299999999999998</v>
      </c>
      <c r="Y10" s="478">
        <f>ROUNDUP(IF(Stock!BC165&gt;1,Stock!BC165,1),2)</f>
        <v>1.34</v>
      </c>
      <c r="Z10" s="478">
        <f>ROUNDUP(IF(Stock!BD165&gt;1,Stock!BD165,1),2)</f>
        <v>1.37</v>
      </c>
      <c r="AA10" s="478">
        <f>ROUNDUP(IF(Stock!BE165&gt;1,Stock!BE165,1),2)</f>
        <v>1.04</v>
      </c>
      <c r="AB10" s="478">
        <f>ROUNDUP(IF(Stock!BF165&gt;1,Stock!BF165,1),2)</f>
        <v>1</v>
      </c>
      <c r="AC10" s="478">
        <f>ROUNDUP(IF(Stock!BG165&gt;1,Stock!BG165,1),2)</f>
        <v>1.08</v>
      </c>
      <c r="AD10" s="478">
        <f>ROUNDUP(IF(Stock!BH165&gt;1,Stock!BH165,1),2)</f>
        <v>1.32</v>
      </c>
    </row>
    <row r="11" spans="1:30" s="714" customFormat="1">
      <c r="A11" s="480" t="str">
        <f t="shared" ref="A11:C11" si="6">A53</f>
        <v>T-CAR-ICE_GSL00</v>
      </c>
      <c r="B11" s="480" t="str">
        <f t="shared" si="6"/>
        <v>DEMO</v>
      </c>
      <c r="C11" s="480" t="str">
        <f t="shared" si="6"/>
        <v>pass/vehicle</v>
      </c>
      <c r="D11" s="478">
        <f>ROUNDUP(Stock!AH166,2)</f>
        <v>1.49</v>
      </c>
      <c r="E11" s="478">
        <f>ROUNDUP(Stock!AI166,2)</f>
        <v>1.5</v>
      </c>
      <c r="F11" s="478">
        <f>ROUNDUP(Stock!AJ166,2)</f>
        <v>1.53</v>
      </c>
      <c r="G11" s="478">
        <f>ROUNDUP(Stock!AK166,2)</f>
        <v>1.51</v>
      </c>
      <c r="H11" s="478">
        <f>ROUNDUP(Stock!AL166,2)</f>
        <v>1.46</v>
      </c>
      <c r="I11" s="478">
        <f>ROUNDUP(Stock!AM166,2)</f>
        <v>1.49</v>
      </c>
      <c r="J11" s="478">
        <f>ROUNDUP(Stock!AN166,2)</f>
        <v>1.43</v>
      </c>
      <c r="K11" s="478">
        <f>ROUNDUP(Stock!AO166,2)</f>
        <v>1.51</v>
      </c>
      <c r="L11" s="478">
        <f>ROUNDUP(Stock!AP166,2)</f>
        <v>1.51</v>
      </c>
      <c r="M11" s="478">
        <f>ROUNDUP(Stock!AQ166,2)</f>
        <v>1.5</v>
      </c>
      <c r="N11" s="478">
        <f>ROUNDUP(Stock!AR166,2)</f>
        <v>1.49</v>
      </c>
      <c r="O11" s="478">
        <f>ROUNDUP(Stock!AS166,2)</f>
        <v>1.5</v>
      </c>
      <c r="P11" s="478">
        <f>ROUNDUP(Stock!AT166,2)</f>
        <v>1.5</v>
      </c>
      <c r="Q11" s="478">
        <f>ROUNDUP(Stock!AU166,2)</f>
        <v>1.5</v>
      </c>
      <c r="R11" s="478">
        <f>ROUNDUP(Stock!AV166,2)</f>
        <v>1.49</v>
      </c>
      <c r="S11" s="478">
        <f>ROUNDUP(Stock!AW166,2)</f>
        <v>1.48</v>
      </c>
      <c r="T11" s="478">
        <f>ROUNDUP(Stock!AX166,2)</f>
        <v>1.51</v>
      </c>
      <c r="U11" s="478">
        <f>ROUNDUP(Stock!AY166,2)</f>
        <v>1.5</v>
      </c>
      <c r="V11" s="478">
        <f>ROUNDUP(Stock!AZ166,2)</f>
        <v>1.49</v>
      </c>
      <c r="W11" s="478">
        <f>ROUNDUP(Stock!BA166,2)</f>
        <v>1.35</v>
      </c>
      <c r="X11" s="478">
        <f>ROUNDUP(Stock!BB166,2)</f>
        <v>1.47</v>
      </c>
      <c r="Y11" s="478">
        <f>ROUNDUP(Stock!BC166,2)</f>
        <v>1.49</v>
      </c>
      <c r="Z11" s="478">
        <f>ROUNDUP(Stock!BD166,2)</f>
        <v>1.49</v>
      </c>
      <c r="AA11" s="478">
        <f>ROUNDUP(Stock!BE166,2)</f>
        <v>1.5</v>
      </c>
      <c r="AB11" s="478">
        <f>ROUNDUP(Stock!BF166,2)</f>
        <v>1.5</v>
      </c>
      <c r="AC11" s="478">
        <f>ROUNDUP(Stock!BG166,2)</f>
        <v>1.5</v>
      </c>
      <c r="AD11" s="478">
        <f>ROUNDUP(Stock!BH166,2)</f>
        <v>1.44</v>
      </c>
    </row>
    <row r="12" spans="1:30" s="714" customFormat="1">
      <c r="A12" s="480" t="str">
        <f t="shared" ref="A12:C12" si="7">A54</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4" customFormat="1">
      <c r="A13" s="480" t="str">
        <f t="shared" ref="A13:C13" si="9">A55</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4" customFormat="1">
      <c r="A14" s="480" t="str">
        <f t="shared" ref="A14:C14" si="11">A56</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4" customFormat="1">
      <c r="A15" s="480" t="str">
        <f t="shared" ref="A15:C15" si="12">A57</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4" customFormat="1">
      <c r="A16" s="480" t="str">
        <f t="shared" ref="A16:C16" si="13">A58</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4" customFormat="1">
      <c r="A17" s="480" t="str">
        <f t="shared" ref="A17:C17" si="14">A59</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4" customFormat="1">
      <c r="A18" s="480" t="str">
        <f t="shared" ref="A18:C18" si="15">A60</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4" customFormat="1">
      <c r="A19" s="480" t="str">
        <f t="shared" ref="A19:C19" si="16">A61</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4" customFormat="1">
      <c r="A20" s="480" t="str">
        <f t="shared" ref="A20:C20" si="17">A62</f>
        <v>T-TAX-ICE_GSL00</v>
      </c>
      <c r="B20" s="480" t="str">
        <f t="shared" si="17"/>
        <v>DEMO</v>
      </c>
      <c r="C20" s="480" t="str">
        <f t="shared" si="17"/>
        <v>pass/vehicle</v>
      </c>
      <c r="D20" s="478">
        <f>ROUNDUP(Stock!AH167,2)</f>
        <v>1.49</v>
      </c>
      <c r="E20" s="478">
        <f>Stock!AI167</f>
        <v>1.2864770089115007</v>
      </c>
      <c r="F20" s="478">
        <f>Stock!AJ167</f>
        <v>1.4920297290635816</v>
      </c>
      <c r="G20" s="478">
        <f>Stock!AK167</f>
        <v>1.4965882178803183</v>
      </c>
      <c r="H20" s="478">
        <f>Stock!AL167</f>
        <v>1.4977904978351977</v>
      </c>
      <c r="I20" s="478">
        <f>Stock!AM167</f>
        <v>1.4310653132695272</v>
      </c>
      <c r="J20" s="478">
        <f>Stock!AN167</f>
        <v>1.5125960645241427</v>
      </c>
      <c r="K20" s="478">
        <f>Stock!AO167</f>
        <v>1.5228727834472542</v>
      </c>
      <c r="L20" s="478">
        <f>Stock!AP167</f>
        <v>1.4762626822387042</v>
      </c>
      <c r="M20" s="478">
        <f>Stock!AQ167</f>
        <v>1.4201989273688242</v>
      </c>
      <c r="N20" s="478">
        <f>Stock!AR167</f>
        <v>1.5206424319807899</v>
      </c>
      <c r="O20" s="478">
        <f>Stock!AS167</f>
        <v>1.5788100500066378</v>
      </c>
      <c r="P20" s="478">
        <f>Stock!AT167</f>
        <v>1.5169195586874926</v>
      </c>
      <c r="Q20" s="478">
        <f>Stock!AU167</f>
        <v>1.4962888783453543</v>
      </c>
      <c r="R20" s="478">
        <f>Stock!AV167</f>
        <v>1.4940666969479417</v>
      </c>
      <c r="S20" s="478">
        <f>Stock!AW167</f>
        <v>1.4828819131855375</v>
      </c>
      <c r="T20" s="478">
        <f>Stock!AX167</f>
        <v>1.5401449896847841</v>
      </c>
      <c r="U20" s="478">
        <f>Stock!AY167</f>
        <v>1.4580171245632942</v>
      </c>
      <c r="V20" s="478">
        <f>Stock!AZ167</f>
        <v>1.3932425331233422</v>
      </c>
      <c r="W20" s="478">
        <f>Stock!BA167</f>
        <v>1.4674576355007889</v>
      </c>
      <c r="X20" s="478">
        <f>Stock!BB167</f>
        <v>1.6024869748792236</v>
      </c>
      <c r="Y20" s="478">
        <f>Stock!BC167</f>
        <v>1.476022708121151</v>
      </c>
      <c r="Z20" s="478">
        <f>Stock!BD167</f>
        <v>1.4552294346858181</v>
      </c>
      <c r="AA20" s="478">
        <f>Stock!BE167</f>
        <v>1.3490355626033566</v>
      </c>
      <c r="AB20" s="478">
        <f>Stock!BF167</f>
        <v>1.4490615456274449</v>
      </c>
      <c r="AC20" s="478">
        <f>Stock!BG167</f>
        <v>1.5121196904749867</v>
      </c>
      <c r="AD20" s="478">
        <f>Stock!BH167</f>
        <v>1.3801290603395258</v>
      </c>
    </row>
    <row r="21" spans="1:30" s="714" customFormat="1">
      <c r="A21" s="480" t="str">
        <f t="shared" ref="A21:C21" si="18">A63</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4" customFormat="1">
      <c r="A22" s="480" t="str">
        <f t="shared" ref="A22:C22" si="20">A64</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4" customFormat="1">
      <c r="A23" s="480" t="str">
        <f t="shared" ref="A23:C23" si="21">A65</f>
        <v>T-BUS-ICE_DST00</v>
      </c>
      <c r="B23" s="480" t="str">
        <f t="shared" si="21"/>
        <v>DEMO</v>
      </c>
      <c r="C23" s="480" t="str">
        <f t="shared" si="21"/>
        <v>pass/vehicle</v>
      </c>
      <c r="D23" s="478">
        <f>ROUNDUP(Stock!AH168,2)</f>
        <v>25.430000000000003</v>
      </c>
      <c r="E23" s="478">
        <f>ROUNDUP(Stock!AI168,2)</f>
        <v>25.16</v>
      </c>
      <c r="F23" s="478">
        <f>ROUNDUP(Stock!AJ168,2)</f>
        <v>27.310000000000002</v>
      </c>
      <c r="G23" s="478">
        <f>ROUNDUP(Stock!AK168,2)</f>
        <v>27.89</v>
      </c>
      <c r="H23" s="478">
        <f>ROUNDUP(Stock!AL168,2)</f>
        <v>27.94</v>
      </c>
      <c r="I23" s="478">
        <f>ROUNDUP(Stock!AM168,2)</f>
        <v>24.860000000000003</v>
      </c>
      <c r="J23" s="478">
        <f>ROUNDUP(Stock!AN168,2)</f>
        <v>26.39</v>
      </c>
      <c r="K23" s="478">
        <f>ROUNDUP(Stock!AO168,2)</f>
        <v>25.950000000000003</v>
      </c>
      <c r="L23" s="478">
        <f>ROUNDUP(Stock!AP168,2)</f>
        <v>27.130000000000003</v>
      </c>
      <c r="M23" s="478">
        <f>ROUNDUP(Stock!AQ168,2)</f>
        <v>28.430000000000003</v>
      </c>
      <c r="N23" s="478">
        <f>ROUNDUP(Stock!AR168,2)</f>
        <v>26.330000000000002</v>
      </c>
      <c r="O23" s="478">
        <f>ROUNDUP(Stock!AS168,2)</f>
        <v>27.8</v>
      </c>
      <c r="P23" s="478">
        <f>ROUNDUP(Stock!AT168,2)</f>
        <v>27.720000000000002</v>
      </c>
      <c r="Q23" s="478">
        <f>ROUNDUP(Stock!AU168,2)</f>
        <v>25.930000000000003</v>
      </c>
      <c r="R23" s="478">
        <f>ROUNDUP(Stock!AV168,2)</f>
        <v>27.21</v>
      </c>
      <c r="S23" s="478">
        <f>ROUNDUP(Stock!AW168,2)</f>
        <v>26.740000000000002</v>
      </c>
      <c r="T23" s="478">
        <f>ROUNDUP(Stock!AX168,2)</f>
        <v>27.520000000000003</v>
      </c>
      <c r="U23" s="478">
        <f>ROUNDUP(Stock!AY168,2)</f>
        <v>27.94</v>
      </c>
      <c r="V23" s="478">
        <f>ROUNDUP(Stock!AZ168,2)</f>
        <v>29.42</v>
      </c>
      <c r="W23" s="478">
        <f>ROUNDUP(Stock!BA168,2)</f>
        <v>27.360000000000003</v>
      </c>
      <c r="X23" s="478">
        <f>ROUNDUP(Stock!BB168,2)</f>
        <v>24.82</v>
      </c>
      <c r="Y23" s="478">
        <f>ROUNDUP(Stock!BC168,2)</f>
        <v>27.71</v>
      </c>
      <c r="Z23" s="478">
        <f>ROUNDUP(Stock!BD168,2)</f>
        <v>27.34</v>
      </c>
      <c r="AA23" s="478">
        <f>ROUNDUP(Stock!BE168,2)</f>
        <v>26.240000000000002</v>
      </c>
      <c r="AB23" s="478">
        <f>D23</f>
        <v>25.430000000000003</v>
      </c>
      <c r="AC23" s="478">
        <f>D23</f>
        <v>25.430000000000003</v>
      </c>
      <c r="AD23" s="478">
        <f>ROUNDUP(Stock!BH168,2)</f>
        <v>27.25</v>
      </c>
    </row>
    <row r="24" spans="1:30" s="714" customFormat="1">
      <c r="A24" s="480" t="str">
        <f t="shared" ref="A24:C24" si="22">A66</f>
        <v>T-LPT-EV_ELC00</v>
      </c>
      <c r="B24" s="480" t="str">
        <f t="shared" si="22"/>
        <v>DEMO</v>
      </c>
      <c r="C24" s="480" t="str">
        <f t="shared" si="22"/>
        <v>pass/vehicle</v>
      </c>
      <c r="D24" s="478">
        <f>ROUNDUP(Stock!AH169,2)</f>
        <v>78.03</v>
      </c>
      <c r="E24" s="478">
        <f>ROUNDUP(Stock!AI169,2)</f>
        <v>78.03</v>
      </c>
      <c r="F24" s="478">
        <f>ROUNDUP(Stock!AJ169,2)</f>
        <v>78.03</v>
      </c>
      <c r="G24" s="478">
        <f>ROUNDUP(Stock!AK169,2)</f>
        <v>78.03</v>
      </c>
      <c r="H24" s="478">
        <f>ROUNDUP(Stock!AL169,2)</f>
        <v>78.03</v>
      </c>
      <c r="I24" s="478">
        <f>ROUNDUP(Stock!AM169,2)</f>
        <v>78.03</v>
      </c>
      <c r="J24" s="478">
        <f>ROUNDUP(Stock!AN169,2)</f>
        <v>78.03</v>
      </c>
      <c r="K24" s="478">
        <f>ROUNDUP(Stock!AO169,2)</f>
        <v>78.03</v>
      </c>
      <c r="L24" s="478">
        <f>ROUNDUP(Stock!AP169,2)</f>
        <v>78.03</v>
      </c>
      <c r="M24" s="478">
        <f>ROUNDUP(Stock!AQ169,2)</f>
        <v>78.03</v>
      </c>
      <c r="N24" s="478">
        <f>ROUNDUP(Stock!AR169,2)</f>
        <v>78.03</v>
      </c>
      <c r="O24" s="478">
        <f>ROUNDUP(Stock!AS169,2)</f>
        <v>78.03</v>
      </c>
      <c r="P24" s="478">
        <f>ROUNDUP(Stock!AT169,2)</f>
        <v>78.03</v>
      </c>
      <c r="Q24" s="478">
        <f>ROUNDUP(Stock!AU169,2)</f>
        <v>78.03</v>
      </c>
      <c r="R24" s="478">
        <f>ROUNDUP(Stock!AV169,2)</f>
        <v>78.03</v>
      </c>
      <c r="S24" s="478">
        <f>ROUNDUP(Stock!AW169,2)</f>
        <v>78.03</v>
      </c>
      <c r="T24" s="478">
        <f>ROUNDUP(Stock!AX169,2)</f>
        <v>78.03</v>
      </c>
      <c r="U24" s="478">
        <f>ROUNDUP(Stock!AY169,2)</f>
        <v>78.03</v>
      </c>
      <c r="V24" s="478">
        <f>ROUNDUP(Stock!AZ169,2)</f>
        <v>78.03</v>
      </c>
      <c r="W24" s="478">
        <f>ROUNDUP(Stock!BA169,2)</f>
        <v>78.03</v>
      </c>
      <c r="X24" s="478">
        <f>ROUNDUP(Stock!BB169,2)</f>
        <v>78.03</v>
      </c>
      <c r="Y24" s="478">
        <f>ROUNDUP(Stock!BC169,2)</f>
        <v>78.03</v>
      </c>
      <c r="Z24" s="478">
        <f>ROUNDUP(Stock!BD169,2)</f>
        <v>78.03</v>
      </c>
      <c r="AA24" s="478">
        <f>ROUNDUP(Stock!BE169,2)</f>
        <v>78.03</v>
      </c>
      <c r="AB24" s="478">
        <f>ROUNDUP(Stock!BF169,2)</f>
        <v>78.03</v>
      </c>
      <c r="AC24" s="478">
        <f>ROUNDUP(Stock!BG169,2)</f>
        <v>78.03</v>
      </c>
      <c r="AD24" s="478">
        <f>ROUNDUP(Stock!BH169,2)</f>
        <v>78.03</v>
      </c>
    </row>
    <row r="25" spans="1:30" s="714" customFormat="1">
      <c r="A25" s="480" t="str">
        <f t="shared" ref="A25:C25" si="23">A67</f>
        <v>T-HPT-EV_ELC00</v>
      </c>
      <c r="B25" s="480" t="str">
        <f t="shared" si="23"/>
        <v>DEMO</v>
      </c>
      <c r="C25" s="480" t="str">
        <f t="shared" si="23"/>
        <v>pass/vehicle</v>
      </c>
      <c r="D25" s="478">
        <f>ROUNDUP(Stock!AH170,2)</f>
        <v>120.82000000000001</v>
      </c>
      <c r="E25" s="478">
        <f>ROUNDUP(Stock!AI170,2)</f>
        <v>214.41</v>
      </c>
      <c r="F25" s="478">
        <f>ROUNDUP(Stock!AJ170,2)</f>
        <v>57.37</v>
      </c>
      <c r="G25" s="478">
        <f>ROUNDUP(Stock!AK170,2)</f>
        <v>214.41</v>
      </c>
      <c r="H25" s="478">
        <f>ROUNDUP(Stock!AL170,2)</f>
        <v>214.41</v>
      </c>
      <c r="I25" s="478">
        <f>ROUNDUP(Stock!AM170,2)</f>
        <v>214.41</v>
      </c>
      <c r="J25" s="478">
        <f>ROUNDUP(Stock!AN170,2)</f>
        <v>214.41</v>
      </c>
      <c r="K25" s="478">
        <f>ROUNDUP(Stock!AO170,2)</f>
        <v>214.41</v>
      </c>
      <c r="L25" s="478">
        <f>ROUNDUP(Stock!AP170,2)</f>
        <v>214.41</v>
      </c>
      <c r="M25" s="478">
        <f>ROUNDUP(Stock!AQ170,2)</f>
        <v>214.41</v>
      </c>
      <c r="N25" s="478">
        <f>ROUNDUP(Stock!AR170,2)</f>
        <v>214.41</v>
      </c>
      <c r="O25" s="478">
        <f>ROUNDUP(Stock!AS170,2)</f>
        <v>214.41</v>
      </c>
      <c r="P25" s="478">
        <f>ROUNDUP(Stock!AT170,2)</f>
        <v>214.41</v>
      </c>
      <c r="Q25" s="478">
        <f>ROUNDUP(Stock!AU170,2)</f>
        <v>214.41</v>
      </c>
      <c r="R25" s="478">
        <f>ROUNDUP(Stock!AV170,2)</f>
        <v>214.41</v>
      </c>
      <c r="S25" s="478">
        <f>ROUNDUP(Stock!AW170,2)</f>
        <v>214.41</v>
      </c>
      <c r="T25" s="478">
        <f>ROUNDUP(Stock!AX170,2)</f>
        <v>214.41</v>
      </c>
      <c r="U25" s="478">
        <f>ROUNDUP(Stock!AY170,2)</f>
        <v>214.41</v>
      </c>
      <c r="V25" s="478">
        <f>ROUNDUP(Stock!AZ170,2)</f>
        <v>214.41</v>
      </c>
      <c r="W25" s="478">
        <f>ROUNDUP(Stock!BA170,2)</f>
        <v>214.41</v>
      </c>
      <c r="X25" s="478">
        <f>ROUNDUP(Stock!BB170,2)</f>
        <v>214.41</v>
      </c>
      <c r="Y25" s="478">
        <f>ROUNDUP(Stock!BC170,2)</f>
        <v>214.41</v>
      </c>
      <c r="Z25" s="478">
        <f>ROUNDUP(Stock!BD170,2)</f>
        <v>214.41</v>
      </c>
      <c r="AA25" s="478">
        <f>ROUNDUP(Stock!BE170,2)</f>
        <v>214.41</v>
      </c>
      <c r="AB25" s="478">
        <f>ROUNDUP(Stock!BF170,2)</f>
        <v>214.41</v>
      </c>
      <c r="AC25" s="478">
        <f>ROUNDUP(Stock!BG170,2)</f>
        <v>214.41</v>
      </c>
      <c r="AD25" s="478">
        <f>ROUNDUP(Stock!BH170,2)</f>
        <v>214.41</v>
      </c>
    </row>
    <row r="26" spans="1:30" s="714" customFormat="1">
      <c r="A26" s="480" t="str">
        <f t="shared" ref="A26:C26" si="24">A68</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4" customFormat="1">
      <c r="A27" s="725" t="s">
        <v>736</v>
      </c>
      <c r="B27" s="725"/>
      <c r="C27" s="725"/>
      <c r="D27" s="725"/>
      <c r="E27" s="725"/>
      <c r="F27" s="725"/>
      <c r="G27" s="725"/>
      <c r="H27" s="725"/>
      <c r="I27" s="725"/>
      <c r="J27" s="725"/>
      <c r="K27" s="725"/>
      <c r="L27" s="725"/>
      <c r="M27" s="725"/>
      <c r="N27" s="725"/>
      <c r="O27" s="725"/>
      <c r="P27" s="725"/>
      <c r="Q27" s="725"/>
      <c r="R27" s="725"/>
      <c r="S27" s="725"/>
      <c r="T27" s="725"/>
      <c r="U27" s="725"/>
      <c r="V27" s="725"/>
      <c r="W27" s="725"/>
      <c r="X27" s="725"/>
      <c r="Y27" s="725"/>
      <c r="Z27" s="725"/>
      <c r="AA27" s="725"/>
      <c r="AB27" s="725"/>
      <c r="AC27" s="725"/>
      <c r="AD27" s="725"/>
    </row>
    <row r="28" spans="1:30" s="714" customFormat="1">
      <c r="A28" s="480" t="str">
        <f>A70</f>
        <v>T-LGT-ICE_GSL00</v>
      </c>
      <c r="B28" s="480" t="str">
        <f t="shared" ref="B28:C28" si="26">B70</f>
        <v>DEMO</v>
      </c>
      <c r="C28" s="480" t="str">
        <f t="shared" si="26"/>
        <v>tonne/vehicle</v>
      </c>
      <c r="D28" s="812">
        <f t="shared" ref="D28:AD28" si="27">ROUNDUP(D70,3)</f>
        <v>4.5999999999999999E-2</v>
      </c>
      <c r="E28" s="812">
        <f t="shared" si="27"/>
        <v>4.3999999999999997E-2</v>
      </c>
      <c r="F28" s="812">
        <f t="shared" si="27"/>
        <v>4.5999999999999999E-2</v>
      </c>
      <c r="G28" s="812">
        <f t="shared" si="27"/>
        <v>4.1000000000000002E-2</v>
      </c>
      <c r="H28" s="812">
        <f t="shared" si="27"/>
        <v>5.7000000000000002E-2</v>
      </c>
      <c r="I28" s="812">
        <f t="shared" si="27"/>
        <v>5.1999999999999998E-2</v>
      </c>
      <c r="J28" s="812">
        <f t="shared" si="27"/>
        <v>0.04</v>
      </c>
      <c r="K28" s="812">
        <f t="shared" si="27"/>
        <v>4.9000000000000002E-2</v>
      </c>
      <c r="L28" s="812">
        <f t="shared" si="27"/>
        <v>0.04</v>
      </c>
      <c r="M28" s="812">
        <f t="shared" si="27"/>
        <v>4.3999999999999997E-2</v>
      </c>
      <c r="N28" s="812">
        <f t="shared" si="27"/>
        <v>3.9E-2</v>
      </c>
      <c r="O28" s="812">
        <f t="shared" si="27"/>
        <v>4.9000000000000002E-2</v>
      </c>
      <c r="P28" s="812">
        <f t="shared" si="27"/>
        <v>4.4999999999999998E-2</v>
      </c>
      <c r="Q28" s="812">
        <f t="shared" si="27"/>
        <v>4.4999999999999998E-2</v>
      </c>
      <c r="R28" s="812">
        <f t="shared" si="27"/>
        <v>5.9000000000000004E-2</v>
      </c>
      <c r="S28" s="812">
        <f t="shared" si="27"/>
        <v>5.3999999999999999E-2</v>
      </c>
      <c r="T28" s="812">
        <f t="shared" si="27"/>
        <v>5.1999999999999998E-2</v>
      </c>
      <c r="U28" s="812">
        <f t="shared" si="27"/>
        <v>4.3999999999999997E-2</v>
      </c>
      <c r="V28" s="812">
        <f t="shared" si="27"/>
        <v>6.7000000000000004E-2</v>
      </c>
      <c r="W28" s="812">
        <f t="shared" si="27"/>
        <v>4.2000000000000003E-2</v>
      </c>
      <c r="X28" s="812">
        <f t="shared" si="27"/>
        <v>3.4000000000000002E-2</v>
      </c>
      <c r="Y28" s="812">
        <f t="shared" si="27"/>
        <v>3.3000000000000002E-2</v>
      </c>
      <c r="Z28" s="812">
        <f t="shared" si="27"/>
        <v>3.4000000000000002E-2</v>
      </c>
      <c r="AA28" s="812">
        <f t="shared" si="27"/>
        <v>0.04</v>
      </c>
      <c r="AB28" s="812">
        <f t="shared" si="27"/>
        <v>3.4000000000000002E-2</v>
      </c>
      <c r="AC28" s="812">
        <f t="shared" si="27"/>
        <v>4.2000000000000003E-2</v>
      </c>
      <c r="AD28" s="812">
        <f t="shared" si="27"/>
        <v>3.0000000000000002E-2</v>
      </c>
    </row>
    <row r="29" spans="1:30" s="714" customFormat="1">
      <c r="A29" s="480" t="str">
        <f>A71</f>
        <v>T-LGT-ICE_DST00</v>
      </c>
      <c r="B29" s="480" t="str">
        <f t="shared" ref="B29:C31" si="28">B71</f>
        <v>DEMO</v>
      </c>
      <c r="C29" s="480" t="str">
        <f t="shared" si="28"/>
        <v>tonne/vehicle</v>
      </c>
      <c r="D29" s="812">
        <f t="shared" ref="D29:AD29" si="29">ROUNDUP(D71,3)</f>
        <v>4.5999999999999999E-2</v>
      </c>
      <c r="E29" s="812">
        <f t="shared" si="29"/>
        <v>4.3999999999999997E-2</v>
      </c>
      <c r="F29" s="812">
        <f t="shared" si="29"/>
        <v>4.5999999999999999E-2</v>
      </c>
      <c r="G29" s="812">
        <f t="shared" si="29"/>
        <v>4.1000000000000002E-2</v>
      </c>
      <c r="H29" s="812">
        <f t="shared" si="29"/>
        <v>5.7000000000000002E-2</v>
      </c>
      <c r="I29" s="812">
        <f t="shared" si="29"/>
        <v>5.1999999999999998E-2</v>
      </c>
      <c r="J29" s="812">
        <f t="shared" si="29"/>
        <v>0.04</v>
      </c>
      <c r="K29" s="812">
        <f t="shared" si="29"/>
        <v>4.9000000000000002E-2</v>
      </c>
      <c r="L29" s="812">
        <f t="shared" si="29"/>
        <v>0.04</v>
      </c>
      <c r="M29" s="812">
        <f t="shared" si="29"/>
        <v>4.3999999999999997E-2</v>
      </c>
      <c r="N29" s="812">
        <f t="shared" si="29"/>
        <v>3.9E-2</v>
      </c>
      <c r="O29" s="812">
        <f t="shared" si="29"/>
        <v>4.9000000000000002E-2</v>
      </c>
      <c r="P29" s="812">
        <f t="shared" si="29"/>
        <v>4.4999999999999998E-2</v>
      </c>
      <c r="Q29" s="812">
        <f t="shared" si="29"/>
        <v>4.4999999999999998E-2</v>
      </c>
      <c r="R29" s="812">
        <f t="shared" si="29"/>
        <v>5.9000000000000004E-2</v>
      </c>
      <c r="S29" s="812">
        <f t="shared" si="29"/>
        <v>5.3999999999999999E-2</v>
      </c>
      <c r="T29" s="812">
        <f t="shared" si="29"/>
        <v>5.1999999999999998E-2</v>
      </c>
      <c r="U29" s="812">
        <f t="shared" si="29"/>
        <v>4.3999999999999997E-2</v>
      </c>
      <c r="V29" s="812">
        <f t="shared" si="29"/>
        <v>6.7000000000000004E-2</v>
      </c>
      <c r="W29" s="812">
        <f t="shared" si="29"/>
        <v>4.2000000000000003E-2</v>
      </c>
      <c r="X29" s="812">
        <f t="shared" si="29"/>
        <v>3.4000000000000002E-2</v>
      </c>
      <c r="Y29" s="812">
        <f t="shared" si="29"/>
        <v>3.3000000000000002E-2</v>
      </c>
      <c r="Z29" s="812">
        <f t="shared" si="29"/>
        <v>3.4000000000000002E-2</v>
      </c>
      <c r="AA29" s="812">
        <f t="shared" si="29"/>
        <v>0.04</v>
      </c>
      <c r="AB29" s="812">
        <f t="shared" si="29"/>
        <v>3.4000000000000002E-2</v>
      </c>
      <c r="AC29" s="812">
        <f t="shared" si="29"/>
        <v>4.2000000000000003E-2</v>
      </c>
      <c r="AD29" s="812">
        <f t="shared" si="29"/>
        <v>3.0000000000000002E-2</v>
      </c>
    </row>
    <row r="30" spans="1:30" s="714" customFormat="1">
      <c r="A30" s="480" t="str">
        <f>A72</f>
        <v>T-MGT-ICE_DST00</v>
      </c>
      <c r="B30" s="480" t="str">
        <f t="shared" si="28"/>
        <v>DEMO</v>
      </c>
      <c r="C30" s="480" t="str">
        <f t="shared" si="28"/>
        <v>tonne/vehicle</v>
      </c>
      <c r="D30" s="812">
        <f t="shared" ref="D30:AD30" si="30">ROUNDUP(D72,3)</f>
        <v>3.4239999999999999</v>
      </c>
      <c r="E30" s="812">
        <f t="shared" si="30"/>
        <v>3.5169999999999999</v>
      </c>
      <c r="F30" s="812">
        <f t="shared" si="30"/>
        <v>2.548</v>
      </c>
      <c r="G30" s="812">
        <f t="shared" si="30"/>
        <v>3.1779999999999999</v>
      </c>
      <c r="H30" s="812">
        <f t="shared" si="30"/>
        <v>5.1080000000000005</v>
      </c>
      <c r="I30" s="812">
        <f t="shared" si="30"/>
        <v>3.6389999999999998</v>
      </c>
      <c r="J30" s="812">
        <f t="shared" si="30"/>
        <v>3.512</v>
      </c>
      <c r="K30" s="812">
        <f t="shared" si="30"/>
        <v>2.3009999999999997</v>
      </c>
      <c r="L30" s="812">
        <f t="shared" si="30"/>
        <v>2.984</v>
      </c>
      <c r="M30" s="812">
        <f t="shared" si="30"/>
        <v>5.024</v>
      </c>
      <c r="N30" s="812">
        <f t="shared" si="30"/>
        <v>3.8129999999999997</v>
      </c>
      <c r="O30" s="812">
        <f t="shared" si="30"/>
        <v>3.5569999999999999</v>
      </c>
      <c r="P30" s="812">
        <f t="shared" si="30"/>
        <v>6.101</v>
      </c>
      <c r="Q30" s="812">
        <f t="shared" si="30"/>
        <v>6.0040000000000004</v>
      </c>
      <c r="R30" s="812">
        <f t="shared" si="30"/>
        <v>4.7240000000000002</v>
      </c>
      <c r="S30" s="812">
        <f t="shared" si="30"/>
        <v>6.2430000000000003</v>
      </c>
      <c r="T30" s="812">
        <f t="shared" si="30"/>
        <v>2.2389999999999999</v>
      </c>
      <c r="U30" s="812">
        <f t="shared" si="30"/>
        <v>3.665</v>
      </c>
      <c r="V30" s="812">
        <f t="shared" si="30"/>
        <v>7.1760000000000002</v>
      </c>
      <c r="W30" s="812">
        <f t="shared" si="30"/>
        <v>3.9859999999999998</v>
      </c>
      <c r="X30" s="812">
        <f t="shared" si="30"/>
        <v>3.9870000000000001</v>
      </c>
      <c r="Y30" s="812">
        <f t="shared" si="30"/>
        <v>4.32</v>
      </c>
      <c r="Z30" s="812">
        <f t="shared" si="30"/>
        <v>2.4929999999999999</v>
      </c>
      <c r="AA30" s="812">
        <f t="shared" si="30"/>
        <v>3.262</v>
      </c>
      <c r="AB30" s="812">
        <f t="shared" si="30"/>
        <v>3.1599999999999997</v>
      </c>
      <c r="AC30" s="812">
        <f t="shared" si="30"/>
        <v>4.952</v>
      </c>
      <c r="AD30" s="812">
        <f t="shared" si="30"/>
        <v>1.91</v>
      </c>
    </row>
    <row r="31" spans="1:30" s="714" customFormat="1">
      <c r="A31" s="480" t="str">
        <f>A73</f>
        <v>T-HGT-ICE_DST00</v>
      </c>
      <c r="B31" s="480" t="str">
        <f t="shared" si="28"/>
        <v>DEMO</v>
      </c>
      <c r="C31" s="480" t="str">
        <f t="shared" si="28"/>
        <v>tonne/vehicle</v>
      </c>
      <c r="D31" s="812">
        <f t="shared" ref="D31:AD31" si="31">ROUNDUP(D73,3)</f>
        <v>8.8650000000000002</v>
      </c>
      <c r="E31" s="812">
        <f t="shared" si="31"/>
        <v>7.423</v>
      </c>
      <c r="F31" s="812">
        <f t="shared" si="31"/>
        <v>11.690999999999999</v>
      </c>
      <c r="G31" s="812">
        <f t="shared" si="31"/>
        <v>6.8140000000000001</v>
      </c>
      <c r="H31" s="812">
        <f t="shared" si="31"/>
        <v>6.319</v>
      </c>
      <c r="I31" s="812">
        <f t="shared" si="31"/>
        <v>7.4430000000000005</v>
      </c>
      <c r="J31" s="812">
        <f t="shared" si="31"/>
        <v>6.226</v>
      </c>
      <c r="K31" s="812">
        <f t="shared" si="31"/>
        <v>7.6480000000000006</v>
      </c>
      <c r="L31" s="812">
        <f t="shared" si="31"/>
        <v>5.1440000000000001</v>
      </c>
      <c r="M31" s="812">
        <f t="shared" si="31"/>
        <v>10.478</v>
      </c>
      <c r="N31" s="812">
        <f t="shared" si="31"/>
        <v>12.676</v>
      </c>
      <c r="O31" s="812">
        <f t="shared" si="31"/>
        <v>5.2560000000000002</v>
      </c>
      <c r="P31" s="812">
        <f t="shared" si="31"/>
        <v>12.878</v>
      </c>
      <c r="Q31" s="812">
        <f t="shared" si="31"/>
        <v>12.671999999999999</v>
      </c>
      <c r="R31" s="812">
        <f t="shared" si="31"/>
        <v>10.469999999999999</v>
      </c>
      <c r="S31" s="812">
        <f t="shared" si="31"/>
        <v>14.901</v>
      </c>
      <c r="T31" s="812">
        <f t="shared" si="31"/>
        <v>8.0839999999999996</v>
      </c>
      <c r="U31" s="812">
        <f t="shared" si="31"/>
        <v>6.8720000000000008</v>
      </c>
      <c r="V31" s="812">
        <f t="shared" si="31"/>
        <v>16.741</v>
      </c>
      <c r="W31" s="812">
        <f t="shared" si="31"/>
        <v>11.522</v>
      </c>
      <c r="X31" s="812">
        <f t="shared" si="31"/>
        <v>10.097999999999999</v>
      </c>
      <c r="Y31" s="812">
        <f t="shared" si="31"/>
        <v>12.183999999999999</v>
      </c>
      <c r="Z31" s="812">
        <f t="shared" si="31"/>
        <v>8.2859999999999996</v>
      </c>
      <c r="AA31" s="812">
        <f t="shared" si="31"/>
        <v>13.141999999999999</v>
      </c>
      <c r="AB31" s="812">
        <f t="shared" si="31"/>
        <v>5.6020000000000003</v>
      </c>
      <c r="AC31" s="812">
        <f t="shared" si="31"/>
        <v>10.033999999999999</v>
      </c>
      <c r="AD31" s="812">
        <f t="shared" si="31"/>
        <v>2.2199999999999998</v>
      </c>
    </row>
    <row r="32" spans="1:30" s="714" customFormat="1">
      <c r="A32" s="496" t="str">
        <f t="shared" ref="A32:C32" si="32">A74</f>
        <v>T-GTR-ICE_DST00</v>
      </c>
      <c r="B32" s="496" t="str">
        <f t="shared" si="32"/>
        <v>DEMO</v>
      </c>
      <c r="C32" s="496" t="str">
        <f t="shared" si="32"/>
        <v>tonne/vehicle</v>
      </c>
      <c r="D32" s="727">
        <f>ROUNDUP(D74,2)</f>
        <v>164.84</v>
      </c>
      <c r="E32" s="727">
        <f t="shared" ref="E32:AD32" si="33">ROUNDUP(E74,2)</f>
        <v>164.84</v>
      </c>
      <c r="F32" s="727">
        <f t="shared" si="33"/>
        <v>164.84</v>
      </c>
      <c r="G32" s="727">
        <f t="shared" si="33"/>
        <v>164.84</v>
      </c>
      <c r="H32" s="727">
        <f t="shared" si="33"/>
        <v>164.84</v>
      </c>
      <c r="I32" s="727">
        <f t="shared" si="33"/>
        <v>164.84</v>
      </c>
      <c r="J32" s="727">
        <f t="shared" si="33"/>
        <v>164.84</v>
      </c>
      <c r="K32" s="727">
        <f t="shared" si="33"/>
        <v>164.84</v>
      </c>
      <c r="L32" s="727">
        <f t="shared" si="33"/>
        <v>164.84</v>
      </c>
      <c r="M32" s="727">
        <f t="shared" si="33"/>
        <v>164.84</v>
      </c>
      <c r="N32" s="727">
        <f t="shared" si="33"/>
        <v>164.84</v>
      </c>
      <c r="O32" s="727">
        <f t="shared" si="33"/>
        <v>164.84</v>
      </c>
      <c r="P32" s="727">
        <f t="shared" si="33"/>
        <v>164.84</v>
      </c>
      <c r="Q32" s="727">
        <f t="shared" si="33"/>
        <v>164.84</v>
      </c>
      <c r="R32" s="727">
        <f t="shared" si="33"/>
        <v>164.84</v>
      </c>
      <c r="S32" s="727">
        <f t="shared" si="33"/>
        <v>164.84</v>
      </c>
      <c r="T32" s="727">
        <f t="shared" si="33"/>
        <v>164.84</v>
      </c>
      <c r="U32" s="727">
        <f t="shared" si="33"/>
        <v>164.84</v>
      </c>
      <c r="V32" s="727">
        <f t="shared" si="33"/>
        <v>164.84</v>
      </c>
      <c r="W32" s="727">
        <f t="shared" si="33"/>
        <v>164.84</v>
      </c>
      <c r="X32" s="727">
        <f t="shared" si="33"/>
        <v>164.84</v>
      </c>
      <c r="Y32" s="727">
        <f t="shared" si="33"/>
        <v>164.84</v>
      </c>
      <c r="Z32" s="727">
        <f t="shared" si="33"/>
        <v>164.84</v>
      </c>
      <c r="AA32" s="727">
        <f t="shared" si="33"/>
        <v>164.84</v>
      </c>
      <c r="AB32" s="727">
        <f t="shared" si="33"/>
        <v>164.84</v>
      </c>
      <c r="AC32" s="727">
        <f t="shared" si="33"/>
        <v>164.84</v>
      </c>
      <c r="AD32" s="727">
        <f t="shared" si="33"/>
        <v>164.84</v>
      </c>
    </row>
    <row r="33" spans="1:35" s="714" customFormat="1"/>
    <row r="34" spans="1:35" s="714" customFormat="1">
      <c r="D34" s="800"/>
    </row>
    <row r="35" spans="1:35" s="714" customFormat="1"/>
    <row r="36" spans="1:35" s="714" customFormat="1"/>
    <row r="37" spans="1:35" s="714" customFormat="1"/>
    <row r="38" spans="1:35" s="714" customFormat="1"/>
    <row r="39" spans="1:35" s="714" customFormat="1"/>
    <row r="40" spans="1:35" s="714" customFormat="1"/>
    <row r="41" spans="1:35" s="714" customFormat="1"/>
    <row r="42" spans="1:35" s="714" customFormat="1"/>
    <row r="43" spans="1:35">
      <c r="A43" s="714"/>
      <c r="B43" s="714"/>
      <c r="C43" s="714"/>
      <c r="D43" s="714"/>
      <c r="E43" s="714"/>
      <c r="AE43" s="448"/>
      <c r="AF43" s="448"/>
      <c r="AG43" s="448"/>
      <c r="AH43" s="448"/>
      <c r="AI43" s="448"/>
    </row>
    <row r="44" spans="1:35" s="459" customFormat="1">
      <c r="A44" s="714"/>
      <c r="B44" s="714"/>
      <c r="C44" s="714"/>
      <c r="D44" s="714"/>
      <c r="E44" s="714"/>
    </row>
    <row r="45" spans="1:35" s="459" customFormat="1">
      <c r="A45" s="714"/>
      <c r="B45" s="714"/>
      <c r="C45" s="714"/>
      <c r="D45" s="714"/>
      <c r="E45" s="714"/>
    </row>
    <row r="46" spans="1:35" s="459" customFormat="1">
      <c r="A46" s="714"/>
      <c r="B46" s="714"/>
      <c r="C46" s="714"/>
      <c r="D46" s="714"/>
      <c r="E46" s="714"/>
    </row>
    <row r="47" spans="1:35">
      <c r="A47" s="714"/>
      <c r="B47" s="714"/>
      <c r="C47" s="714"/>
      <c r="D47" s="714"/>
      <c r="E47" s="714"/>
      <c r="F47" s="448"/>
      <c r="G47" s="448"/>
      <c r="AE47" s="448"/>
      <c r="AF47" s="448"/>
      <c r="AG47" s="448"/>
      <c r="AH47" s="448"/>
      <c r="AI47" s="448"/>
    </row>
    <row r="48" spans="1:35" ht="15" thickBot="1">
      <c r="A48" s="41" t="s">
        <v>70</v>
      </c>
      <c r="B48" s="41" t="s">
        <v>540</v>
      </c>
      <c r="C48" s="41" t="s">
        <v>732</v>
      </c>
      <c r="D48" s="456" t="str">
        <f>Stock!E50</f>
        <v>IE</v>
      </c>
      <c r="E48" s="456" t="str">
        <f>Stock!F50</f>
        <v>IE-CW</v>
      </c>
      <c r="F48" s="456" t="str">
        <f>Stock!G50</f>
        <v>IE-D</v>
      </c>
      <c r="G48" s="456" t="str">
        <f>Stock!H50</f>
        <v>IE-KE</v>
      </c>
      <c r="H48" s="456" t="str">
        <f>Stock!I50</f>
        <v>IE-KK</v>
      </c>
      <c r="I48" s="456" t="str">
        <f>Stock!J50</f>
        <v>IE-LS</v>
      </c>
      <c r="J48" s="456" t="str">
        <f>Stock!K50</f>
        <v>IE-LD</v>
      </c>
      <c r="K48" s="456" t="str">
        <f>Stock!L50</f>
        <v>IE-LH</v>
      </c>
      <c r="L48" s="456" t="str">
        <f>Stock!M50</f>
        <v>IE-MH</v>
      </c>
      <c r="M48" s="456" t="str">
        <f>Stock!N50</f>
        <v>IE-OY</v>
      </c>
      <c r="N48" s="456" t="str">
        <f>Stock!O50</f>
        <v>IE-WH</v>
      </c>
      <c r="O48" s="456" t="str">
        <f>Stock!P50</f>
        <v>IE-WX</v>
      </c>
      <c r="P48" s="456" t="str">
        <f>Stock!Q50</f>
        <v>IE-WW</v>
      </c>
      <c r="Q48" s="456" t="str">
        <f>Stock!R50</f>
        <v>IE-CE</v>
      </c>
      <c r="R48" s="456" t="str">
        <f>Stock!S50</f>
        <v>IE-CO</v>
      </c>
      <c r="S48" s="456" t="str">
        <f>Stock!T50</f>
        <v>IE-KY</v>
      </c>
      <c r="T48" s="456" t="str">
        <f>Stock!U50</f>
        <v>IE-LK</v>
      </c>
      <c r="U48" s="456" t="str">
        <f>Stock!V50</f>
        <v>IE-TA</v>
      </c>
      <c r="V48" s="456" t="str">
        <f>Stock!W50</f>
        <v>IE-WD</v>
      </c>
      <c r="W48" s="456" t="str">
        <f>Stock!X50</f>
        <v>IE-G</v>
      </c>
      <c r="X48" s="456" t="str">
        <f>Stock!Y50</f>
        <v>IE-LM</v>
      </c>
      <c r="Y48" s="456" t="str">
        <f>Stock!Z50</f>
        <v>IE-MO</v>
      </c>
      <c r="Z48" s="456" t="str">
        <f>Stock!AA50</f>
        <v>IE-RN</v>
      </c>
      <c r="AA48" s="456" t="str">
        <f>Stock!AB50</f>
        <v>IE-SO</v>
      </c>
      <c r="AB48" s="456" t="str">
        <f>Stock!AC50</f>
        <v>IE-CN</v>
      </c>
      <c r="AC48" s="456" t="str">
        <f>Stock!AD50</f>
        <v>IE-DL</v>
      </c>
      <c r="AD48" s="456" t="str">
        <f>Stock!AE50</f>
        <v>IE-MN</v>
      </c>
      <c r="AE48" s="448"/>
      <c r="AF48" s="448"/>
      <c r="AG48" s="448"/>
      <c r="AH48" s="448"/>
      <c r="AI48" s="448"/>
    </row>
    <row r="49" spans="1:35" s="459" customFormat="1">
      <c r="A49" s="455" t="s">
        <v>735</v>
      </c>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row>
    <row r="50" spans="1:35" s="459" customFormat="1">
      <c r="A50" s="480" t="str">
        <f>Commodities!K8</f>
        <v>T-WLK_WLK</v>
      </c>
      <c r="B50" s="480" t="s">
        <v>850</v>
      </c>
      <c r="C50" s="480" t="s">
        <v>733</v>
      </c>
      <c r="D50" s="478">
        <v>1</v>
      </c>
      <c r="E50" s="478">
        <v>1</v>
      </c>
      <c r="F50" s="478">
        <v>1</v>
      </c>
      <c r="G50" s="478">
        <v>1</v>
      </c>
      <c r="H50" s="478">
        <v>1</v>
      </c>
      <c r="I50" s="478">
        <v>1</v>
      </c>
      <c r="J50" s="478">
        <v>1</v>
      </c>
      <c r="K50" s="478">
        <v>1</v>
      </c>
      <c r="L50" s="478">
        <v>1</v>
      </c>
      <c r="M50" s="478">
        <v>1</v>
      </c>
      <c r="N50" s="478">
        <v>1</v>
      </c>
      <c r="O50" s="478">
        <v>1</v>
      </c>
      <c r="P50" s="478">
        <v>1</v>
      </c>
      <c r="Q50" s="478">
        <v>1</v>
      </c>
      <c r="R50" s="478">
        <v>1</v>
      </c>
      <c r="S50" s="478">
        <v>1</v>
      </c>
      <c r="T50" s="478">
        <v>1</v>
      </c>
      <c r="U50" s="478">
        <v>1</v>
      </c>
      <c r="V50" s="478">
        <v>1</v>
      </c>
      <c r="W50" s="478">
        <v>1</v>
      </c>
      <c r="X50" s="478">
        <v>1</v>
      </c>
      <c r="Y50" s="478">
        <v>1</v>
      </c>
      <c r="Z50" s="478">
        <v>1</v>
      </c>
      <c r="AA50" s="478">
        <v>1</v>
      </c>
      <c r="AB50" s="478">
        <v>1</v>
      </c>
      <c r="AC50" s="478">
        <v>1</v>
      </c>
      <c r="AD50" s="478">
        <v>1</v>
      </c>
    </row>
    <row r="51" spans="1:35" s="459" customFormat="1">
      <c r="A51" s="480" t="str">
        <f>Commodities!K9</f>
        <v>T-CYC_CYC</v>
      </c>
      <c r="B51" s="480" t="s">
        <v>850</v>
      </c>
      <c r="C51" s="480" t="s">
        <v>733</v>
      </c>
      <c r="D51" s="478">
        <v>1</v>
      </c>
      <c r="E51" s="478">
        <v>1</v>
      </c>
      <c r="F51" s="478">
        <v>1</v>
      </c>
      <c r="G51" s="478">
        <v>1</v>
      </c>
      <c r="H51" s="478">
        <v>1</v>
      </c>
      <c r="I51" s="478">
        <v>1</v>
      </c>
      <c r="J51" s="478">
        <v>1</v>
      </c>
      <c r="K51" s="478">
        <v>1</v>
      </c>
      <c r="L51" s="478">
        <v>1</v>
      </c>
      <c r="M51" s="478">
        <v>1</v>
      </c>
      <c r="N51" s="478">
        <v>1</v>
      </c>
      <c r="O51" s="478">
        <v>1</v>
      </c>
      <c r="P51" s="478">
        <v>1</v>
      </c>
      <c r="Q51" s="478">
        <v>1</v>
      </c>
      <c r="R51" s="478">
        <v>1</v>
      </c>
      <c r="S51" s="478">
        <v>1</v>
      </c>
      <c r="T51" s="478">
        <v>1</v>
      </c>
      <c r="U51" s="478">
        <v>1</v>
      </c>
      <c r="V51" s="478">
        <v>1</v>
      </c>
      <c r="W51" s="478">
        <v>1</v>
      </c>
      <c r="X51" s="478">
        <v>1</v>
      </c>
      <c r="Y51" s="478">
        <v>1</v>
      </c>
      <c r="Z51" s="478">
        <v>1</v>
      </c>
      <c r="AA51" s="478">
        <v>1</v>
      </c>
      <c r="AB51" s="478">
        <v>1</v>
      </c>
      <c r="AC51" s="478">
        <v>1</v>
      </c>
      <c r="AD51" s="478">
        <v>1</v>
      </c>
    </row>
    <row r="52" spans="1:35">
      <c r="A52" s="480" t="str">
        <f>Commodities!K11</f>
        <v>T-MOT-ICE_GSL00</v>
      </c>
      <c r="B52" s="480" t="s">
        <v>850</v>
      </c>
      <c r="C52" s="480" t="s">
        <v>733</v>
      </c>
      <c r="D52" s="478">
        <v>1.1000000000000001</v>
      </c>
      <c r="E52" s="478">
        <f>D52</f>
        <v>1.1000000000000001</v>
      </c>
      <c r="F52" s="478">
        <f t="shared" ref="F52:AD52" si="34">E52</f>
        <v>1.1000000000000001</v>
      </c>
      <c r="G52" s="478">
        <f t="shared" si="34"/>
        <v>1.1000000000000001</v>
      </c>
      <c r="H52" s="478">
        <f t="shared" si="34"/>
        <v>1.1000000000000001</v>
      </c>
      <c r="I52" s="478">
        <f t="shared" si="34"/>
        <v>1.1000000000000001</v>
      </c>
      <c r="J52" s="478">
        <f t="shared" si="34"/>
        <v>1.1000000000000001</v>
      </c>
      <c r="K52" s="478">
        <f t="shared" si="34"/>
        <v>1.1000000000000001</v>
      </c>
      <c r="L52" s="478">
        <f t="shared" si="34"/>
        <v>1.1000000000000001</v>
      </c>
      <c r="M52" s="478">
        <f t="shared" si="34"/>
        <v>1.1000000000000001</v>
      </c>
      <c r="N52" s="478">
        <f t="shared" si="34"/>
        <v>1.1000000000000001</v>
      </c>
      <c r="O52" s="478">
        <f t="shared" si="34"/>
        <v>1.1000000000000001</v>
      </c>
      <c r="P52" s="478">
        <f t="shared" si="34"/>
        <v>1.1000000000000001</v>
      </c>
      <c r="Q52" s="478">
        <f t="shared" si="34"/>
        <v>1.1000000000000001</v>
      </c>
      <c r="R52" s="478">
        <f t="shared" si="34"/>
        <v>1.1000000000000001</v>
      </c>
      <c r="S52" s="478">
        <f t="shared" si="34"/>
        <v>1.1000000000000001</v>
      </c>
      <c r="T52" s="478">
        <f t="shared" si="34"/>
        <v>1.1000000000000001</v>
      </c>
      <c r="U52" s="478">
        <f t="shared" si="34"/>
        <v>1.1000000000000001</v>
      </c>
      <c r="V52" s="478">
        <f t="shared" si="34"/>
        <v>1.1000000000000001</v>
      </c>
      <c r="W52" s="478">
        <f t="shared" si="34"/>
        <v>1.1000000000000001</v>
      </c>
      <c r="X52" s="478">
        <f t="shared" si="34"/>
        <v>1.1000000000000001</v>
      </c>
      <c r="Y52" s="478">
        <f t="shared" si="34"/>
        <v>1.1000000000000001</v>
      </c>
      <c r="Z52" s="478">
        <f t="shared" si="34"/>
        <v>1.1000000000000001</v>
      </c>
      <c r="AA52" s="478">
        <f t="shared" si="34"/>
        <v>1.1000000000000001</v>
      </c>
      <c r="AB52" s="478">
        <f t="shared" si="34"/>
        <v>1.1000000000000001</v>
      </c>
      <c r="AC52" s="478">
        <f t="shared" si="34"/>
        <v>1.1000000000000001</v>
      </c>
      <c r="AD52" s="478">
        <f t="shared" si="34"/>
        <v>1.1000000000000001</v>
      </c>
      <c r="AE52" s="448"/>
      <c r="AF52" s="448"/>
      <c r="AG52" s="448"/>
      <c r="AH52" s="448"/>
      <c r="AI52" s="448"/>
    </row>
    <row r="53" spans="1:35">
      <c r="A53" s="480" t="str">
        <f>Commodities!K13</f>
        <v>T-CAR-ICE_GSL00</v>
      </c>
      <c r="B53" s="480" t="s">
        <v>850</v>
      </c>
      <c r="C53" s="480" t="s">
        <v>733</v>
      </c>
      <c r="D53" s="478">
        <f>M95</f>
        <v>1.49201152283105</v>
      </c>
      <c r="E53" s="478">
        <f>D53</f>
        <v>1.49201152283105</v>
      </c>
      <c r="F53" s="478">
        <f t="shared" ref="F53:AD64" si="35">E53</f>
        <v>1.49201152283105</v>
      </c>
      <c r="G53" s="478">
        <f t="shared" si="35"/>
        <v>1.49201152283105</v>
      </c>
      <c r="H53" s="478">
        <f t="shared" si="35"/>
        <v>1.49201152283105</v>
      </c>
      <c r="I53" s="478">
        <f t="shared" si="35"/>
        <v>1.49201152283105</v>
      </c>
      <c r="J53" s="478">
        <f t="shared" si="35"/>
        <v>1.49201152283105</v>
      </c>
      <c r="K53" s="478">
        <f t="shared" si="35"/>
        <v>1.49201152283105</v>
      </c>
      <c r="L53" s="478">
        <f t="shared" si="35"/>
        <v>1.49201152283105</v>
      </c>
      <c r="M53" s="478">
        <f t="shared" si="35"/>
        <v>1.49201152283105</v>
      </c>
      <c r="N53" s="478">
        <f t="shared" si="35"/>
        <v>1.49201152283105</v>
      </c>
      <c r="O53" s="478">
        <f t="shared" si="35"/>
        <v>1.49201152283105</v>
      </c>
      <c r="P53" s="478">
        <f t="shared" si="35"/>
        <v>1.49201152283105</v>
      </c>
      <c r="Q53" s="478">
        <f t="shared" si="35"/>
        <v>1.49201152283105</v>
      </c>
      <c r="R53" s="478">
        <f t="shared" si="35"/>
        <v>1.49201152283105</v>
      </c>
      <c r="S53" s="478">
        <f t="shared" si="35"/>
        <v>1.49201152283105</v>
      </c>
      <c r="T53" s="478">
        <f t="shared" si="35"/>
        <v>1.49201152283105</v>
      </c>
      <c r="U53" s="478">
        <f t="shared" si="35"/>
        <v>1.49201152283105</v>
      </c>
      <c r="V53" s="478">
        <f t="shared" si="35"/>
        <v>1.49201152283105</v>
      </c>
      <c r="W53" s="478">
        <f t="shared" si="35"/>
        <v>1.49201152283105</v>
      </c>
      <c r="X53" s="478">
        <f t="shared" si="35"/>
        <v>1.49201152283105</v>
      </c>
      <c r="Y53" s="478">
        <f t="shared" si="35"/>
        <v>1.49201152283105</v>
      </c>
      <c r="Z53" s="478">
        <f t="shared" si="35"/>
        <v>1.49201152283105</v>
      </c>
      <c r="AA53" s="478">
        <f t="shared" si="35"/>
        <v>1.49201152283105</v>
      </c>
      <c r="AB53" s="478">
        <f t="shared" si="35"/>
        <v>1.49201152283105</v>
      </c>
      <c r="AC53" s="478">
        <f t="shared" si="35"/>
        <v>1.49201152283105</v>
      </c>
      <c r="AD53" s="478">
        <f t="shared" si="35"/>
        <v>1.49201152283105</v>
      </c>
      <c r="AE53" s="448"/>
      <c r="AF53" s="448"/>
      <c r="AG53" s="448"/>
      <c r="AH53" s="448"/>
      <c r="AI53" s="448"/>
    </row>
    <row r="54" spans="1:35">
      <c r="A54" s="480" t="str">
        <f>Commodities!K14</f>
        <v>T-CAR-ICE_DST00</v>
      </c>
      <c r="B54" s="480" t="s">
        <v>850</v>
      </c>
      <c r="C54" s="480" t="s">
        <v>733</v>
      </c>
      <c r="D54" s="478">
        <f>M95</f>
        <v>1.49201152283105</v>
      </c>
      <c r="E54" s="478">
        <f t="shared" ref="E54:E65" si="36">D54</f>
        <v>1.49201152283105</v>
      </c>
      <c r="F54" s="478">
        <f t="shared" si="35"/>
        <v>1.49201152283105</v>
      </c>
      <c r="G54" s="478">
        <f t="shared" si="35"/>
        <v>1.49201152283105</v>
      </c>
      <c r="H54" s="478">
        <f t="shared" si="35"/>
        <v>1.49201152283105</v>
      </c>
      <c r="I54" s="478">
        <f t="shared" si="35"/>
        <v>1.49201152283105</v>
      </c>
      <c r="J54" s="478">
        <f t="shared" si="35"/>
        <v>1.49201152283105</v>
      </c>
      <c r="K54" s="478">
        <f t="shared" si="35"/>
        <v>1.49201152283105</v>
      </c>
      <c r="L54" s="478">
        <f t="shared" si="35"/>
        <v>1.49201152283105</v>
      </c>
      <c r="M54" s="478">
        <f t="shared" si="35"/>
        <v>1.49201152283105</v>
      </c>
      <c r="N54" s="478">
        <f t="shared" si="35"/>
        <v>1.49201152283105</v>
      </c>
      <c r="O54" s="478">
        <f t="shared" si="35"/>
        <v>1.49201152283105</v>
      </c>
      <c r="P54" s="478">
        <f t="shared" si="35"/>
        <v>1.49201152283105</v>
      </c>
      <c r="Q54" s="478">
        <f t="shared" si="35"/>
        <v>1.49201152283105</v>
      </c>
      <c r="R54" s="478">
        <f t="shared" si="35"/>
        <v>1.49201152283105</v>
      </c>
      <c r="S54" s="478">
        <f t="shared" si="35"/>
        <v>1.49201152283105</v>
      </c>
      <c r="T54" s="478">
        <f t="shared" si="35"/>
        <v>1.49201152283105</v>
      </c>
      <c r="U54" s="478">
        <f t="shared" si="35"/>
        <v>1.49201152283105</v>
      </c>
      <c r="V54" s="478">
        <f t="shared" si="35"/>
        <v>1.49201152283105</v>
      </c>
      <c r="W54" s="478">
        <f t="shared" si="35"/>
        <v>1.49201152283105</v>
      </c>
      <c r="X54" s="478">
        <f t="shared" si="35"/>
        <v>1.49201152283105</v>
      </c>
      <c r="Y54" s="478">
        <f t="shared" si="35"/>
        <v>1.49201152283105</v>
      </c>
      <c r="Z54" s="478">
        <f t="shared" si="35"/>
        <v>1.49201152283105</v>
      </c>
      <c r="AA54" s="478">
        <f t="shared" si="35"/>
        <v>1.49201152283105</v>
      </c>
      <c r="AB54" s="478">
        <f t="shared" si="35"/>
        <v>1.49201152283105</v>
      </c>
      <c r="AC54" s="478">
        <f t="shared" si="35"/>
        <v>1.49201152283105</v>
      </c>
      <c r="AD54" s="478">
        <f t="shared" si="35"/>
        <v>1.49201152283105</v>
      </c>
      <c r="AE54" s="448"/>
      <c r="AF54" s="448"/>
      <c r="AG54" s="448"/>
      <c r="AH54" s="448"/>
      <c r="AI54" s="448"/>
    </row>
    <row r="55" spans="1:35">
      <c r="A55" s="480" t="str">
        <f>Commodities!K15</f>
        <v>T-CAR-ICE_DF00</v>
      </c>
      <c r="B55" s="480" t="s">
        <v>850</v>
      </c>
      <c r="C55" s="480" t="s">
        <v>733</v>
      </c>
      <c r="D55" s="478">
        <f>M95</f>
        <v>1.49201152283105</v>
      </c>
      <c r="E55" s="478">
        <f t="shared" si="36"/>
        <v>1.49201152283105</v>
      </c>
      <c r="F55" s="478">
        <f t="shared" si="35"/>
        <v>1.49201152283105</v>
      </c>
      <c r="G55" s="478">
        <f t="shared" si="35"/>
        <v>1.49201152283105</v>
      </c>
      <c r="H55" s="478">
        <f t="shared" si="35"/>
        <v>1.49201152283105</v>
      </c>
      <c r="I55" s="478">
        <f t="shared" si="35"/>
        <v>1.49201152283105</v>
      </c>
      <c r="J55" s="478">
        <f t="shared" si="35"/>
        <v>1.49201152283105</v>
      </c>
      <c r="K55" s="478">
        <f t="shared" si="35"/>
        <v>1.49201152283105</v>
      </c>
      <c r="L55" s="478">
        <f t="shared" si="35"/>
        <v>1.49201152283105</v>
      </c>
      <c r="M55" s="478">
        <f t="shared" si="35"/>
        <v>1.49201152283105</v>
      </c>
      <c r="N55" s="478">
        <f t="shared" si="35"/>
        <v>1.49201152283105</v>
      </c>
      <c r="O55" s="478">
        <f t="shared" si="35"/>
        <v>1.49201152283105</v>
      </c>
      <c r="P55" s="478">
        <f t="shared" si="35"/>
        <v>1.49201152283105</v>
      </c>
      <c r="Q55" s="478">
        <f t="shared" si="35"/>
        <v>1.49201152283105</v>
      </c>
      <c r="R55" s="478">
        <f t="shared" si="35"/>
        <v>1.49201152283105</v>
      </c>
      <c r="S55" s="478">
        <f t="shared" si="35"/>
        <v>1.49201152283105</v>
      </c>
      <c r="T55" s="478">
        <f t="shared" si="35"/>
        <v>1.49201152283105</v>
      </c>
      <c r="U55" s="478">
        <f t="shared" si="35"/>
        <v>1.49201152283105</v>
      </c>
      <c r="V55" s="478">
        <f t="shared" si="35"/>
        <v>1.49201152283105</v>
      </c>
      <c r="W55" s="478">
        <f t="shared" si="35"/>
        <v>1.49201152283105</v>
      </c>
      <c r="X55" s="478">
        <f t="shared" si="35"/>
        <v>1.49201152283105</v>
      </c>
      <c r="Y55" s="478">
        <f t="shared" si="35"/>
        <v>1.49201152283105</v>
      </c>
      <c r="Z55" s="478">
        <f t="shared" si="35"/>
        <v>1.49201152283105</v>
      </c>
      <c r="AA55" s="478">
        <f t="shared" si="35"/>
        <v>1.49201152283105</v>
      </c>
      <c r="AB55" s="478">
        <f t="shared" si="35"/>
        <v>1.49201152283105</v>
      </c>
      <c r="AC55" s="478">
        <f t="shared" si="35"/>
        <v>1.49201152283105</v>
      </c>
      <c r="AD55" s="478">
        <f t="shared" si="35"/>
        <v>1.49201152283105</v>
      </c>
      <c r="AE55" s="448"/>
      <c r="AG55" s="448"/>
      <c r="AH55" s="448"/>
      <c r="AI55" s="448"/>
    </row>
    <row r="56" spans="1:35">
      <c r="A56" s="480" t="str">
        <f>Commodities!K16</f>
        <v>T-CAR-ICE_E8500</v>
      </c>
      <c r="B56" s="480" t="s">
        <v>850</v>
      </c>
      <c r="C56" s="480" t="s">
        <v>733</v>
      </c>
      <c r="D56" s="478">
        <f>M95</f>
        <v>1.49201152283105</v>
      </c>
      <c r="E56" s="478">
        <f t="shared" si="36"/>
        <v>1.49201152283105</v>
      </c>
      <c r="F56" s="478">
        <f t="shared" si="35"/>
        <v>1.49201152283105</v>
      </c>
      <c r="G56" s="478">
        <f t="shared" si="35"/>
        <v>1.49201152283105</v>
      </c>
      <c r="H56" s="478">
        <f t="shared" si="35"/>
        <v>1.49201152283105</v>
      </c>
      <c r="I56" s="478">
        <f t="shared" si="35"/>
        <v>1.49201152283105</v>
      </c>
      <c r="J56" s="478">
        <f t="shared" si="35"/>
        <v>1.49201152283105</v>
      </c>
      <c r="K56" s="478">
        <f t="shared" si="35"/>
        <v>1.49201152283105</v>
      </c>
      <c r="L56" s="478">
        <f t="shared" si="35"/>
        <v>1.49201152283105</v>
      </c>
      <c r="M56" s="478">
        <f t="shared" si="35"/>
        <v>1.49201152283105</v>
      </c>
      <c r="N56" s="478">
        <f t="shared" si="35"/>
        <v>1.49201152283105</v>
      </c>
      <c r="O56" s="478">
        <f t="shared" si="35"/>
        <v>1.49201152283105</v>
      </c>
      <c r="P56" s="478">
        <f t="shared" si="35"/>
        <v>1.49201152283105</v>
      </c>
      <c r="Q56" s="478">
        <f t="shared" si="35"/>
        <v>1.49201152283105</v>
      </c>
      <c r="R56" s="478">
        <f t="shared" si="35"/>
        <v>1.49201152283105</v>
      </c>
      <c r="S56" s="478">
        <f t="shared" si="35"/>
        <v>1.49201152283105</v>
      </c>
      <c r="T56" s="478">
        <f t="shared" si="35"/>
        <v>1.49201152283105</v>
      </c>
      <c r="U56" s="478">
        <f t="shared" si="35"/>
        <v>1.49201152283105</v>
      </c>
      <c r="V56" s="478">
        <f t="shared" si="35"/>
        <v>1.49201152283105</v>
      </c>
      <c r="W56" s="478">
        <f t="shared" si="35"/>
        <v>1.49201152283105</v>
      </c>
      <c r="X56" s="478">
        <f t="shared" si="35"/>
        <v>1.49201152283105</v>
      </c>
      <c r="Y56" s="478">
        <f t="shared" si="35"/>
        <v>1.49201152283105</v>
      </c>
      <c r="Z56" s="478">
        <f t="shared" si="35"/>
        <v>1.49201152283105</v>
      </c>
      <c r="AA56" s="478">
        <f t="shared" si="35"/>
        <v>1.49201152283105</v>
      </c>
      <c r="AB56" s="478">
        <f t="shared" si="35"/>
        <v>1.49201152283105</v>
      </c>
      <c r="AC56" s="478">
        <f t="shared" si="35"/>
        <v>1.49201152283105</v>
      </c>
      <c r="AD56" s="478">
        <f t="shared" si="35"/>
        <v>1.49201152283105</v>
      </c>
    </row>
    <row r="57" spans="1:35">
      <c r="A57" s="480" t="str">
        <f>Commodities!K17</f>
        <v>T-CAR-HEV_GSL00</v>
      </c>
      <c r="B57" s="480" t="s">
        <v>850</v>
      </c>
      <c r="C57" s="480" t="s">
        <v>733</v>
      </c>
      <c r="D57" s="478">
        <f>M95</f>
        <v>1.49201152283105</v>
      </c>
      <c r="E57" s="478">
        <f>D57</f>
        <v>1.49201152283105</v>
      </c>
      <c r="F57" s="478">
        <f t="shared" si="35"/>
        <v>1.49201152283105</v>
      </c>
      <c r="G57" s="478">
        <f t="shared" si="35"/>
        <v>1.49201152283105</v>
      </c>
      <c r="H57" s="478">
        <f t="shared" si="35"/>
        <v>1.49201152283105</v>
      </c>
      <c r="I57" s="478">
        <f t="shared" si="35"/>
        <v>1.49201152283105</v>
      </c>
      <c r="J57" s="478">
        <f t="shared" si="35"/>
        <v>1.49201152283105</v>
      </c>
      <c r="K57" s="478">
        <f t="shared" si="35"/>
        <v>1.49201152283105</v>
      </c>
      <c r="L57" s="478">
        <f t="shared" si="35"/>
        <v>1.49201152283105</v>
      </c>
      <c r="M57" s="478">
        <f t="shared" si="35"/>
        <v>1.49201152283105</v>
      </c>
      <c r="N57" s="478">
        <f t="shared" si="35"/>
        <v>1.49201152283105</v>
      </c>
      <c r="O57" s="478">
        <f t="shared" si="35"/>
        <v>1.49201152283105</v>
      </c>
      <c r="P57" s="478">
        <f t="shared" si="35"/>
        <v>1.49201152283105</v>
      </c>
      <c r="Q57" s="478">
        <f t="shared" si="35"/>
        <v>1.49201152283105</v>
      </c>
      <c r="R57" s="478">
        <f t="shared" si="35"/>
        <v>1.49201152283105</v>
      </c>
      <c r="S57" s="478">
        <f t="shared" si="35"/>
        <v>1.49201152283105</v>
      </c>
      <c r="T57" s="478">
        <f t="shared" si="35"/>
        <v>1.49201152283105</v>
      </c>
      <c r="U57" s="478">
        <f t="shared" si="35"/>
        <v>1.49201152283105</v>
      </c>
      <c r="V57" s="478">
        <f t="shared" si="35"/>
        <v>1.49201152283105</v>
      </c>
      <c r="W57" s="478">
        <f t="shared" si="35"/>
        <v>1.49201152283105</v>
      </c>
      <c r="X57" s="478">
        <f t="shared" si="35"/>
        <v>1.49201152283105</v>
      </c>
      <c r="Y57" s="478">
        <f t="shared" si="35"/>
        <v>1.49201152283105</v>
      </c>
      <c r="Z57" s="478">
        <f t="shared" si="35"/>
        <v>1.49201152283105</v>
      </c>
      <c r="AA57" s="478">
        <f t="shared" si="35"/>
        <v>1.49201152283105</v>
      </c>
      <c r="AB57" s="478">
        <f t="shared" si="35"/>
        <v>1.49201152283105</v>
      </c>
      <c r="AC57" s="478">
        <f t="shared" si="35"/>
        <v>1.49201152283105</v>
      </c>
      <c r="AD57" s="478">
        <f t="shared" si="35"/>
        <v>1.49201152283105</v>
      </c>
    </row>
    <row r="58" spans="1:35" s="459" customFormat="1">
      <c r="A58" s="480" t="str">
        <f>Commodities!K18</f>
        <v>T-CAR-HEV_DST00</v>
      </c>
      <c r="B58" s="480" t="s">
        <v>850</v>
      </c>
      <c r="C58" s="480" t="s">
        <v>733</v>
      </c>
      <c r="D58" s="478">
        <f>M95</f>
        <v>1.49201152283105</v>
      </c>
      <c r="E58" s="478">
        <f>D58</f>
        <v>1.49201152283105</v>
      </c>
      <c r="F58" s="478">
        <f t="shared" ref="F58:AD58" si="37">E58</f>
        <v>1.49201152283105</v>
      </c>
      <c r="G58" s="478">
        <f t="shared" si="37"/>
        <v>1.49201152283105</v>
      </c>
      <c r="H58" s="478">
        <f t="shared" si="37"/>
        <v>1.49201152283105</v>
      </c>
      <c r="I58" s="478">
        <f t="shared" si="37"/>
        <v>1.49201152283105</v>
      </c>
      <c r="J58" s="478">
        <f t="shared" si="37"/>
        <v>1.49201152283105</v>
      </c>
      <c r="K58" s="478">
        <f t="shared" si="37"/>
        <v>1.49201152283105</v>
      </c>
      <c r="L58" s="478">
        <f t="shared" si="37"/>
        <v>1.49201152283105</v>
      </c>
      <c r="M58" s="478">
        <f t="shared" si="37"/>
        <v>1.49201152283105</v>
      </c>
      <c r="N58" s="478">
        <f t="shared" si="37"/>
        <v>1.49201152283105</v>
      </c>
      <c r="O58" s="478">
        <f t="shared" si="37"/>
        <v>1.49201152283105</v>
      </c>
      <c r="P58" s="478">
        <f t="shared" si="37"/>
        <v>1.49201152283105</v>
      </c>
      <c r="Q58" s="478">
        <f t="shared" si="37"/>
        <v>1.49201152283105</v>
      </c>
      <c r="R58" s="478">
        <f t="shared" si="37"/>
        <v>1.49201152283105</v>
      </c>
      <c r="S58" s="478">
        <f t="shared" si="37"/>
        <v>1.49201152283105</v>
      </c>
      <c r="T58" s="478">
        <f t="shared" si="37"/>
        <v>1.49201152283105</v>
      </c>
      <c r="U58" s="478">
        <f t="shared" si="37"/>
        <v>1.49201152283105</v>
      </c>
      <c r="V58" s="478">
        <f t="shared" si="37"/>
        <v>1.49201152283105</v>
      </c>
      <c r="W58" s="478">
        <f t="shared" si="37"/>
        <v>1.49201152283105</v>
      </c>
      <c r="X58" s="478">
        <f t="shared" si="37"/>
        <v>1.49201152283105</v>
      </c>
      <c r="Y58" s="478">
        <f t="shared" si="37"/>
        <v>1.49201152283105</v>
      </c>
      <c r="Z58" s="478">
        <f t="shared" si="37"/>
        <v>1.49201152283105</v>
      </c>
      <c r="AA58" s="478">
        <f t="shared" si="37"/>
        <v>1.49201152283105</v>
      </c>
      <c r="AB58" s="478">
        <f t="shared" si="37"/>
        <v>1.49201152283105</v>
      </c>
      <c r="AC58" s="478">
        <f t="shared" si="37"/>
        <v>1.49201152283105</v>
      </c>
      <c r="AD58" s="478">
        <f t="shared" si="37"/>
        <v>1.49201152283105</v>
      </c>
    </row>
    <row r="59" spans="1:35">
      <c r="A59" s="480" t="str">
        <f>Commodities!K19</f>
        <v>T-CAR-PHEV_GSL00</v>
      </c>
      <c r="B59" s="480" t="s">
        <v>850</v>
      </c>
      <c r="C59" s="480" t="s">
        <v>733</v>
      </c>
      <c r="D59" s="478">
        <f>M95</f>
        <v>1.49201152283105</v>
      </c>
      <c r="E59" s="478">
        <f t="shared" si="36"/>
        <v>1.49201152283105</v>
      </c>
      <c r="F59" s="478">
        <f t="shared" si="35"/>
        <v>1.49201152283105</v>
      </c>
      <c r="G59" s="478">
        <f t="shared" si="35"/>
        <v>1.49201152283105</v>
      </c>
      <c r="H59" s="478">
        <f t="shared" si="35"/>
        <v>1.49201152283105</v>
      </c>
      <c r="I59" s="478">
        <f t="shared" si="35"/>
        <v>1.49201152283105</v>
      </c>
      <c r="J59" s="478">
        <f t="shared" si="35"/>
        <v>1.49201152283105</v>
      </c>
      <c r="K59" s="478">
        <f t="shared" si="35"/>
        <v>1.49201152283105</v>
      </c>
      <c r="L59" s="478">
        <f t="shared" si="35"/>
        <v>1.49201152283105</v>
      </c>
      <c r="M59" s="478">
        <f t="shared" si="35"/>
        <v>1.49201152283105</v>
      </c>
      <c r="N59" s="478">
        <f t="shared" si="35"/>
        <v>1.49201152283105</v>
      </c>
      <c r="O59" s="478">
        <f t="shared" si="35"/>
        <v>1.49201152283105</v>
      </c>
      <c r="P59" s="478">
        <f t="shared" si="35"/>
        <v>1.49201152283105</v>
      </c>
      <c r="Q59" s="478">
        <f t="shared" si="35"/>
        <v>1.49201152283105</v>
      </c>
      <c r="R59" s="478">
        <f t="shared" si="35"/>
        <v>1.49201152283105</v>
      </c>
      <c r="S59" s="478">
        <f t="shared" si="35"/>
        <v>1.49201152283105</v>
      </c>
      <c r="T59" s="478">
        <f t="shared" si="35"/>
        <v>1.49201152283105</v>
      </c>
      <c r="U59" s="478">
        <f t="shared" si="35"/>
        <v>1.49201152283105</v>
      </c>
      <c r="V59" s="478">
        <f t="shared" si="35"/>
        <v>1.49201152283105</v>
      </c>
      <c r="W59" s="478">
        <f t="shared" si="35"/>
        <v>1.49201152283105</v>
      </c>
      <c r="X59" s="478">
        <f t="shared" si="35"/>
        <v>1.49201152283105</v>
      </c>
      <c r="Y59" s="478">
        <f t="shared" si="35"/>
        <v>1.49201152283105</v>
      </c>
      <c r="Z59" s="478">
        <f t="shared" si="35"/>
        <v>1.49201152283105</v>
      </c>
      <c r="AA59" s="478">
        <f t="shared" si="35"/>
        <v>1.49201152283105</v>
      </c>
      <c r="AB59" s="478">
        <f t="shared" si="35"/>
        <v>1.49201152283105</v>
      </c>
      <c r="AC59" s="478">
        <f t="shared" si="35"/>
        <v>1.49201152283105</v>
      </c>
      <c r="AD59" s="478">
        <f t="shared" si="35"/>
        <v>1.49201152283105</v>
      </c>
    </row>
    <row r="60" spans="1:35">
      <c r="A60" s="480" t="str">
        <f>Commodities!K20</f>
        <v>T-CAR-PHEV_DST00</v>
      </c>
      <c r="B60" s="480" t="s">
        <v>850</v>
      </c>
      <c r="C60" s="480" t="s">
        <v>733</v>
      </c>
      <c r="D60" s="478">
        <f>M95</f>
        <v>1.49201152283105</v>
      </c>
      <c r="E60" s="478">
        <f t="shared" si="36"/>
        <v>1.49201152283105</v>
      </c>
      <c r="F60" s="478">
        <f t="shared" si="35"/>
        <v>1.49201152283105</v>
      </c>
      <c r="G60" s="478">
        <f t="shared" si="35"/>
        <v>1.49201152283105</v>
      </c>
      <c r="H60" s="478">
        <f t="shared" si="35"/>
        <v>1.49201152283105</v>
      </c>
      <c r="I60" s="478">
        <f t="shared" si="35"/>
        <v>1.49201152283105</v>
      </c>
      <c r="J60" s="478">
        <f t="shared" si="35"/>
        <v>1.49201152283105</v>
      </c>
      <c r="K60" s="478">
        <f t="shared" si="35"/>
        <v>1.49201152283105</v>
      </c>
      <c r="L60" s="478">
        <f t="shared" si="35"/>
        <v>1.49201152283105</v>
      </c>
      <c r="M60" s="478">
        <f t="shared" si="35"/>
        <v>1.49201152283105</v>
      </c>
      <c r="N60" s="478">
        <f t="shared" si="35"/>
        <v>1.49201152283105</v>
      </c>
      <c r="O60" s="478">
        <f t="shared" si="35"/>
        <v>1.49201152283105</v>
      </c>
      <c r="P60" s="478">
        <f t="shared" si="35"/>
        <v>1.49201152283105</v>
      </c>
      <c r="Q60" s="478">
        <f t="shared" si="35"/>
        <v>1.49201152283105</v>
      </c>
      <c r="R60" s="478">
        <f t="shared" si="35"/>
        <v>1.49201152283105</v>
      </c>
      <c r="S60" s="478">
        <f t="shared" si="35"/>
        <v>1.49201152283105</v>
      </c>
      <c r="T60" s="478">
        <f t="shared" si="35"/>
        <v>1.49201152283105</v>
      </c>
      <c r="U60" s="478">
        <f t="shared" si="35"/>
        <v>1.49201152283105</v>
      </c>
      <c r="V60" s="478">
        <f t="shared" si="35"/>
        <v>1.49201152283105</v>
      </c>
      <c r="W60" s="478">
        <f t="shared" si="35"/>
        <v>1.49201152283105</v>
      </c>
      <c r="X60" s="478">
        <f t="shared" si="35"/>
        <v>1.49201152283105</v>
      </c>
      <c r="Y60" s="478">
        <f t="shared" si="35"/>
        <v>1.49201152283105</v>
      </c>
      <c r="Z60" s="478">
        <f t="shared" si="35"/>
        <v>1.49201152283105</v>
      </c>
      <c r="AA60" s="478">
        <f t="shared" si="35"/>
        <v>1.49201152283105</v>
      </c>
      <c r="AB60" s="478">
        <f t="shared" si="35"/>
        <v>1.49201152283105</v>
      </c>
      <c r="AC60" s="478">
        <f t="shared" si="35"/>
        <v>1.49201152283105</v>
      </c>
      <c r="AD60" s="478">
        <f t="shared" si="35"/>
        <v>1.49201152283105</v>
      </c>
    </row>
    <row r="61" spans="1:35">
      <c r="A61" s="480" t="str">
        <f>Commodities!K21</f>
        <v>T-CAR-BEV_ELC00</v>
      </c>
      <c r="B61" s="480" t="s">
        <v>850</v>
      </c>
      <c r="C61" s="480" t="s">
        <v>733</v>
      </c>
      <c r="D61" s="478">
        <f>M95</f>
        <v>1.49201152283105</v>
      </c>
      <c r="E61" s="478">
        <f t="shared" si="36"/>
        <v>1.49201152283105</v>
      </c>
      <c r="F61" s="478">
        <f t="shared" si="35"/>
        <v>1.49201152283105</v>
      </c>
      <c r="G61" s="478">
        <f t="shared" si="35"/>
        <v>1.49201152283105</v>
      </c>
      <c r="H61" s="478">
        <f t="shared" si="35"/>
        <v>1.49201152283105</v>
      </c>
      <c r="I61" s="478">
        <f t="shared" si="35"/>
        <v>1.49201152283105</v>
      </c>
      <c r="J61" s="478">
        <f t="shared" si="35"/>
        <v>1.49201152283105</v>
      </c>
      <c r="K61" s="478">
        <f t="shared" si="35"/>
        <v>1.49201152283105</v>
      </c>
      <c r="L61" s="478">
        <f t="shared" si="35"/>
        <v>1.49201152283105</v>
      </c>
      <c r="M61" s="478">
        <f t="shared" si="35"/>
        <v>1.49201152283105</v>
      </c>
      <c r="N61" s="478">
        <f t="shared" si="35"/>
        <v>1.49201152283105</v>
      </c>
      <c r="O61" s="478">
        <f t="shared" si="35"/>
        <v>1.49201152283105</v>
      </c>
      <c r="P61" s="478">
        <f t="shared" si="35"/>
        <v>1.49201152283105</v>
      </c>
      <c r="Q61" s="478">
        <f t="shared" si="35"/>
        <v>1.49201152283105</v>
      </c>
      <c r="R61" s="478">
        <f t="shared" si="35"/>
        <v>1.49201152283105</v>
      </c>
      <c r="S61" s="478">
        <f t="shared" si="35"/>
        <v>1.49201152283105</v>
      </c>
      <c r="T61" s="478">
        <f t="shared" si="35"/>
        <v>1.49201152283105</v>
      </c>
      <c r="U61" s="478">
        <f t="shared" si="35"/>
        <v>1.49201152283105</v>
      </c>
      <c r="V61" s="478">
        <f t="shared" si="35"/>
        <v>1.49201152283105</v>
      </c>
      <c r="W61" s="478">
        <f t="shared" si="35"/>
        <v>1.49201152283105</v>
      </c>
      <c r="X61" s="478">
        <f t="shared" si="35"/>
        <v>1.49201152283105</v>
      </c>
      <c r="Y61" s="478">
        <f t="shared" si="35"/>
        <v>1.49201152283105</v>
      </c>
      <c r="Z61" s="478">
        <f t="shared" si="35"/>
        <v>1.49201152283105</v>
      </c>
      <c r="AA61" s="478">
        <f t="shared" si="35"/>
        <v>1.49201152283105</v>
      </c>
      <c r="AB61" s="478">
        <f t="shared" si="35"/>
        <v>1.49201152283105</v>
      </c>
      <c r="AC61" s="478">
        <f t="shared" si="35"/>
        <v>1.49201152283105</v>
      </c>
      <c r="AD61" s="478">
        <f t="shared" si="35"/>
        <v>1.49201152283105</v>
      </c>
    </row>
    <row r="62" spans="1:35">
      <c r="A62" s="480" t="str">
        <f>Commodities!K23</f>
        <v>T-TAX-ICE_GSL00</v>
      </c>
      <c r="B62" s="480" t="s">
        <v>850</v>
      </c>
      <c r="C62" s="480" t="s">
        <v>733</v>
      </c>
      <c r="D62" s="478">
        <f>M95</f>
        <v>1.49201152283105</v>
      </c>
      <c r="E62" s="478">
        <f t="shared" si="36"/>
        <v>1.49201152283105</v>
      </c>
      <c r="F62" s="478">
        <f t="shared" si="35"/>
        <v>1.49201152283105</v>
      </c>
      <c r="G62" s="478">
        <f t="shared" si="35"/>
        <v>1.49201152283105</v>
      </c>
      <c r="H62" s="478">
        <f t="shared" si="35"/>
        <v>1.49201152283105</v>
      </c>
      <c r="I62" s="478">
        <f t="shared" si="35"/>
        <v>1.49201152283105</v>
      </c>
      <c r="J62" s="478">
        <f t="shared" si="35"/>
        <v>1.49201152283105</v>
      </c>
      <c r="K62" s="478">
        <f t="shared" si="35"/>
        <v>1.49201152283105</v>
      </c>
      <c r="L62" s="478">
        <f t="shared" si="35"/>
        <v>1.49201152283105</v>
      </c>
      <c r="M62" s="478">
        <f t="shared" si="35"/>
        <v>1.49201152283105</v>
      </c>
      <c r="N62" s="478">
        <f t="shared" si="35"/>
        <v>1.49201152283105</v>
      </c>
      <c r="O62" s="478">
        <f t="shared" si="35"/>
        <v>1.49201152283105</v>
      </c>
      <c r="P62" s="478">
        <f t="shared" si="35"/>
        <v>1.49201152283105</v>
      </c>
      <c r="Q62" s="478">
        <f t="shared" si="35"/>
        <v>1.49201152283105</v>
      </c>
      <c r="R62" s="478">
        <f t="shared" si="35"/>
        <v>1.49201152283105</v>
      </c>
      <c r="S62" s="478">
        <f t="shared" si="35"/>
        <v>1.49201152283105</v>
      </c>
      <c r="T62" s="478">
        <f t="shared" si="35"/>
        <v>1.49201152283105</v>
      </c>
      <c r="U62" s="478">
        <f t="shared" si="35"/>
        <v>1.49201152283105</v>
      </c>
      <c r="V62" s="478">
        <f t="shared" si="35"/>
        <v>1.49201152283105</v>
      </c>
      <c r="W62" s="478">
        <f t="shared" si="35"/>
        <v>1.49201152283105</v>
      </c>
      <c r="X62" s="478">
        <f t="shared" si="35"/>
        <v>1.49201152283105</v>
      </c>
      <c r="Y62" s="478">
        <f t="shared" si="35"/>
        <v>1.49201152283105</v>
      </c>
      <c r="Z62" s="478">
        <f t="shared" si="35"/>
        <v>1.49201152283105</v>
      </c>
      <c r="AA62" s="478">
        <f t="shared" si="35"/>
        <v>1.49201152283105</v>
      </c>
      <c r="AB62" s="478">
        <f t="shared" si="35"/>
        <v>1.49201152283105</v>
      </c>
      <c r="AC62" s="478">
        <f t="shared" si="35"/>
        <v>1.49201152283105</v>
      </c>
      <c r="AD62" s="478">
        <f t="shared" si="35"/>
        <v>1.49201152283105</v>
      </c>
    </row>
    <row r="63" spans="1:35">
      <c r="A63" s="480" t="str">
        <f>Commodities!K24</f>
        <v>T-TAX-ICE_DST00</v>
      </c>
      <c r="B63" s="480" t="s">
        <v>850</v>
      </c>
      <c r="C63" s="480" t="s">
        <v>733</v>
      </c>
      <c r="D63" s="478">
        <f>M95</f>
        <v>1.49201152283105</v>
      </c>
      <c r="E63" s="478">
        <f t="shared" si="36"/>
        <v>1.49201152283105</v>
      </c>
      <c r="F63" s="478">
        <f t="shared" si="35"/>
        <v>1.49201152283105</v>
      </c>
      <c r="G63" s="478">
        <f t="shared" si="35"/>
        <v>1.49201152283105</v>
      </c>
      <c r="H63" s="478">
        <f t="shared" si="35"/>
        <v>1.49201152283105</v>
      </c>
      <c r="I63" s="478">
        <f t="shared" si="35"/>
        <v>1.49201152283105</v>
      </c>
      <c r="J63" s="478">
        <f t="shared" si="35"/>
        <v>1.49201152283105</v>
      </c>
      <c r="K63" s="478">
        <f t="shared" si="35"/>
        <v>1.49201152283105</v>
      </c>
      <c r="L63" s="478">
        <f t="shared" si="35"/>
        <v>1.49201152283105</v>
      </c>
      <c r="M63" s="478">
        <f t="shared" si="35"/>
        <v>1.49201152283105</v>
      </c>
      <c r="N63" s="478">
        <f t="shared" si="35"/>
        <v>1.49201152283105</v>
      </c>
      <c r="O63" s="478">
        <f t="shared" si="35"/>
        <v>1.49201152283105</v>
      </c>
      <c r="P63" s="478">
        <f t="shared" si="35"/>
        <v>1.49201152283105</v>
      </c>
      <c r="Q63" s="478">
        <f t="shared" si="35"/>
        <v>1.49201152283105</v>
      </c>
      <c r="R63" s="478">
        <f t="shared" si="35"/>
        <v>1.49201152283105</v>
      </c>
      <c r="S63" s="478">
        <f t="shared" si="35"/>
        <v>1.49201152283105</v>
      </c>
      <c r="T63" s="478">
        <f t="shared" si="35"/>
        <v>1.49201152283105</v>
      </c>
      <c r="U63" s="478">
        <f t="shared" si="35"/>
        <v>1.49201152283105</v>
      </c>
      <c r="V63" s="478">
        <f t="shared" si="35"/>
        <v>1.49201152283105</v>
      </c>
      <c r="W63" s="478">
        <f t="shared" si="35"/>
        <v>1.49201152283105</v>
      </c>
      <c r="X63" s="478">
        <f t="shared" si="35"/>
        <v>1.49201152283105</v>
      </c>
      <c r="Y63" s="478">
        <f t="shared" si="35"/>
        <v>1.49201152283105</v>
      </c>
      <c r="Z63" s="478">
        <f t="shared" si="35"/>
        <v>1.49201152283105</v>
      </c>
      <c r="AA63" s="478">
        <f t="shared" si="35"/>
        <v>1.49201152283105</v>
      </c>
      <c r="AB63" s="478">
        <f t="shared" si="35"/>
        <v>1.49201152283105</v>
      </c>
      <c r="AC63" s="478">
        <f t="shared" si="35"/>
        <v>1.49201152283105</v>
      </c>
      <c r="AD63" s="478">
        <f t="shared" si="35"/>
        <v>1.49201152283105</v>
      </c>
    </row>
    <row r="64" spans="1:35">
      <c r="A64" s="480" t="str">
        <f>Commodities!K25</f>
        <v>T-TAX-HEV_GSL00</v>
      </c>
      <c r="B64" s="480" t="s">
        <v>850</v>
      </c>
      <c r="C64" s="480" t="s">
        <v>733</v>
      </c>
      <c r="D64" s="478">
        <f>M95</f>
        <v>1.49201152283105</v>
      </c>
      <c r="E64" s="478">
        <f t="shared" si="36"/>
        <v>1.49201152283105</v>
      </c>
      <c r="F64" s="478">
        <f t="shared" si="35"/>
        <v>1.49201152283105</v>
      </c>
      <c r="G64" s="478">
        <f t="shared" si="35"/>
        <v>1.49201152283105</v>
      </c>
      <c r="H64" s="478">
        <f t="shared" si="35"/>
        <v>1.49201152283105</v>
      </c>
      <c r="I64" s="478">
        <f t="shared" si="35"/>
        <v>1.49201152283105</v>
      </c>
      <c r="J64" s="478">
        <f t="shared" si="35"/>
        <v>1.49201152283105</v>
      </c>
      <c r="K64" s="478">
        <f t="shared" ref="K64:K68" si="38">J64</f>
        <v>1.49201152283105</v>
      </c>
      <c r="L64" s="478">
        <f t="shared" ref="L64:L68" si="39">K64</f>
        <v>1.49201152283105</v>
      </c>
      <c r="M64" s="478">
        <f t="shared" ref="M64:M68" si="40">L64</f>
        <v>1.49201152283105</v>
      </c>
      <c r="N64" s="478">
        <f t="shared" ref="N64:N68" si="41">M64</f>
        <v>1.49201152283105</v>
      </c>
      <c r="O64" s="478">
        <f t="shared" ref="O64:O68" si="42">N64</f>
        <v>1.49201152283105</v>
      </c>
      <c r="P64" s="478">
        <f t="shared" ref="P64:P68" si="43">O64</f>
        <v>1.49201152283105</v>
      </c>
      <c r="Q64" s="478">
        <f t="shared" ref="Q64:Q68" si="44">P64</f>
        <v>1.49201152283105</v>
      </c>
      <c r="R64" s="478">
        <f t="shared" ref="R64:R68" si="45">Q64</f>
        <v>1.49201152283105</v>
      </c>
      <c r="S64" s="478">
        <f t="shared" ref="S64:S68" si="46">R64</f>
        <v>1.49201152283105</v>
      </c>
      <c r="T64" s="478">
        <f t="shared" ref="T64:T68" si="47">S64</f>
        <v>1.49201152283105</v>
      </c>
      <c r="U64" s="478">
        <f t="shared" ref="U64:U68" si="48">T64</f>
        <v>1.49201152283105</v>
      </c>
      <c r="V64" s="478">
        <f t="shared" ref="V64:V68" si="49">U64</f>
        <v>1.49201152283105</v>
      </c>
      <c r="W64" s="478">
        <f t="shared" ref="W64:W68" si="50">V64</f>
        <v>1.49201152283105</v>
      </c>
      <c r="X64" s="478">
        <f t="shared" ref="X64:X68" si="51">W64</f>
        <v>1.49201152283105</v>
      </c>
      <c r="Y64" s="478">
        <f t="shared" ref="Y64:Y68" si="52">X64</f>
        <v>1.49201152283105</v>
      </c>
      <c r="Z64" s="478">
        <f t="shared" ref="Z64:Z68" si="53">Y64</f>
        <v>1.49201152283105</v>
      </c>
      <c r="AA64" s="478">
        <f t="shared" ref="AA64:AA68" si="54">Z64</f>
        <v>1.49201152283105</v>
      </c>
      <c r="AB64" s="478">
        <f t="shared" ref="AB64:AB68" si="55">AA64</f>
        <v>1.49201152283105</v>
      </c>
      <c r="AC64" s="478">
        <f t="shared" ref="AC64:AC68" si="56">AB64</f>
        <v>1.49201152283105</v>
      </c>
      <c r="AD64" s="478">
        <f t="shared" ref="AD64:AD68" si="57">AC64</f>
        <v>1.49201152283105</v>
      </c>
    </row>
    <row r="65" spans="1:30">
      <c r="A65" s="480" t="str">
        <f>Commodities!K27</f>
        <v>T-BUS-ICE_DST00</v>
      </c>
      <c r="B65" s="480" t="s">
        <v>850</v>
      </c>
      <c r="C65" s="480" t="s">
        <v>733</v>
      </c>
      <c r="D65" s="479">
        <v>27.25</v>
      </c>
      <c r="E65" s="478">
        <f t="shared" si="36"/>
        <v>27.25</v>
      </c>
      <c r="F65" s="478">
        <f t="shared" ref="F65" si="58">E65</f>
        <v>27.25</v>
      </c>
      <c r="G65" s="478">
        <f t="shared" ref="G65" si="59">F65</f>
        <v>27.25</v>
      </c>
      <c r="H65" s="478">
        <f t="shared" ref="H65" si="60">G65</f>
        <v>27.25</v>
      </c>
      <c r="I65" s="478">
        <f t="shared" ref="I65:I68" si="61">H65</f>
        <v>27.25</v>
      </c>
      <c r="J65" s="478">
        <f t="shared" ref="J65:J68" si="62">I65</f>
        <v>27.25</v>
      </c>
      <c r="K65" s="478">
        <f t="shared" si="38"/>
        <v>27.25</v>
      </c>
      <c r="L65" s="478">
        <f t="shared" si="39"/>
        <v>27.25</v>
      </c>
      <c r="M65" s="478">
        <f t="shared" si="40"/>
        <v>27.25</v>
      </c>
      <c r="N65" s="478">
        <f t="shared" si="41"/>
        <v>27.25</v>
      </c>
      <c r="O65" s="478">
        <f t="shared" si="42"/>
        <v>27.25</v>
      </c>
      <c r="P65" s="478">
        <f t="shared" si="43"/>
        <v>27.25</v>
      </c>
      <c r="Q65" s="478">
        <f t="shared" si="44"/>
        <v>27.25</v>
      </c>
      <c r="R65" s="478">
        <f t="shared" si="45"/>
        <v>27.25</v>
      </c>
      <c r="S65" s="478">
        <f t="shared" si="46"/>
        <v>27.25</v>
      </c>
      <c r="T65" s="478">
        <f t="shared" si="47"/>
        <v>27.25</v>
      </c>
      <c r="U65" s="478">
        <f t="shared" si="48"/>
        <v>27.25</v>
      </c>
      <c r="V65" s="478">
        <f t="shared" si="49"/>
        <v>27.25</v>
      </c>
      <c r="W65" s="478">
        <f t="shared" si="50"/>
        <v>27.25</v>
      </c>
      <c r="X65" s="478">
        <f t="shared" si="51"/>
        <v>27.25</v>
      </c>
      <c r="Y65" s="478">
        <f t="shared" si="52"/>
        <v>27.25</v>
      </c>
      <c r="Z65" s="478">
        <f t="shared" si="53"/>
        <v>27.25</v>
      </c>
      <c r="AA65" s="478">
        <f t="shared" si="54"/>
        <v>27.25</v>
      </c>
      <c r="AB65" s="478">
        <f t="shared" si="55"/>
        <v>27.25</v>
      </c>
      <c r="AC65" s="478">
        <f t="shared" si="56"/>
        <v>27.25</v>
      </c>
      <c r="AD65" s="478">
        <f t="shared" si="57"/>
        <v>27.25</v>
      </c>
    </row>
    <row r="66" spans="1:30" s="459" customFormat="1">
      <c r="A66" s="480" t="str">
        <f>Commodities!K29</f>
        <v>T-LPT-EV_ELC00</v>
      </c>
      <c r="B66" s="480" t="s">
        <v>850</v>
      </c>
      <c r="C66" s="480" t="s">
        <v>733</v>
      </c>
      <c r="D66" s="724">
        <f>B113</f>
        <v>78.019401157895544</v>
      </c>
      <c r="E66" s="724">
        <v>0</v>
      </c>
      <c r="F66" s="724">
        <f>D66</f>
        <v>78.019401157895544</v>
      </c>
      <c r="G66" s="724">
        <f>E66</f>
        <v>0</v>
      </c>
      <c r="H66" s="724">
        <f>G66</f>
        <v>0</v>
      </c>
      <c r="I66" s="724">
        <f t="shared" si="61"/>
        <v>0</v>
      </c>
      <c r="J66" s="724">
        <f t="shared" si="62"/>
        <v>0</v>
      </c>
      <c r="K66" s="724">
        <f t="shared" si="38"/>
        <v>0</v>
      </c>
      <c r="L66" s="724">
        <f t="shared" si="39"/>
        <v>0</v>
      </c>
      <c r="M66" s="724">
        <f t="shared" si="40"/>
        <v>0</v>
      </c>
      <c r="N66" s="724">
        <f t="shared" si="41"/>
        <v>0</v>
      </c>
      <c r="O66" s="724">
        <f t="shared" si="42"/>
        <v>0</v>
      </c>
      <c r="P66" s="724">
        <f t="shared" si="43"/>
        <v>0</v>
      </c>
      <c r="Q66" s="724">
        <f t="shared" si="44"/>
        <v>0</v>
      </c>
      <c r="R66" s="724">
        <f t="shared" si="45"/>
        <v>0</v>
      </c>
      <c r="S66" s="724">
        <f t="shared" si="46"/>
        <v>0</v>
      </c>
      <c r="T66" s="724">
        <f t="shared" si="47"/>
        <v>0</v>
      </c>
      <c r="U66" s="724">
        <f t="shared" si="48"/>
        <v>0</v>
      </c>
      <c r="V66" s="724">
        <f t="shared" si="49"/>
        <v>0</v>
      </c>
      <c r="W66" s="724">
        <f t="shared" si="50"/>
        <v>0</v>
      </c>
      <c r="X66" s="724">
        <f t="shared" si="51"/>
        <v>0</v>
      </c>
      <c r="Y66" s="724">
        <f t="shared" si="52"/>
        <v>0</v>
      </c>
      <c r="Z66" s="724">
        <f t="shared" si="53"/>
        <v>0</v>
      </c>
      <c r="AA66" s="724">
        <f t="shared" si="54"/>
        <v>0</v>
      </c>
      <c r="AB66" s="724">
        <f t="shared" si="55"/>
        <v>0</v>
      </c>
      <c r="AC66" s="724">
        <f t="shared" si="56"/>
        <v>0</v>
      </c>
      <c r="AD66" s="724">
        <f t="shared" si="57"/>
        <v>0</v>
      </c>
    </row>
    <row r="67" spans="1:30" s="459" customFormat="1">
      <c r="A67" s="480" t="str">
        <f>Commodities!K30</f>
        <v>T-HPT-EV_ELC00</v>
      </c>
      <c r="B67" s="480" t="s">
        <v>850</v>
      </c>
      <c r="C67" s="480" t="s">
        <v>733</v>
      </c>
      <c r="D67" s="724">
        <f>D66</f>
        <v>78.019401157895544</v>
      </c>
      <c r="E67" s="724">
        <f>D67</f>
        <v>78.019401157895544</v>
      </c>
      <c r="F67" s="724">
        <f t="shared" ref="F67:H67" si="63">E67</f>
        <v>78.019401157895544</v>
      </c>
      <c r="G67" s="724">
        <f t="shared" si="63"/>
        <v>78.019401157895544</v>
      </c>
      <c r="H67" s="724">
        <f t="shared" si="63"/>
        <v>78.019401157895544</v>
      </c>
      <c r="I67" s="724">
        <f t="shared" si="61"/>
        <v>78.019401157895544</v>
      </c>
      <c r="J67" s="724">
        <f t="shared" si="62"/>
        <v>78.019401157895544</v>
      </c>
      <c r="K67" s="724">
        <f t="shared" si="38"/>
        <v>78.019401157895544</v>
      </c>
      <c r="L67" s="724">
        <f t="shared" si="39"/>
        <v>78.019401157895544</v>
      </c>
      <c r="M67" s="724">
        <f t="shared" si="40"/>
        <v>78.019401157895544</v>
      </c>
      <c r="N67" s="724">
        <f t="shared" si="41"/>
        <v>78.019401157895544</v>
      </c>
      <c r="O67" s="724">
        <f t="shared" si="42"/>
        <v>78.019401157895544</v>
      </c>
      <c r="P67" s="724">
        <f t="shared" si="43"/>
        <v>78.019401157895544</v>
      </c>
      <c r="Q67" s="724">
        <f t="shared" si="44"/>
        <v>78.019401157895544</v>
      </c>
      <c r="R67" s="724">
        <f t="shared" si="45"/>
        <v>78.019401157895544</v>
      </c>
      <c r="S67" s="724">
        <f t="shared" si="46"/>
        <v>78.019401157895544</v>
      </c>
      <c r="T67" s="724">
        <f t="shared" si="47"/>
        <v>78.019401157895544</v>
      </c>
      <c r="U67" s="724">
        <f t="shared" si="48"/>
        <v>78.019401157895544</v>
      </c>
      <c r="V67" s="724">
        <f t="shared" si="49"/>
        <v>78.019401157895544</v>
      </c>
      <c r="W67" s="724">
        <f t="shared" si="50"/>
        <v>78.019401157895544</v>
      </c>
      <c r="X67" s="724">
        <f t="shared" si="51"/>
        <v>78.019401157895544</v>
      </c>
      <c r="Y67" s="724">
        <f t="shared" si="52"/>
        <v>78.019401157895544</v>
      </c>
      <c r="Z67" s="724">
        <f t="shared" si="53"/>
        <v>78.019401157895544</v>
      </c>
      <c r="AA67" s="724">
        <f t="shared" si="54"/>
        <v>78.019401157895544</v>
      </c>
      <c r="AB67" s="724">
        <f t="shared" si="55"/>
        <v>78.019401157895544</v>
      </c>
      <c r="AC67" s="724">
        <f t="shared" si="56"/>
        <v>78.019401157895544</v>
      </c>
      <c r="AD67" s="724">
        <f t="shared" si="57"/>
        <v>78.019401157895544</v>
      </c>
    </row>
    <row r="68" spans="1:30" s="459" customFormat="1">
      <c r="A68" s="480" t="str">
        <f>Commodities!K31</f>
        <v>T-HPT-ICE_DST00</v>
      </c>
      <c r="B68" s="480" t="s">
        <v>850</v>
      </c>
      <c r="C68" s="480" t="s">
        <v>733</v>
      </c>
      <c r="D68" s="724">
        <v>120</v>
      </c>
      <c r="E68" s="724">
        <f>D68</f>
        <v>120</v>
      </c>
      <c r="F68" s="724">
        <f t="shared" ref="F68:H68" si="64">E68</f>
        <v>120</v>
      </c>
      <c r="G68" s="724">
        <f t="shared" si="64"/>
        <v>120</v>
      </c>
      <c r="H68" s="724">
        <f t="shared" si="64"/>
        <v>120</v>
      </c>
      <c r="I68" s="724">
        <f t="shared" si="61"/>
        <v>120</v>
      </c>
      <c r="J68" s="724">
        <f t="shared" si="62"/>
        <v>120</v>
      </c>
      <c r="K68" s="724">
        <f t="shared" si="38"/>
        <v>120</v>
      </c>
      <c r="L68" s="724">
        <f t="shared" si="39"/>
        <v>120</v>
      </c>
      <c r="M68" s="724">
        <f t="shared" si="40"/>
        <v>120</v>
      </c>
      <c r="N68" s="724">
        <f t="shared" si="41"/>
        <v>120</v>
      </c>
      <c r="O68" s="724">
        <f t="shared" si="42"/>
        <v>120</v>
      </c>
      <c r="P68" s="724">
        <f t="shared" si="43"/>
        <v>120</v>
      </c>
      <c r="Q68" s="724">
        <f t="shared" si="44"/>
        <v>120</v>
      </c>
      <c r="R68" s="724">
        <f t="shared" si="45"/>
        <v>120</v>
      </c>
      <c r="S68" s="724">
        <f t="shared" si="46"/>
        <v>120</v>
      </c>
      <c r="T68" s="724">
        <f t="shared" si="47"/>
        <v>120</v>
      </c>
      <c r="U68" s="724">
        <f t="shared" si="48"/>
        <v>120</v>
      </c>
      <c r="V68" s="724">
        <f t="shared" si="49"/>
        <v>120</v>
      </c>
      <c r="W68" s="724">
        <f t="shared" si="50"/>
        <v>120</v>
      </c>
      <c r="X68" s="724">
        <f t="shared" si="51"/>
        <v>120</v>
      </c>
      <c r="Y68" s="724">
        <f t="shared" si="52"/>
        <v>120</v>
      </c>
      <c r="Z68" s="724">
        <f t="shared" si="53"/>
        <v>120</v>
      </c>
      <c r="AA68" s="724">
        <f t="shared" si="54"/>
        <v>120</v>
      </c>
      <c r="AB68" s="724">
        <f t="shared" si="55"/>
        <v>120</v>
      </c>
      <c r="AC68" s="724">
        <f t="shared" si="56"/>
        <v>120</v>
      </c>
      <c r="AD68" s="724">
        <f t="shared" si="57"/>
        <v>120</v>
      </c>
    </row>
    <row r="69" spans="1:30" s="459" customFormat="1">
      <c r="A69" s="725" t="s">
        <v>736</v>
      </c>
      <c r="B69" s="725"/>
      <c r="C69" s="725"/>
      <c r="D69" s="725"/>
      <c r="E69" s="725"/>
      <c r="F69" s="725"/>
      <c r="G69" s="725"/>
      <c r="H69" s="725"/>
      <c r="I69" s="725"/>
      <c r="J69" s="725"/>
      <c r="K69" s="725"/>
      <c r="L69" s="725"/>
      <c r="M69" s="725"/>
      <c r="N69" s="725"/>
      <c r="O69" s="725"/>
      <c r="P69" s="725"/>
      <c r="Q69" s="725"/>
      <c r="R69" s="725"/>
      <c r="S69" s="725"/>
      <c r="T69" s="725"/>
      <c r="U69" s="725"/>
      <c r="V69" s="725"/>
      <c r="W69" s="725"/>
      <c r="X69" s="725"/>
      <c r="Y69" s="725"/>
      <c r="Z69" s="725"/>
      <c r="AA69" s="725"/>
      <c r="AB69" s="725"/>
      <c r="AC69" s="725"/>
      <c r="AD69" s="725"/>
    </row>
    <row r="70" spans="1:30">
      <c r="A70" s="480" t="str">
        <f>Commodities!K34</f>
        <v>T-LGT-ICE_GSL00</v>
      </c>
      <c r="B70" s="480" t="s">
        <v>850</v>
      </c>
      <c r="C70" s="480" t="s">
        <v>734</v>
      </c>
      <c r="D70" s="478">
        <f>Demands!C462</f>
        <v>4.5497039576191958E-2</v>
      </c>
      <c r="E70" s="478">
        <f>Demands!D462</f>
        <v>4.3304460923115656E-2</v>
      </c>
      <c r="F70" s="478">
        <f>Demands!E462</f>
        <v>4.5238222267306935E-2</v>
      </c>
      <c r="G70" s="478">
        <f>Demands!F462</f>
        <v>4.0553314475095192E-2</v>
      </c>
      <c r="H70" s="478">
        <f>Demands!G462</f>
        <v>5.6473730834456531E-2</v>
      </c>
      <c r="I70" s="478">
        <f>Demands!H462</f>
        <v>5.1294213842061454E-2</v>
      </c>
      <c r="J70" s="478">
        <f>Demands!I462</f>
        <v>3.9103377694016325E-2</v>
      </c>
      <c r="K70" s="478">
        <f>Demands!J462</f>
        <v>4.876250774027955E-2</v>
      </c>
      <c r="L70" s="478">
        <f>Demands!K462</f>
        <v>3.9338583622498993E-2</v>
      </c>
      <c r="M70" s="478">
        <f>Demands!L462</f>
        <v>4.3613630721333431E-2</v>
      </c>
      <c r="N70" s="478">
        <f>Demands!M462</f>
        <v>3.8552227859684464E-2</v>
      </c>
      <c r="O70" s="478">
        <f>Demands!N462</f>
        <v>4.8740376710068041E-2</v>
      </c>
      <c r="P70" s="478">
        <f>Demands!O462</f>
        <v>4.4904721590146399E-2</v>
      </c>
      <c r="Q70" s="478">
        <f>Demands!P462</f>
        <v>4.4702424517520496E-2</v>
      </c>
      <c r="R70" s="478">
        <f>Demands!Q462</f>
        <v>5.810645213921127E-2</v>
      </c>
      <c r="S70" s="478">
        <f>Demands!R462</f>
        <v>5.3302202781361448E-2</v>
      </c>
      <c r="T70" s="478">
        <f>Demands!S462</f>
        <v>5.1478332321335835E-2</v>
      </c>
      <c r="U70" s="478">
        <f>Demands!T462</f>
        <v>4.3200424685842412E-2</v>
      </c>
      <c r="V70" s="478">
        <f>Demands!U462</f>
        <v>6.6116697773135905E-2</v>
      </c>
      <c r="W70" s="478">
        <f>Demands!V462</f>
        <v>4.1727564048124444E-2</v>
      </c>
      <c r="X70" s="478">
        <f>Demands!W462</f>
        <v>3.348100735821407E-2</v>
      </c>
      <c r="Y70" s="478">
        <f>Demands!X462</f>
        <v>3.2135756911460311E-2</v>
      </c>
      <c r="Z70" s="478">
        <f>Demands!Y462</f>
        <v>3.3019436457529423E-2</v>
      </c>
      <c r="AA70" s="478">
        <f>Demands!Z462</f>
        <v>3.9780078240768367E-2</v>
      </c>
      <c r="AB70" s="478">
        <f>Demands!AA462</f>
        <v>3.3951874347526993E-2</v>
      </c>
      <c r="AC70" s="478">
        <f>Demands!AB462</f>
        <v>4.1077680629101776E-2</v>
      </c>
      <c r="AD70" s="478">
        <f>Demands!AC462</f>
        <v>2.9866179275245347E-2</v>
      </c>
    </row>
    <row r="71" spans="1:30" s="714" customFormat="1">
      <c r="A71" s="480" t="str">
        <f>Commodities!K35</f>
        <v>T-LGT-ICE_DST00</v>
      </c>
      <c r="B71" s="480" t="s">
        <v>850</v>
      </c>
      <c r="C71" s="480" t="s">
        <v>734</v>
      </c>
      <c r="D71" s="478">
        <f>Demands!C462</f>
        <v>4.5497039576191958E-2</v>
      </c>
      <c r="E71" s="478">
        <f>Demands!D462</f>
        <v>4.3304460923115656E-2</v>
      </c>
      <c r="F71" s="478">
        <f>Demands!E462</f>
        <v>4.5238222267306935E-2</v>
      </c>
      <c r="G71" s="478">
        <f>Demands!F462</f>
        <v>4.0553314475095192E-2</v>
      </c>
      <c r="H71" s="478">
        <f>Demands!G462</f>
        <v>5.6473730834456531E-2</v>
      </c>
      <c r="I71" s="478">
        <f>Demands!H462</f>
        <v>5.1294213842061454E-2</v>
      </c>
      <c r="J71" s="478">
        <f>Demands!I462</f>
        <v>3.9103377694016325E-2</v>
      </c>
      <c r="K71" s="478">
        <f>Demands!J462</f>
        <v>4.876250774027955E-2</v>
      </c>
      <c r="L71" s="478">
        <f>Demands!K462</f>
        <v>3.9338583622498993E-2</v>
      </c>
      <c r="M71" s="478">
        <f>Demands!L462</f>
        <v>4.3613630721333431E-2</v>
      </c>
      <c r="N71" s="478">
        <f>Demands!M462</f>
        <v>3.8552227859684464E-2</v>
      </c>
      <c r="O71" s="478">
        <f>Demands!N462</f>
        <v>4.8740376710068041E-2</v>
      </c>
      <c r="P71" s="478">
        <f>Demands!O462</f>
        <v>4.4904721590146399E-2</v>
      </c>
      <c r="Q71" s="478">
        <f>Demands!P462</f>
        <v>4.4702424517520496E-2</v>
      </c>
      <c r="R71" s="478">
        <f>Demands!Q462</f>
        <v>5.810645213921127E-2</v>
      </c>
      <c r="S71" s="478">
        <f>Demands!R462</f>
        <v>5.3302202781361448E-2</v>
      </c>
      <c r="T71" s="478">
        <f>Demands!S462</f>
        <v>5.1478332321335835E-2</v>
      </c>
      <c r="U71" s="478">
        <f>Demands!T462</f>
        <v>4.3200424685842412E-2</v>
      </c>
      <c r="V71" s="478">
        <f>Demands!U462</f>
        <v>6.6116697773135905E-2</v>
      </c>
      <c r="W71" s="478">
        <f>Demands!V462</f>
        <v>4.1727564048124444E-2</v>
      </c>
      <c r="X71" s="478">
        <f>Demands!W462</f>
        <v>3.348100735821407E-2</v>
      </c>
      <c r="Y71" s="478">
        <f>Demands!X462</f>
        <v>3.2135756911460311E-2</v>
      </c>
      <c r="Z71" s="478">
        <f>Demands!Y462</f>
        <v>3.3019436457529423E-2</v>
      </c>
      <c r="AA71" s="478">
        <f>Demands!Z462</f>
        <v>3.9780078240768367E-2</v>
      </c>
      <c r="AB71" s="478">
        <f>Demands!AA462</f>
        <v>3.3951874347526993E-2</v>
      </c>
      <c r="AC71" s="478">
        <f>Demands!AB462</f>
        <v>4.1077680629101776E-2</v>
      </c>
      <c r="AD71" s="478">
        <f>Demands!AC462</f>
        <v>2.9866179275245347E-2</v>
      </c>
    </row>
    <row r="72" spans="1:30" s="714" customFormat="1">
      <c r="A72" s="480" t="str">
        <f>Commodities!K36</f>
        <v>T-MGT-ICE_DST00</v>
      </c>
      <c r="B72" s="480" t="s">
        <v>850</v>
      </c>
      <c r="C72" s="480" t="s">
        <v>734</v>
      </c>
      <c r="D72" s="478">
        <f>Demands!C463</f>
        <v>3.4234234234234235</v>
      </c>
      <c r="E72" s="478">
        <f>Demands!D463</f>
        <v>3.516559511674378</v>
      </c>
      <c r="F72" s="478">
        <f>Demands!E463</f>
        <v>2.547065016416119</v>
      </c>
      <c r="G72" s="478">
        <f>Demands!F463</f>
        <v>3.1770466504530055</v>
      </c>
      <c r="H72" s="478">
        <f>Demands!G463</f>
        <v>5.107778189513688</v>
      </c>
      <c r="I72" s="478">
        <f>Demands!H463</f>
        <v>3.6380245502366186</v>
      </c>
      <c r="J72" s="478">
        <f>Demands!I463</f>
        <v>3.5112690518394114</v>
      </c>
      <c r="K72" s="478">
        <f>Demands!J463</f>
        <v>2.3003546031587354</v>
      </c>
      <c r="L72" s="478">
        <f>Demands!K463</f>
        <v>2.9838816070607845</v>
      </c>
      <c r="M72" s="478">
        <f>Demands!L463</f>
        <v>5.0230356204056275</v>
      </c>
      <c r="N72" s="478">
        <f>Demands!M463</f>
        <v>3.8129737691359153</v>
      </c>
      <c r="O72" s="478">
        <f>Demands!N463</f>
        <v>3.5569175859386326</v>
      </c>
      <c r="P72" s="478">
        <f>Demands!O463</f>
        <v>6.1008908045352328</v>
      </c>
      <c r="Q72" s="478">
        <f>Demands!P463</f>
        <v>6.0035968489009708</v>
      </c>
      <c r="R72" s="478">
        <f>Demands!Q463</f>
        <v>4.723900045386805</v>
      </c>
      <c r="S72" s="478">
        <f>Demands!R463</f>
        <v>6.2429292298717858</v>
      </c>
      <c r="T72" s="478">
        <f>Demands!S463</f>
        <v>2.2381535207579546</v>
      </c>
      <c r="U72" s="478">
        <f>Demands!T463</f>
        <v>3.6645042683389235</v>
      </c>
      <c r="V72" s="478">
        <f>Demands!U463</f>
        <v>7.1759259788569283</v>
      </c>
      <c r="W72" s="478">
        <f>Demands!V463</f>
        <v>3.985839782295503</v>
      </c>
      <c r="X72" s="478">
        <f>Demands!W463</f>
        <v>3.9867624172777503</v>
      </c>
      <c r="Y72" s="478">
        <f>Demands!X463</f>
        <v>4.3194607895570476</v>
      </c>
      <c r="Z72" s="478">
        <f>Demands!Y463</f>
        <v>2.4922889709724263</v>
      </c>
      <c r="AA72" s="478">
        <f>Demands!Z463</f>
        <v>3.2614214831643649</v>
      </c>
      <c r="AB72" s="478">
        <f>Demands!AA463</f>
        <v>3.1591521439120154</v>
      </c>
      <c r="AC72" s="478">
        <f>Demands!AB463</f>
        <v>4.9514783011740064</v>
      </c>
      <c r="AD72" s="478">
        <f>Demands!AC463</f>
        <v>1.9093387041802825</v>
      </c>
    </row>
    <row r="73" spans="1:30" s="459" customFormat="1">
      <c r="A73" s="493" t="str">
        <f>Commodities!K37</f>
        <v>T-HGT-ICE_DST00</v>
      </c>
      <c r="B73" s="480" t="s">
        <v>850</v>
      </c>
      <c r="C73" s="493" t="s">
        <v>734</v>
      </c>
      <c r="D73" s="726">
        <f>Demands!C464</f>
        <v>8.8649122807017537</v>
      </c>
      <c r="E73" s="726">
        <f>Demands!D464</f>
        <v>7.4223789525858956</v>
      </c>
      <c r="F73" s="726">
        <f>Demands!E464</f>
        <v>11.690912742461185</v>
      </c>
      <c r="G73" s="726">
        <f>Demands!F464</f>
        <v>6.8139290003136823</v>
      </c>
      <c r="H73" s="726">
        <f>Demands!G464</f>
        <v>6.3181403161842509</v>
      </c>
      <c r="I73" s="726">
        <f>Demands!H464</f>
        <v>7.4424850414354795</v>
      </c>
      <c r="J73" s="726">
        <f>Demands!I464</f>
        <v>6.2254184276998403</v>
      </c>
      <c r="K73" s="726">
        <f>Demands!J464</f>
        <v>7.6471656643165069</v>
      </c>
      <c r="L73" s="726">
        <f>Demands!K464</f>
        <v>5.1434150255042406</v>
      </c>
      <c r="M73" s="726">
        <f>Demands!L464</f>
        <v>10.477357684173224</v>
      </c>
      <c r="N73" s="726">
        <f>Demands!M464</f>
        <v>12.675629247002487</v>
      </c>
      <c r="O73" s="726">
        <f>Demands!N464</f>
        <v>5.2552937315052377</v>
      </c>
      <c r="P73" s="726">
        <f>Demands!O464</f>
        <v>12.877109956272569</v>
      </c>
      <c r="Q73" s="726">
        <f>Demands!P464</f>
        <v>12.671752246239185</v>
      </c>
      <c r="R73" s="726">
        <f>Demands!Q464</f>
        <v>10.469239881289264</v>
      </c>
      <c r="S73" s="726">
        <f>Demands!R464</f>
        <v>14.900043845465245</v>
      </c>
      <c r="T73" s="726">
        <f>Demands!S464</f>
        <v>8.083384479810876</v>
      </c>
      <c r="U73" s="726">
        <f>Demands!T464</f>
        <v>6.8719345731134407</v>
      </c>
      <c r="V73" s="726">
        <f>Demands!U464</f>
        <v>16.74051429878304</v>
      </c>
      <c r="W73" s="726">
        <f>Demands!V464</f>
        <v>11.521995663580766</v>
      </c>
      <c r="X73" s="726">
        <f>Demands!W464</f>
        <v>10.097799746618781</v>
      </c>
      <c r="Y73" s="726">
        <f>Demands!X464</f>
        <v>12.183703954339899</v>
      </c>
      <c r="Z73" s="726">
        <f>Demands!Y464</f>
        <v>8.2852211646866252</v>
      </c>
      <c r="AA73" s="726">
        <f>Demands!Z464</f>
        <v>13.14191607211287</v>
      </c>
      <c r="AB73" s="726">
        <f>Demands!AA464</f>
        <v>5.6011213274341811</v>
      </c>
      <c r="AC73" s="726">
        <f>Demands!AB464</f>
        <v>10.033010468504163</v>
      </c>
      <c r="AD73" s="726">
        <f>Demands!AC464</f>
        <v>2.219819033010749</v>
      </c>
    </row>
    <row r="74" spans="1:30" s="459" customFormat="1">
      <c r="A74" s="496" t="str">
        <f>Commodities!K38</f>
        <v>T-GTR-ICE_DST00</v>
      </c>
      <c r="B74" s="496" t="s">
        <v>850</v>
      </c>
      <c r="C74" s="496" t="s">
        <v>734</v>
      </c>
      <c r="D74" s="721">
        <v>164.83335026928157</v>
      </c>
      <c r="E74" s="727">
        <f t="shared" ref="E74" si="65">D74</f>
        <v>164.83335026928157</v>
      </c>
      <c r="F74" s="727">
        <f t="shared" ref="F74:AD74" si="66">E74</f>
        <v>164.83335026928157</v>
      </c>
      <c r="G74" s="727">
        <f t="shared" si="66"/>
        <v>164.83335026928157</v>
      </c>
      <c r="H74" s="727">
        <f t="shared" si="66"/>
        <v>164.83335026928157</v>
      </c>
      <c r="I74" s="727">
        <f t="shared" si="66"/>
        <v>164.83335026928157</v>
      </c>
      <c r="J74" s="727">
        <f t="shared" si="66"/>
        <v>164.83335026928157</v>
      </c>
      <c r="K74" s="727">
        <f t="shared" si="66"/>
        <v>164.83335026928157</v>
      </c>
      <c r="L74" s="727">
        <f t="shared" si="66"/>
        <v>164.83335026928157</v>
      </c>
      <c r="M74" s="727">
        <f t="shared" si="66"/>
        <v>164.83335026928157</v>
      </c>
      <c r="N74" s="727">
        <f t="shared" si="66"/>
        <v>164.83335026928157</v>
      </c>
      <c r="O74" s="727">
        <f t="shared" si="66"/>
        <v>164.83335026928157</v>
      </c>
      <c r="P74" s="727">
        <f t="shared" si="66"/>
        <v>164.83335026928157</v>
      </c>
      <c r="Q74" s="727">
        <f t="shared" si="66"/>
        <v>164.83335026928157</v>
      </c>
      <c r="R74" s="727">
        <f t="shared" si="66"/>
        <v>164.83335026928157</v>
      </c>
      <c r="S74" s="727">
        <f t="shared" si="66"/>
        <v>164.83335026928157</v>
      </c>
      <c r="T74" s="727">
        <f t="shared" si="66"/>
        <v>164.83335026928157</v>
      </c>
      <c r="U74" s="727">
        <f t="shared" si="66"/>
        <v>164.83335026928157</v>
      </c>
      <c r="V74" s="727">
        <f t="shared" si="66"/>
        <v>164.83335026928157</v>
      </c>
      <c r="W74" s="727">
        <f t="shared" si="66"/>
        <v>164.83335026928157</v>
      </c>
      <c r="X74" s="727">
        <f t="shared" si="66"/>
        <v>164.83335026928157</v>
      </c>
      <c r="Y74" s="727">
        <f t="shared" si="66"/>
        <v>164.83335026928157</v>
      </c>
      <c r="Z74" s="727">
        <f t="shared" si="66"/>
        <v>164.83335026928157</v>
      </c>
      <c r="AA74" s="727">
        <f t="shared" si="66"/>
        <v>164.83335026928157</v>
      </c>
      <c r="AB74" s="727">
        <f t="shared" si="66"/>
        <v>164.83335026928157</v>
      </c>
      <c r="AC74" s="727">
        <f t="shared" si="66"/>
        <v>164.83335026928157</v>
      </c>
      <c r="AD74" s="727">
        <f t="shared" si="66"/>
        <v>164.83335026928157</v>
      </c>
    </row>
    <row r="75" spans="1:30" s="459" customFormat="1">
      <c r="A75" s="1"/>
      <c r="B75" s="1"/>
      <c r="C75" s="1"/>
      <c r="D75" s="462"/>
      <c r="E75" s="462"/>
      <c r="F75" s="462"/>
      <c r="G75" s="462"/>
      <c r="H75" s="462"/>
      <c r="I75" s="462"/>
      <c r="J75" s="462"/>
      <c r="K75" s="462"/>
      <c r="L75" s="462"/>
      <c r="M75" s="462"/>
      <c r="N75" s="462"/>
      <c r="O75" s="462"/>
      <c r="P75" s="462"/>
      <c r="Q75" s="462"/>
      <c r="R75" s="462"/>
      <c r="S75" s="462"/>
      <c r="T75" s="462"/>
      <c r="U75" s="462"/>
      <c r="V75" s="462"/>
      <c r="W75" s="462"/>
      <c r="X75" s="462"/>
      <c r="Y75" s="462"/>
      <c r="Z75" s="462"/>
      <c r="AA75" s="462"/>
      <c r="AB75" s="462"/>
      <c r="AC75" s="462"/>
      <c r="AD75" s="462"/>
    </row>
    <row r="76" spans="1:30">
      <c r="A76" s="133" t="s">
        <v>337</v>
      </c>
      <c r="B76" s="448"/>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448" t="s">
        <v>542</v>
      </c>
      <c r="B77" s="448"/>
      <c r="E77" s="448"/>
      <c r="F77" s="448"/>
      <c r="G77" s="448"/>
      <c r="H77" s="448"/>
    </row>
    <row r="78" spans="1:30">
      <c r="A78" s="448" t="s">
        <v>740</v>
      </c>
      <c r="B78" s="448"/>
      <c r="E78" s="448"/>
      <c r="F78" s="448"/>
      <c r="G78" s="448"/>
      <c r="H78" s="448"/>
    </row>
    <row r="79" spans="1:30">
      <c r="A79" t="s">
        <v>741</v>
      </c>
      <c r="E79" s="448"/>
      <c r="F79" s="448"/>
      <c r="G79" s="448"/>
      <c r="H79" s="448"/>
    </row>
    <row r="80" spans="1:30" s="459" customFormat="1">
      <c r="A80" s="459" t="s">
        <v>802</v>
      </c>
    </row>
    <row r="81" spans="1:30" s="459" customFormat="1"/>
    <row r="82" spans="1:30" s="459" customFormat="1"/>
    <row r="83" spans="1:30" s="459"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459" customFormat="1"/>
    <row r="85" spans="1:30" s="459" customFormat="1"/>
    <row r="86" spans="1:30" s="459" customFormat="1"/>
    <row r="87" spans="1:30">
      <c r="E87" s="448"/>
      <c r="F87" s="448"/>
      <c r="G87" s="448"/>
      <c r="H87" s="448"/>
    </row>
    <row r="91" spans="1:30">
      <c r="A91" s="448" t="s">
        <v>458</v>
      </c>
      <c r="B91" s="448"/>
      <c r="E91" s="448"/>
      <c r="F91" s="448"/>
      <c r="G91" s="448"/>
      <c r="H91" s="448"/>
      <c r="I91" s="448"/>
      <c r="J91" s="448"/>
      <c r="K91" s="448"/>
      <c r="L91" s="448"/>
      <c r="M91" s="448"/>
      <c r="N91" s="448"/>
    </row>
    <row r="92" spans="1:30">
      <c r="A92" s="1"/>
      <c r="B92" s="1"/>
      <c r="C92" s="552" t="s">
        <v>14</v>
      </c>
      <c r="D92" s="552"/>
      <c r="E92" s="552"/>
      <c r="F92" s="552"/>
      <c r="G92" s="553" t="s">
        <v>15</v>
      </c>
      <c r="H92" s="554"/>
      <c r="I92" s="554"/>
      <c r="J92" s="555"/>
      <c r="K92" s="459"/>
      <c r="L92" s="459"/>
      <c r="M92" s="448"/>
    </row>
    <row r="93" spans="1:30">
      <c r="A93" s="1"/>
      <c r="B93" s="1"/>
      <c r="C93" s="421">
        <v>1</v>
      </c>
      <c r="D93" s="420">
        <v>2</v>
      </c>
      <c r="E93" s="420">
        <v>3</v>
      </c>
      <c r="F93" s="422">
        <v>4</v>
      </c>
      <c r="G93" s="420">
        <v>6</v>
      </c>
      <c r="H93" s="420">
        <v>7</v>
      </c>
      <c r="I93" s="420">
        <v>8</v>
      </c>
      <c r="J93" s="422">
        <v>9</v>
      </c>
      <c r="K93" s="459"/>
      <c r="L93" s="459" t="s">
        <v>454</v>
      </c>
      <c r="M93" s="448"/>
    </row>
    <row r="94" spans="1:30">
      <c r="A94" s="1"/>
      <c r="B94" s="416" t="s">
        <v>453</v>
      </c>
      <c r="C94" s="423">
        <v>2540</v>
      </c>
      <c r="D94" s="419">
        <v>2680</v>
      </c>
      <c r="E94" s="419">
        <v>522</v>
      </c>
      <c r="F94" s="422">
        <v>522</v>
      </c>
      <c r="G94" s="419">
        <v>1300</v>
      </c>
      <c r="H94" s="419">
        <v>780</v>
      </c>
      <c r="I94" s="419">
        <v>208</v>
      </c>
      <c r="J94" s="424">
        <v>208</v>
      </c>
      <c r="K94" s="459"/>
      <c r="L94" s="387" t="s">
        <v>3</v>
      </c>
      <c r="M94" s="386">
        <f>SUM(C94:J94)</f>
        <v>8760</v>
      </c>
    </row>
    <row r="95" spans="1:30" ht="28.8">
      <c r="A95" s="1"/>
      <c r="B95" s="417" t="s">
        <v>4</v>
      </c>
      <c r="C95" s="418" t="s">
        <v>5</v>
      </c>
      <c r="D95" s="418" t="s">
        <v>6</v>
      </c>
      <c r="E95" s="418" t="s">
        <v>7</v>
      </c>
      <c r="F95" s="418" t="s">
        <v>8</v>
      </c>
      <c r="G95" s="418" t="s">
        <v>5</v>
      </c>
      <c r="H95" s="418" t="s">
        <v>6</v>
      </c>
      <c r="I95" s="418" t="s">
        <v>7</v>
      </c>
      <c r="J95" s="418" t="s">
        <v>8</v>
      </c>
      <c r="K95" s="459"/>
      <c r="L95" s="414" t="s">
        <v>109</v>
      </c>
      <c r="M95" s="415">
        <f>((C94/M94)*C102)+((D94/M94)*D102)+((E94/M94)*E102)+((F94/M94)*F102)+((G94/M94)*G102)+((H94/M94)*H102)+((I94/M94)*I102)+((J94/M94)*J102)</f>
        <v>1.49201152283105</v>
      </c>
    </row>
    <row r="96" spans="1:30">
      <c r="A96" s="854" t="s">
        <v>9</v>
      </c>
      <c r="B96" s="444" t="s">
        <v>456</v>
      </c>
      <c r="C96" s="386">
        <v>1.24</v>
      </c>
      <c r="D96" s="386">
        <v>1.25</v>
      </c>
      <c r="E96" s="386">
        <v>1.26</v>
      </c>
      <c r="F96" s="386">
        <v>1.26</v>
      </c>
      <c r="G96" s="386">
        <v>1.33</v>
      </c>
      <c r="H96" s="386">
        <v>1.34</v>
      </c>
      <c r="I96" s="386">
        <v>1.38</v>
      </c>
      <c r="J96" s="386">
        <v>1.38</v>
      </c>
      <c r="K96" s="459"/>
      <c r="L96" s="459"/>
      <c r="M96" s="448"/>
    </row>
    <row r="97" spans="1:13">
      <c r="A97" s="854"/>
      <c r="B97" s="444" t="s">
        <v>455</v>
      </c>
      <c r="C97" s="412">
        <v>0.10299999999999999</v>
      </c>
      <c r="D97" s="412">
        <v>0.16900000000000001</v>
      </c>
      <c r="E97" s="412">
        <v>0.13300000000000001</v>
      </c>
      <c r="F97" s="412">
        <v>0.12</v>
      </c>
      <c r="G97" s="412">
        <v>4.4999999999999998E-2</v>
      </c>
      <c r="H97" s="412">
        <v>1.7999999999999999E-2</v>
      </c>
      <c r="I97" s="412">
        <v>2.7E-2</v>
      </c>
      <c r="J97" s="412">
        <v>2.7E-2</v>
      </c>
      <c r="K97" s="459"/>
      <c r="L97" s="459"/>
      <c r="M97" s="448"/>
    </row>
    <row r="98" spans="1:13">
      <c r="A98" s="854" t="s">
        <v>10</v>
      </c>
      <c r="B98" s="444" t="s">
        <v>456</v>
      </c>
      <c r="C98" s="386">
        <v>1.21</v>
      </c>
      <c r="D98" s="386">
        <v>1.22</v>
      </c>
      <c r="E98" s="386">
        <v>1.23</v>
      </c>
      <c r="F98" s="386">
        <v>1.23</v>
      </c>
      <c r="G98" s="386">
        <v>1.2</v>
      </c>
      <c r="H98" s="386">
        <v>1.23</v>
      </c>
      <c r="I98" s="386">
        <v>1.22</v>
      </c>
      <c r="J98" s="386">
        <v>1.22</v>
      </c>
      <c r="K98" s="459"/>
      <c r="L98" s="459"/>
      <c r="M98" s="448"/>
    </row>
    <row r="99" spans="1:13">
      <c r="A99" s="854"/>
      <c r="B99" s="444" t="s">
        <v>455</v>
      </c>
      <c r="C99" s="412">
        <v>0.42199999999999999</v>
      </c>
      <c r="D99" s="412">
        <v>0.36699999999999999</v>
      </c>
      <c r="E99" s="412">
        <v>0.442</v>
      </c>
      <c r="F99" s="412">
        <v>0.42899999999999999</v>
      </c>
      <c r="G99" s="412">
        <v>0.24199999999999999</v>
      </c>
      <c r="H99" s="412">
        <v>7.9000000000000001E-2</v>
      </c>
      <c r="I99" s="412">
        <v>6.5000000000000002E-2</v>
      </c>
      <c r="J99" s="412">
        <v>6.5000000000000002E-2</v>
      </c>
      <c r="K99" s="459"/>
      <c r="L99" s="459"/>
      <c r="M99" s="448"/>
    </row>
    <row r="100" spans="1:13">
      <c r="A100" s="854" t="s">
        <v>11</v>
      </c>
      <c r="B100" s="444" t="s">
        <v>456</v>
      </c>
      <c r="C100" s="386">
        <v>1.64</v>
      </c>
      <c r="D100" s="386">
        <v>1.65</v>
      </c>
      <c r="E100" s="386">
        <v>1.66</v>
      </c>
      <c r="F100" s="386">
        <v>1.68</v>
      </c>
      <c r="G100" s="386">
        <v>1.7</v>
      </c>
      <c r="H100" s="386">
        <v>1.83</v>
      </c>
      <c r="I100" s="386">
        <v>1.85</v>
      </c>
      <c r="J100" s="386">
        <v>1.85</v>
      </c>
      <c r="K100" s="459"/>
      <c r="L100" s="459"/>
      <c r="M100" s="448"/>
    </row>
    <row r="101" spans="1:13">
      <c r="A101" s="854"/>
      <c r="B101" s="444" t="s">
        <v>455</v>
      </c>
      <c r="C101" s="412">
        <v>0.47499999999999998</v>
      </c>
      <c r="D101" s="412">
        <v>0.46400000000000002</v>
      </c>
      <c r="E101" s="412">
        <v>0.42499999999999999</v>
      </c>
      <c r="F101" s="412">
        <v>0.45100000000000001</v>
      </c>
      <c r="G101" s="412">
        <v>0.71299999999999997</v>
      </c>
      <c r="H101" s="412">
        <v>0.90300000000000002</v>
      </c>
      <c r="I101" s="412">
        <v>0.90900000000000003</v>
      </c>
      <c r="J101" s="412">
        <v>0.90900000000000003</v>
      </c>
      <c r="K101" s="459"/>
      <c r="L101" s="459"/>
      <c r="M101" s="448"/>
    </row>
    <row r="102" spans="1:13">
      <c r="A102" s="387" t="s">
        <v>12</v>
      </c>
      <c r="B102" s="387" t="s">
        <v>456</v>
      </c>
      <c r="C102" s="413">
        <f>(C96*C97)+(C98*C99)+(C100*C101)</f>
        <v>1.4173399999999998</v>
      </c>
      <c r="D102" s="413">
        <f t="shared" ref="D102:J102" si="67">(D96*D97)+(D98*D99)+(D100*D101)</f>
        <v>1.4245899999999998</v>
      </c>
      <c r="E102" s="413">
        <f t="shared" si="67"/>
        <v>1.4167399999999999</v>
      </c>
      <c r="F102" s="413">
        <f t="shared" si="67"/>
        <v>1.43655</v>
      </c>
      <c r="G102" s="413">
        <f t="shared" si="67"/>
        <v>1.5623499999999999</v>
      </c>
      <c r="H102" s="413">
        <f t="shared" si="67"/>
        <v>1.7737799999999999</v>
      </c>
      <c r="I102" s="413">
        <f t="shared" si="67"/>
        <v>1.7982100000000001</v>
      </c>
      <c r="J102" s="413">
        <f t="shared" si="67"/>
        <v>1.7982100000000001</v>
      </c>
      <c r="K102" s="459"/>
      <c r="L102" s="459"/>
      <c r="M102" s="448"/>
    </row>
    <row r="103" spans="1:13">
      <c r="A103" s="448" t="s">
        <v>457</v>
      </c>
      <c r="B103" s="448"/>
      <c r="D103" s="459"/>
      <c r="E103" s="459"/>
      <c r="F103" s="459"/>
      <c r="G103" s="459"/>
      <c r="H103" s="459"/>
      <c r="I103" s="459"/>
      <c r="J103" s="459"/>
      <c r="K103" s="459"/>
      <c r="L103" s="459"/>
      <c r="M103" s="448"/>
    </row>
    <row r="109" spans="1:13" ht="15.6">
      <c r="A109" s="401" t="s">
        <v>336</v>
      </c>
      <c r="B109" s="401"/>
      <c r="D109" s="445"/>
    </row>
    <row r="110" spans="1:13">
      <c r="A110" s="476"/>
      <c r="B110" s="610" t="s">
        <v>800</v>
      </c>
      <c r="D110" s="445"/>
    </row>
    <row r="111" spans="1:13">
      <c r="A111" s="128" t="s">
        <v>26</v>
      </c>
      <c r="B111" s="483">
        <f>Demands!B172+Demands!C172</f>
        <v>4065479</v>
      </c>
      <c r="D111" s="445"/>
    </row>
    <row r="112" spans="1:13">
      <c r="A112" s="128" t="s">
        <v>35</v>
      </c>
      <c r="B112" s="483">
        <f>Demands!B173+Demands!C173</f>
        <v>317186237</v>
      </c>
      <c r="D112" s="445"/>
    </row>
    <row r="113" spans="1:4">
      <c r="A113" s="496" t="s">
        <v>801</v>
      </c>
      <c r="B113" s="611">
        <f>B112/B111</f>
        <v>78.019401157895544</v>
      </c>
      <c r="D113" s="445"/>
    </row>
    <row r="114" spans="1:4">
      <c r="A114" s="498" t="s">
        <v>602</v>
      </c>
      <c r="B114" s="498"/>
      <c r="D114" s="445"/>
    </row>
  </sheetData>
  <mergeCells count="4">
    <mergeCell ref="A96:A97"/>
    <mergeCell ref="A98:A99"/>
    <mergeCell ref="A100:A101"/>
    <mergeCell ref="A3:D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zoomScale="80" zoomScaleNormal="80" workbookViewId="0">
      <selection activeCell="D63" sqref="A59:D63"/>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978</v>
      </c>
      <c r="C5" s="459" t="s">
        <v>866</v>
      </c>
      <c r="D5" s="566">
        <v>1500</v>
      </c>
      <c r="E5" s="566">
        <v>1500</v>
      </c>
      <c r="F5" s="566">
        <v>1500</v>
      </c>
      <c r="G5" s="566">
        <v>1500</v>
      </c>
      <c r="H5" s="566">
        <v>1500</v>
      </c>
      <c r="I5" s="566">
        <v>1500</v>
      </c>
      <c r="J5" s="566">
        <v>1500</v>
      </c>
      <c r="K5" s="566">
        <v>1500</v>
      </c>
      <c r="L5" s="566">
        <v>1500</v>
      </c>
      <c r="M5" s="566">
        <v>1500</v>
      </c>
      <c r="N5" s="566">
        <v>1500</v>
      </c>
      <c r="O5" s="566">
        <v>1500</v>
      </c>
      <c r="P5" s="566">
        <v>1500</v>
      </c>
      <c r="Q5" s="566">
        <v>1500</v>
      </c>
      <c r="R5" s="566">
        <v>1500</v>
      </c>
      <c r="S5" s="566">
        <v>1500</v>
      </c>
      <c r="T5" s="566">
        <v>1500</v>
      </c>
      <c r="U5" s="566">
        <v>1500</v>
      </c>
      <c r="V5" s="566">
        <v>1500</v>
      </c>
      <c r="W5" s="566">
        <v>1500</v>
      </c>
      <c r="X5" s="566">
        <v>1500</v>
      </c>
      <c r="Y5" s="566">
        <v>1500</v>
      </c>
      <c r="Z5" s="566">
        <v>1500</v>
      </c>
      <c r="AA5" s="566">
        <v>1500</v>
      </c>
      <c r="AB5" s="566">
        <v>1500</v>
      </c>
      <c r="AC5" s="566">
        <v>1500</v>
      </c>
      <c r="AD5" s="566">
        <v>1500</v>
      </c>
    </row>
    <row r="6" spans="1:31" s="459" customFormat="1">
      <c r="A6" s="459" t="str">
        <f>Commodities!K9</f>
        <v>T-CYC_CYC</v>
      </c>
      <c r="B6" s="459" t="s">
        <v>978</v>
      </c>
      <c r="C6" s="459" t="s">
        <v>866</v>
      </c>
      <c r="D6" s="566">
        <v>1500</v>
      </c>
      <c r="E6" s="566">
        <v>1500</v>
      </c>
      <c r="F6" s="566">
        <v>1500</v>
      </c>
      <c r="G6" s="566">
        <v>1500</v>
      </c>
      <c r="H6" s="566">
        <v>1500</v>
      </c>
      <c r="I6" s="566">
        <v>1500</v>
      </c>
      <c r="J6" s="566">
        <v>1500</v>
      </c>
      <c r="K6" s="566">
        <v>1500</v>
      </c>
      <c r="L6" s="566">
        <v>1500</v>
      </c>
      <c r="M6" s="566">
        <v>1500</v>
      </c>
      <c r="N6" s="566">
        <v>1500</v>
      </c>
      <c r="O6" s="566">
        <v>1500</v>
      </c>
      <c r="P6" s="566">
        <v>1500</v>
      </c>
      <c r="Q6" s="566">
        <v>1500</v>
      </c>
      <c r="R6" s="566">
        <v>1500</v>
      </c>
      <c r="S6" s="566">
        <v>1500</v>
      </c>
      <c r="T6" s="566">
        <v>1500</v>
      </c>
      <c r="U6" s="566">
        <v>1500</v>
      </c>
      <c r="V6" s="566">
        <v>1500</v>
      </c>
      <c r="W6" s="566">
        <v>1500</v>
      </c>
      <c r="X6" s="566">
        <v>1500</v>
      </c>
      <c r="Y6" s="566">
        <v>1500</v>
      </c>
      <c r="Z6" s="566">
        <v>1500</v>
      </c>
      <c r="AA6" s="566">
        <v>1500</v>
      </c>
      <c r="AB6" s="566">
        <v>1500</v>
      </c>
      <c r="AC6" s="566">
        <v>1500</v>
      </c>
      <c r="AD6" s="566">
        <v>1500</v>
      </c>
    </row>
    <row r="7" spans="1:31">
      <c r="A7" s="448" t="str">
        <f>Commodities!K11</f>
        <v>T-MOT-ICE_GSL00</v>
      </c>
      <c r="B7" s="459" t="s">
        <v>978</v>
      </c>
      <c r="C7" t="s">
        <v>866</v>
      </c>
      <c r="D7" s="566">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978</v>
      </c>
      <c r="C8" s="459" t="s">
        <v>866</v>
      </c>
      <c r="D8" s="135">
        <f>C137/(1+'On-Road Fac.'!$D$5)</f>
        <v>405.14416823643177</v>
      </c>
      <c r="E8" s="135">
        <f>D137/(1+'On-Road Fac.'!$D$5)</f>
        <v>405.70409228380652</v>
      </c>
      <c r="F8" s="135">
        <f>E137/(1+'On-Road Fac.'!$D$5)</f>
        <v>403.99737632467736</v>
      </c>
      <c r="G8" s="135">
        <f>F137/(1+'On-Road Fac.'!$D$5)</f>
        <v>405.71807180728723</v>
      </c>
      <c r="H8" s="135">
        <f>G137/(1+'On-Road Fac.'!$D$5)</f>
        <v>406.70346127162156</v>
      </c>
      <c r="I8" s="135">
        <f>H137/(1+'On-Road Fac.'!$D$5)</f>
        <v>406.03167524263552</v>
      </c>
      <c r="J8" s="135">
        <f>I137/(1+'On-Road Fac.'!$D$5)</f>
        <v>406.23967204072534</v>
      </c>
      <c r="K8" s="135">
        <f>J137/(1+'On-Road Fac.'!$D$5)</f>
        <v>408.86919176091578</v>
      </c>
      <c r="L8" s="135">
        <f>K137/(1+'On-Road Fac.'!$D$5)</f>
        <v>405.16014683437373</v>
      </c>
      <c r="M8" s="135">
        <f>L137/(1+'On-Road Fac.'!$D$5)</f>
        <v>406.54432148718843</v>
      </c>
      <c r="N8" s="135">
        <f>M137/(1+'On-Road Fac.'!$D$5)</f>
        <v>406.43409321723107</v>
      </c>
      <c r="O8" s="135">
        <f>N137/(1+'On-Road Fac.'!$D$5)</f>
        <v>407.18634837372315</v>
      </c>
      <c r="P8" s="135">
        <f>O137/(1+'On-Road Fac.'!$D$5)</f>
        <v>404.64931332480404</v>
      </c>
      <c r="Q8" s="135">
        <f>P137/(1+'On-Road Fac.'!$D$5)</f>
        <v>404.68959503037689</v>
      </c>
      <c r="R8" s="135">
        <f>Q137/(1+'On-Road Fac.'!$D$5)</f>
        <v>405.50611545573889</v>
      </c>
      <c r="S8" s="135">
        <f>R137/(1+'On-Road Fac.'!$D$5)</f>
        <v>404.13646501906982</v>
      </c>
      <c r="T8" s="135">
        <f>S137/(1+'On-Road Fac.'!$D$5)</f>
        <v>405.25112002626832</v>
      </c>
      <c r="U8" s="135">
        <f>T137/(1+'On-Road Fac.'!$D$5)</f>
        <v>405.68782696320199</v>
      </c>
      <c r="V8" s="135">
        <f>U137/(1+'On-Road Fac.'!$D$5)</f>
        <v>407.49457262163605</v>
      </c>
      <c r="W8" s="135">
        <f>V137/(1+'On-Road Fac.'!$D$5)</f>
        <v>403.65614016220536</v>
      </c>
      <c r="X8" s="135">
        <f>W137/(1+'On-Road Fac.'!$D$5)</f>
        <v>406.52118602942761</v>
      </c>
      <c r="Y8" s="135">
        <f>X137/(1+'On-Road Fac.'!$D$5)</f>
        <v>404.49540240841583</v>
      </c>
      <c r="Z8" s="135">
        <f>Y137/(1+'On-Road Fac.'!$D$5)</f>
        <v>409.87826316569948</v>
      </c>
      <c r="AA8" s="135">
        <f>Z137/(1+'On-Road Fac.'!$D$5)</f>
        <v>406.11443447575624</v>
      </c>
      <c r="AB8" s="135">
        <f>AA137/(1+'On-Road Fac.'!$D$5)</f>
        <v>406.09598546341471</v>
      </c>
      <c r="AC8" s="135">
        <f>AB137/(1+'On-Road Fac.'!$D$5)</f>
        <v>406.05450988523148</v>
      </c>
      <c r="AD8" s="135">
        <f>AC137/(1+'On-Road Fac.'!$D$5)</f>
        <v>405.88150665853289</v>
      </c>
      <c r="AE8" s="448"/>
    </row>
    <row r="9" spans="1:31">
      <c r="A9" s="448" t="str">
        <f>Commodities!K14</f>
        <v>T-CAR-ICE_DST00</v>
      </c>
      <c r="B9" s="459" t="s">
        <v>978</v>
      </c>
      <c r="C9" s="459" t="s">
        <v>866</v>
      </c>
      <c r="D9" s="135">
        <f>C183/(1+'On-Road Fac.'!$D$5)</f>
        <v>435.28116997420369</v>
      </c>
      <c r="E9" s="135">
        <f>D183/(1+'On-Road Fac.'!$D$5)</f>
        <v>435.68137731760913</v>
      </c>
      <c r="F9" s="135">
        <f>E183/(1+'On-Road Fac.'!$D$5)</f>
        <v>431.12990634064664</v>
      </c>
      <c r="G9" s="135">
        <f>F183/(1+'On-Road Fac.'!$D$5)</f>
        <v>434.87246828918546</v>
      </c>
      <c r="H9" s="135">
        <f>G183/(1+'On-Road Fac.'!$D$5)</f>
        <v>437.46197204127674</v>
      </c>
      <c r="I9" s="135">
        <f>H183/(1+'On-Road Fac.'!$D$5)</f>
        <v>436.82533897248464</v>
      </c>
      <c r="J9" s="135">
        <f>I183/(1+'On-Road Fac.'!$D$5)</f>
        <v>433.37570366548664</v>
      </c>
      <c r="K9" s="135">
        <f>J183/(1+'On-Road Fac.'!$D$5)</f>
        <v>438.58680667037055</v>
      </c>
      <c r="L9" s="135">
        <f>K183/(1+'On-Road Fac.'!$D$5)</f>
        <v>435.12327110464662</v>
      </c>
      <c r="M9" s="135">
        <f>L183/(1+'On-Road Fac.'!$D$5)</f>
        <v>438.36058585439019</v>
      </c>
      <c r="N9" s="135">
        <f>M183/(1+'On-Road Fac.'!$D$5)</f>
        <v>436.4502404464435</v>
      </c>
      <c r="O9" s="135">
        <f>N183/(1+'On-Road Fac.'!$D$5)</f>
        <v>438.15831884500614</v>
      </c>
      <c r="P9" s="135">
        <f>O183/(1+'On-Road Fac.'!$D$5)</f>
        <v>432.56072360069282</v>
      </c>
      <c r="Q9" s="135">
        <f>P183/(1+'On-Road Fac.'!$D$5)</f>
        <v>438.24439164293227</v>
      </c>
      <c r="R9" s="135">
        <f>Q183/(1+'On-Road Fac.'!$D$5)</f>
        <v>437.29970570673368</v>
      </c>
      <c r="S9" s="135">
        <f>R183/(1+'On-Road Fac.'!$D$5)</f>
        <v>436.47964644940635</v>
      </c>
      <c r="T9" s="135">
        <f>S183/(1+'On-Road Fac.'!$D$5)</f>
        <v>437.18279984087201</v>
      </c>
      <c r="U9" s="135">
        <f>T183/(1+'On-Road Fac.'!$D$5)</f>
        <v>436.52053494368209</v>
      </c>
      <c r="V9" s="135">
        <f>U183/(1+'On-Road Fac.'!$D$5)</f>
        <v>437.59518745048291</v>
      </c>
      <c r="W9" s="135">
        <f>V183/(1+'On-Road Fac.'!$D$5)</f>
        <v>433.97310412994631</v>
      </c>
      <c r="X9" s="135">
        <f>W183/(1+'On-Road Fac.'!$D$5)</f>
        <v>435.05960814351897</v>
      </c>
      <c r="Y9" s="135">
        <f>X183/(1+'On-Road Fac.'!$D$5)</f>
        <v>434.39110178668426</v>
      </c>
      <c r="Z9" s="135">
        <f>Y183/(1+'On-Road Fac.'!$D$5)</f>
        <v>439.50150370213777</v>
      </c>
      <c r="AA9" s="135">
        <f>Z183/(1+'On-Road Fac.'!$D$5)</f>
        <v>434.76610783253608</v>
      </c>
      <c r="AB9" s="135">
        <f>AA183/(1+'On-Road Fac.'!$D$5)</f>
        <v>436.5175781866111</v>
      </c>
      <c r="AC9" s="135">
        <f>AB183/(1+'On-Road Fac.'!$D$5)</f>
        <v>437.12376857346396</v>
      </c>
      <c r="AD9" s="135">
        <f>AC183/(1+'On-Road Fac.'!$D$5)</f>
        <v>434.68775899154275</v>
      </c>
      <c r="AE9" s="448"/>
    </row>
    <row r="10" spans="1:31">
      <c r="A10" s="448" t="str">
        <f>Commodities!K15</f>
        <v>T-CAR-ICE_DF00</v>
      </c>
      <c r="B10" s="459" t="s">
        <v>978</v>
      </c>
      <c r="C10" s="459" t="s">
        <v>866</v>
      </c>
      <c r="D10" s="135">
        <f>C231/(1+'On-Road Fac.'!$D$5)</f>
        <v>346.42546952946822</v>
      </c>
      <c r="E10" s="135">
        <f>D231/(1+'On-Road Fac.'!$D$5)</f>
        <v>346.42546952946822</v>
      </c>
      <c r="F10" s="135">
        <f>E231/(1+'On-Road Fac.'!$D$5)</f>
        <v>356.92116208134138</v>
      </c>
      <c r="G10" s="135">
        <f>F231/(1+'On-Road Fac.'!$D$5)</f>
        <v>346.42546952946822</v>
      </c>
      <c r="H10" s="135">
        <f>G231/(1+'On-Road Fac.'!$D$5)</f>
        <v>346.42546952946822</v>
      </c>
      <c r="I10" s="135">
        <f>H231/(1+'On-Road Fac.'!$D$5)</f>
        <v>346.42546952946822</v>
      </c>
      <c r="J10" s="135">
        <f>I231/(1+'On-Road Fac.'!$D$5)</f>
        <v>313.6230093836574</v>
      </c>
      <c r="K10" s="135">
        <f>J231/(1+'On-Road Fac.'!$D$5)</f>
        <v>346.42546952946822</v>
      </c>
      <c r="L10" s="135">
        <f>K231/(1+'On-Road Fac.'!$D$5)</f>
        <v>316.324667374645</v>
      </c>
      <c r="M10" s="135">
        <f>L231/(1+'On-Road Fac.'!$D$5)</f>
        <v>328.31515728369328</v>
      </c>
      <c r="N10" s="135">
        <f>M231/(1+'On-Road Fac.'!$D$5)</f>
        <v>346.42546952946822</v>
      </c>
      <c r="O10" s="135">
        <f>N231/(1+'On-Road Fac.'!$D$5)</f>
        <v>306.83097781910516</v>
      </c>
      <c r="P10" s="135">
        <f>O231/(1+'On-Road Fac.'!$D$5)</f>
        <v>364.82558929179396</v>
      </c>
      <c r="Q10" s="135">
        <f>P231/(1+'On-Road Fac.'!$D$5)</f>
        <v>346.42546952946822</v>
      </c>
      <c r="R10" s="135">
        <f>Q231/(1+'On-Road Fac.'!$D$5)</f>
        <v>337.83519026083707</v>
      </c>
      <c r="S10" s="135">
        <f>R231/(1+'On-Road Fac.'!$D$5)</f>
        <v>354.24735781365808</v>
      </c>
      <c r="T10" s="135">
        <f>S231/(1+'On-Road Fac.'!$D$5)</f>
        <v>356.62771663978873</v>
      </c>
      <c r="U10" s="135">
        <f>T231/(1+'On-Road Fac.'!$D$5)</f>
        <v>346.42546952946822</v>
      </c>
      <c r="V10" s="135">
        <f>U231/(1+'On-Road Fac.'!$D$5)</f>
        <v>346.42546952946822</v>
      </c>
      <c r="W10" s="135">
        <f>V231/(1+'On-Road Fac.'!$D$5)</f>
        <v>345.12014220119158</v>
      </c>
      <c r="X10" s="135">
        <f>W231/(1+'On-Road Fac.'!$D$5)</f>
        <v>346.42546952946822</v>
      </c>
      <c r="Y10" s="135">
        <f>X231/(1+'On-Road Fac.'!$D$5)</f>
        <v>346.42546952946822</v>
      </c>
      <c r="Z10" s="135">
        <f>Y231/(1+'On-Road Fac.'!$D$5)</f>
        <v>346.42546952946822</v>
      </c>
      <c r="AA10" s="135">
        <f>Z231/(1+'On-Road Fac.'!$D$5)</f>
        <v>346.42546952946822</v>
      </c>
      <c r="AB10" s="135">
        <f>AA231/(1+'On-Road Fac.'!$D$5)</f>
        <v>346.42546952946822</v>
      </c>
      <c r="AC10" s="135">
        <f>AB231/(1+'On-Road Fac.'!$D$5)</f>
        <v>353.74970289794538</v>
      </c>
      <c r="AD10" s="135">
        <f>AC231/(1+'On-Road Fac.'!$D$5)</f>
        <v>346.42546952946822</v>
      </c>
      <c r="AE10" s="448"/>
    </row>
    <row r="11" spans="1:31">
      <c r="A11" s="448" t="str">
        <f>Commodities!K16</f>
        <v>T-CAR-ICE_E8500</v>
      </c>
      <c r="B11" s="459" t="s">
        <v>978</v>
      </c>
      <c r="C11" s="459" t="s">
        <v>866</v>
      </c>
      <c r="D11" s="135">
        <f>C280/(1+'On-Road Fac.'!$D$5)</f>
        <v>414.96671483785497</v>
      </c>
      <c r="E11" s="135">
        <f>D280/(1+'On-Road Fac.'!$D$5)</f>
        <v>420.11336576060239</v>
      </c>
      <c r="F11" s="135">
        <f>E280/(1+'On-Road Fac.'!$D$5)</f>
        <v>409.91964243223504</v>
      </c>
      <c r="G11" s="135">
        <f>F280/(1+'On-Road Fac.'!$D$5)</f>
        <v>420.96104427040677</v>
      </c>
      <c r="H11" s="135">
        <f>G280/(1+'On-Road Fac.'!$D$5)</f>
        <v>419.47774256432695</v>
      </c>
      <c r="I11" s="135">
        <f>H280/(1+'On-Road Fac.'!$D$5)</f>
        <v>417.59928366979068</v>
      </c>
      <c r="J11" s="135">
        <f>I280/(1+'On-Road Fac.'!$D$5)</f>
        <v>416.06107672777193</v>
      </c>
      <c r="K11" s="135">
        <f>J280/(1+'On-Road Fac.'!$D$5)</f>
        <v>423.30918885696349</v>
      </c>
      <c r="L11" s="135">
        <f>K280/(1+'On-Road Fac.'!$D$5)</f>
        <v>405.0300595694253</v>
      </c>
      <c r="M11" s="135">
        <f>L280/(1+'On-Road Fac.'!$D$5)</f>
        <v>425.188165357532</v>
      </c>
      <c r="N11" s="135">
        <f>M280/(1+'On-Road Fac.'!$D$5)</f>
        <v>417.32291967721653</v>
      </c>
      <c r="O11" s="135">
        <f>N280/(1+'On-Road Fac.'!$D$5)</f>
        <v>426.66355626596567</v>
      </c>
      <c r="P11" s="135">
        <f>O280/(1+'On-Road Fac.'!$D$5)</f>
        <v>424.49102044988729</v>
      </c>
      <c r="Q11" s="135">
        <f>P280/(1+'On-Road Fac.'!$D$5)</f>
        <v>417.70817686631074</v>
      </c>
      <c r="R11" s="135">
        <f>Q280/(1+'On-Road Fac.'!$D$5)</f>
        <v>416.94826702277555</v>
      </c>
      <c r="S11" s="135">
        <f>R280/(1+'On-Road Fac.'!$D$5)</f>
        <v>411.38752524194899</v>
      </c>
      <c r="T11" s="135">
        <f>S280/(1+'On-Road Fac.'!$D$5)</f>
        <v>421.23501670793587</v>
      </c>
      <c r="U11" s="135">
        <f>T280/(1+'On-Road Fac.'!$D$5)</f>
        <v>425.49680158337799</v>
      </c>
      <c r="V11" s="135">
        <f>U280/(1+'On-Road Fac.'!$D$5)</f>
        <v>417.30399948813414</v>
      </c>
      <c r="W11" s="135">
        <f>V280/(1+'On-Road Fac.'!$D$5)</f>
        <v>406.60180735532811</v>
      </c>
      <c r="X11" s="135">
        <f>W280/(1+'On-Road Fac.'!$D$5)</f>
        <v>420.16401988019129</v>
      </c>
      <c r="Y11" s="135">
        <f>X280/(1+'On-Road Fac.'!$D$5)</f>
        <v>423.57869590041156</v>
      </c>
      <c r="Z11" s="135">
        <f>Y280/(1+'On-Road Fac.'!$D$5)</f>
        <v>421.49217568193484</v>
      </c>
      <c r="AA11" s="135">
        <f>Z280/(1+'On-Road Fac.'!$D$5)</f>
        <v>423.4521650766884</v>
      </c>
      <c r="AB11" s="135">
        <f>AA280/(1+'On-Road Fac.'!$D$5)</f>
        <v>426.19820514383485</v>
      </c>
      <c r="AC11" s="135">
        <f>AB280/(1+'On-Road Fac.'!$D$5)</f>
        <v>423.30288486897183</v>
      </c>
      <c r="AD11" s="135">
        <f>AC280/(1+'On-Road Fac.'!$D$5)</f>
        <v>422.30989715167726</v>
      </c>
      <c r="AE11" s="448"/>
    </row>
    <row r="12" spans="1:31">
      <c r="A12" s="448" t="str">
        <f>Commodities!K17</f>
        <v>T-CAR-HEV_GSL00</v>
      </c>
      <c r="B12" s="459" t="s">
        <v>978</v>
      </c>
      <c r="C12" s="459" t="s">
        <v>866</v>
      </c>
      <c r="D12" s="135">
        <f>C328/(1+'On-Road Fac.'!$D$5)</f>
        <v>487.30496436285102</v>
      </c>
      <c r="E12" s="135">
        <f>D328/(1+'On-Road Fac.'!$D$5)</f>
        <v>487.99562401870338</v>
      </c>
      <c r="F12" s="135">
        <f>E328/(1+'On-Road Fac.'!$D$5)</f>
        <v>488.36951409300991</v>
      </c>
      <c r="G12" s="135">
        <f>F328/(1+'On-Road Fac.'!$D$5)</f>
        <v>489.06911069650101</v>
      </c>
      <c r="H12" s="135">
        <f>G328/(1+'On-Road Fac.'!$D$5)</f>
        <v>489.69692593099558</v>
      </c>
      <c r="I12" s="135">
        <f>H328/(1+'On-Road Fac.'!$D$5)</f>
        <v>493.02699501969931</v>
      </c>
      <c r="J12" s="135">
        <f>I328/(1+'On-Road Fac.'!$D$5)</f>
        <v>491.13557900150994</v>
      </c>
      <c r="K12" s="135">
        <f>J328/(1+'On-Road Fac.'!$D$5)</f>
        <v>487.62642343137918</v>
      </c>
      <c r="L12" s="135">
        <f>K328/(1+'On-Road Fac.'!$D$5)</f>
        <v>485.77879797556989</v>
      </c>
      <c r="M12" s="135">
        <f>L328/(1+'On-Road Fac.'!$D$5)</f>
        <v>488.95606334996853</v>
      </c>
      <c r="N12" s="135">
        <f>M328/(1+'On-Road Fac.'!$D$5)</f>
        <v>491.05534179848866</v>
      </c>
      <c r="O12" s="135">
        <f>N328/(1+'On-Road Fac.'!$D$5)</f>
        <v>491.36195028476715</v>
      </c>
      <c r="P12" s="135">
        <f>O328/(1+'On-Road Fac.'!$D$5)</f>
        <v>492.35360153427888</v>
      </c>
      <c r="Q12" s="135">
        <f>P328/(1+'On-Road Fac.'!$D$5)</f>
        <v>490.49628079603173</v>
      </c>
      <c r="R12" s="135">
        <f>Q328/(1+'On-Road Fac.'!$D$5)</f>
        <v>484.36770438577958</v>
      </c>
      <c r="S12" s="135">
        <f>R328/(1+'On-Road Fac.'!$D$5)</f>
        <v>483.75049699227822</v>
      </c>
      <c r="T12" s="135">
        <f>S328/(1+'On-Road Fac.'!$D$5)</f>
        <v>489.46087811192785</v>
      </c>
      <c r="U12" s="135">
        <f>T328/(1+'On-Road Fac.'!$D$5)</f>
        <v>496.26614882546056</v>
      </c>
      <c r="V12" s="135">
        <f>U328/(1+'On-Road Fac.'!$D$5)</f>
        <v>490.96836957192193</v>
      </c>
      <c r="W12" s="135">
        <f>V328/(1+'On-Road Fac.'!$D$5)</f>
        <v>486.03086546286454</v>
      </c>
      <c r="X12" s="135">
        <f>W328/(1+'On-Road Fac.'!$D$5)</f>
        <v>495.32292590930382</v>
      </c>
      <c r="Y12" s="135">
        <f>X328/(1+'On-Road Fac.'!$D$5)</f>
        <v>493.17287658406769</v>
      </c>
      <c r="Z12" s="135">
        <f>Y328/(1+'On-Road Fac.'!$D$5)</f>
        <v>491.60419704579755</v>
      </c>
      <c r="AA12" s="135">
        <f>Z328/(1+'On-Road Fac.'!$D$5)</f>
        <v>484.3269036120314</v>
      </c>
      <c r="AB12" s="135">
        <f>AA328/(1+'On-Road Fac.'!$D$5)</f>
        <v>488.56276999543934</v>
      </c>
      <c r="AC12" s="135">
        <f>AB328/(1+'On-Road Fac.'!$D$5)</f>
        <v>491.4628871340156</v>
      </c>
      <c r="AD12" s="135">
        <f>AC328/(1+'On-Road Fac.'!$D$5)</f>
        <v>486.85490241710806</v>
      </c>
      <c r="AE12" s="448"/>
    </row>
    <row r="13" spans="1:31" s="459" customFormat="1">
      <c r="A13" s="459" t="str">
        <f>Commodities!K18</f>
        <v>T-CAR-HEV_DST00</v>
      </c>
      <c r="B13" s="459" t="s">
        <v>978</v>
      </c>
      <c r="C13" s="459" t="s">
        <v>866</v>
      </c>
      <c r="D13" s="135">
        <f>C376/(1+'On-Road Fac.'!$D$5)</f>
        <v>492.55495178372917</v>
      </c>
      <c r="E13" s="135">
        <f>D376/(1+'On-Road Fac.'!$D$5)</f>
        <v>491.80710230897688</v>
      </c>
      <c r="F13" s="135">
        <f>E376/(1+'On-Road Fac.'!$D$5)</f>
        <v>492.42630105027416</v>
      </c>
      <c r="G13" s="135">
        <f>F376/(1+'On-Road Fac.'!$D$5)</f>
        <v>499.37028520156093</v>
      </c>
      <c r="H13" s="135">
        <f>G376/(1+'On-Road Fac.'!$D$5)</f>
        <v>494.91148459495184</v>
      </c>
      <c r="I13" s="135">
        <f>H376/(1+'On-Road Fac.'!$D$5)</f>
        <v>490.53491018804414</v>
      </c>
      <c r="J13" s="135">
        <f>I376/(1+'On-Road Fac.'!$D$5)</f>
        <v>484.68400082583696</v>
      </c>
      <c r="K13" s="135">
        <f>J376/(1+'On-Road Fac.'!$D$5)</f>
        <v>490.53491018804414</v>
      </c>
      <c r="L13" s="135">
        <f>K376/(1+'On-Road Fac.'!$D$5)</f>
        <v>487.14226526289264</v>
      </c>
      <c r="M13" s="135">
        <f>L376/(1+'On-Road Fac.'!$D$5)</f>
        <v>481.81057637269379</v>
      </c>
      <c r="N13" s="135">
        <f>M376/(1+'On-Road Fac.'!$D$5)</f>
        <v>502.73163071559514</v>
      </c>
      <c r="O13" s="135">
        <f>N376/(1+'On-Road Fac.'!$D$5)</f>
        <v>495.01664079990093</v>
      </c>
      <c r="P13" s="135">
        <f>O376/(1+'On-Road Fac.'!$D$5)</f>
        <v>485.87716185167784</v>
      </c>
      <c r="Q13" s="135">
        <f>P376/(1+'On-Road Fac.'!$D$5)</f>
        <v>498.16765610214054</v>
      </c>
      <c r="R13" s="135">
        <f>Q376/(1+'On-Road Fac.'!$D$5)</f>
        <v>496.74252871240014</v>
      </c>
      <c r="S13" s="135">
        <f>R376/(1+'On-Road Fac.'!$D$5)</f>
        <v>486.13360389957603</v>
      </c>
      <c r="T13" s="135">
        <f>S376/(1+'On-Road Fac.'!$D$5)</f>
        <v>481.81057637269379</v>
      </c>
      <c r="U13" s="135">
        <f>T376/(1+'On-Road Fac.'!$D$5)</f>
        <v>499.58102043092367</v>
      </c>
      <c r="V13" s="135">
        <f>U376/(1+'On-Road Fac.'!$D$5)</f>
        <v>498.16765610214054</v>
      </c>
      <c r="W13" s="135">
        <f>V376/(1+'On-Road Fac.'!$D$5)</f>
        <v>490.31836414710631</v>
      </c>
      <c r="X13" s="135">
        <f>W376/(1+'On-Road Fac.'!$D$5)</f>
        <v>486.13360389957603</v>
      </c>
      <c r="Y13" s="135">
        <f>X376/(1+'On-Road Fac.'!$D$5)</f>
        <v>481.81057637269379</v>
      </c>
      <c r="Z13" s="135">
        <f>Y376/(1+'On-Road Fac.'!$D$5)</f>
        <v>501.26173443444543</v>
      </c>
      <c r="AA13" s="135">
        <f>Z376/(1+'On-Road Fac.'!$D$5)</f>
        <v>506.23776711077056</v>
      </c>
      <c r="AB13" s="135">
        <f>AA376/(1+'On-Road Fac.'!$D$5)</f>
        <v>502.80620391542016</v>
      </c>
      <c r="AC13" s="135">
        <f>AB376/(1+'On-Road Fac.'!$D$5)</f>
        <v>530.18844807257176</v>
      </c>
      <c r="AD13" s="135">
        <f>AC376/(1+'On-Road Fac.'!$D$5)</f>
        <v>492.88355138112877</v>
      </c>
    </row>
    <row r="14" spans="1:31">
      <c r="A14" s="448" t="str">
        <f>Commodities!K19</f>
        <v>T-CAR-PHEV_GSL00</v>
      </c>
      <c r="B14" s="459" t="s">
        <v>978</v>
      </c>
      <c r="C14" s="459" t="s">
        <v>866</v>
      </c>
      <c r="D14" s="135">
        <f>C424/(1+'On-Road Fac.'!$D$5)</f>
        <v>640.60354142073538</v>
      </c>
      <c r="E14" s="135">
        <f>D424/(1+'On-Road Fac.'!$D$5)</f>
        <v>654.05503233315869</v>
      </c>
      <c r="F14" s="135">
        <f>E424/(1+'On-Road Fac.'!$D$5)</f>
        <v>640.31103474022063</v>
      </c>
      <c r="G14" s="135">
        <f>F424/(1+'On-Road Fac.'!$D$5)</f>
        <v>648.65711401387512</v>
      </c>
      <c r="H14" s="135">
        <f>G424/(1+'On-Road Fac.'!$D$5)</f>
        <v>639.99952548680687</v>
      </c>
      <c r="I14" s="135">
        <f>H424/(1+'On-Road Fac.'!$D$5)</f>
        <v>637.65878122195852</v>
      </c>
      <c r="J14" s="135">
        <f>I424/(1+'On-Road Fac.'!$D$5)</f>
        <v>646.37011378027864</v>
      </c>
      <c r="K14" s="135">
        <f>J424/(1+'On-Road Fac.'!$D$5)</f>
        <v>639.98747171686466</v>
      </c>
      <c r="L14" s="135">
        <f>K424/(1+'On-Road Fac.'!$D$5)</f>
        <v>651.04243378966828</v>
      </c>
      <c r="M14" s="135">
        <f>L424/(1+'On-Road Fac.'!$D$5)</f>
        <v>640.51115306502049</v>
      </c>
      <c r="N14" s="135">
        <f>M424/(1+'On-Road Fac.'!$D$5)</f>
        <v>644.11792050716372</v>
      </c>
      <c r="O14" s="135">
        <f>N424/(1+'On-Road Fac.'!$D$5)</f>
        <v>640.31896921064845</v>
      </c>
      <c r="P14" s="135">
        <f>O424/(1+'On-Road Fac.'!$D$5)</f>
        <v>643.94305629598136</v>
      </c>
      <c r="Q14" s="135">
        <f>P424/(1+'On-Road Fac.'!$D$5)</f>
        <v>641.87230901974567</v>
      </c>
      <c r="R14" s="135">
        <f>Q424/(1+'On-Road Fac.'!$D$5)</f>
        <v>643.37906895714036</v>
      </c>
      <c r="S14" s="135">
        <f>R424/(1+'On-Road Fac.'!$D$5)</f>
        <v>640.41681864806651</v>
      </c>
      <c r="T14" s="135">
        <f>S424/(1+'On-Road Fac.'!$D$5)</f>
        <v>618.79182575597702</v>
      </c>
      <c r="U14" s="135">
        <f>T424/(1+'On-Road Fac.'!$D$5)</f>
        <v>647.43698974812582</v>
      </c>
      <c r="V14" s="135">
        <f>U424/(1+'On-Road Fac.'!$D$5)</f>
        <v>637.79128837026428</v>
      </c>
      <c r="W14" s="135">
        <f>V424/(1+'On-Road Fac.'!$D$5)</f>
        <v>638.90122612710081</v>
      </c>
      <c r="X14" s="135">
        <f>W424/(1+'On-Road Fac.'!$D$5)</f>
        <v>655.52562122766005</v>
      </c>
      <c r="Y14" s="135">
        <f>X424/(1+'On-Road Fac.'!$D$5)</f>
        <v>642.78551006016028</v>
      </c>
      <c r="Z14" s="135">
        <f>Y424/(1+'On-Road Fac.'!$D$5)</f>
        <v>642.11242532421966</v>
      </c>
      <c r="AA14" s="135">
        <f>Z424/(1+'On-Road Fac.'!$D$5)</f>
        <v>637.02485587260264</v>
      </c>
      <c r="AB14" s="135">
        <f>AA424/(1+'On-Road Fac.'!$D$5)</f>
        <v>643.76335765913041</v>
      </c>
      <c r="AC14" s="135">
        <f>AB424/(1+'On-Road Fac.'!$D$5)</f>
        <v>646.65762676027111</v>
      </c>
      <c r="AD14" s="135">
        <f>AC424/(1+'On-Road Fac.'!$D$5)</f>
        <v>641.21298281229565</v>
      </c>
      <c r="AE14" s="448"/>
    </row>
    <row r="15" spans="1:31">
      <c r="A15" s="448" t="str">
        <f>Commodities!K20</f>
        <v>T-CAR-PHEV_DST00</v>
      </c>
      <c r="B15" s="459" t="s">
        <v>978</v>
      </c>
      <c r="C15" s="459" t="s">
        <v>866</v>
      </c>
      <c r="D15" s="135">
        <f>C472/(1+'On-Road Fac.'!$D$5)</f>
        <v>632.48823783251896</v>
      </c>
      <c r="E15" s="135">
        <f>D472/(1+'On-Road Fac.'!$D$5)</f>
        <v>346.42546952946822</v>
      </c>
      <c r="F15" s="135">
        <f>E472/(1+'On-Road Fac.'!$D$5)</f>
        <v>637.34452209736469</v>
      </c>
      <c r="G15" s="135">
        <f>F472/(1+'On-Road Fac.'!$D$5)</f>
        <v>628.72419405943629</v>
      </c>
      <c r="H15" s="135">
        <f>G472/(1+'On-Road Fac.'!$D$5)</f>
        <v>346.42546952946822</v>
      </c>
      <c r="I15" s="135">
        <f>H472/(1+'On-Road Fac.'!$D$5)</f>
        <v>346.42546952946822</v>
      </c>
      <c r="J15" s="135">
        <f>I472/(1+'On-Road Fac.'!$D$5)</f>
        <v>346.42546952946822</v>
      </c>
      <c r="K15" s="135">
        <f>J472/(1+'On-Road Fac.'!$D$5)</f>
        <v>346.42546952946822</v>
      </c>
      <c r="L15" s="135">
        <f>K472/(1+'On-Road Fac.'!$D$5)</f>
        <v>346.42546952946822</v>
      </c>
      <c r="M15" s="135">
        <f>L472/(1+'On-Road Fac.'!$D$5)</f>
        <v>346.42546952946822</v>
      </c>
      <c r="N15" s="135">
        <f>M472/(1+'On-Road Fac.'!$D$5)</f>
        <v>346.42546952946822</v>
      </c>
      <c r="O15" s="135">
        <f>N472/(1+'On-Road Fac.'!$D$5)</f>
        <v>346.42546952946822</v>
      </c>
      <c r="P15" s="135">
        <f>O472/(1+'On-Road Fac.'!$D$5)</f>
        <v>346.42546952946822</v>
      </c>
      <c r="Q15" s="135">
        <f>P472/(1+'On-Road Fac.'!$D$5)</f>
        <v>628.72419405943629</v>
      </c>
      <c r="R15" s="135">
        <f>Q472/(1+'On-Road Fac.'!$D$5)</f>
        <v>628.72419405943629</v>
      </c>
      <c r="S15" s="135">
        <f>R472/(1+'On-Road Fac.'!$D$5)</f>
        <v>346.42546952946822</v>
      </c>
      <c r="T15" s="135">
        <f>S472/(1+'On-Road Fac.'!$D$5)</f>
        <v>346.42546952946822</v>
      </c>
      <c r="U15" s="135">
        <f>T472/(1+'On-Road Fac.'!$D$5)</f>
        <v>346.42546952946822</v>
      </c>
      <c r="V15" s="135">
        <f>U472/(1+'On-Road Fac.'!$D$5)</f>
        <v>346.42546952946822</v>
      </c>
      <c r="W15" s="135">
        <f>V472/(1+'On-Road Fac.'!$D$5)</f>
        <v>346.42546952946822</v>
      </c>
      <c r="X15" s="135">
        <f>W472/(1+'On-Road Fac.'!$D$5)</f>
        <v>346.42546952946822</v>
      </c>
      <c r="Y15" s="135">
        <f>X472/(1+'On-Road Fac.'!$D$5)</f>
        <v>346.42546952946822</v>
      </c>
      <c r="Z15" s="135">
        <f>Y472/(1+'On-Road Fac.'!$D$5)</f>
        <v>346.42546952946822</v>
      </c>
      <c r="AA15" s="135">
        <f>Z472/(1+'On-Road Fac.'!$D$5)</f>
        <v>346.42546952946822</v>
      </c>
      <c r="AB15" s="135">
        <f>AA472/(1+'On-Road Fac.'!$D$5)</f>
        <v>346.42546952946822</v>
      </c>
      <c r="AC15" s="135">
        <f>AB472/(1+'On-Road Fac.'!$D$5)</f>
        <v>346.42546952946822</v>
      </c>
      <c r="AD15" s="135">
        <f>AC472/(1+'On-Road Fac.'!$D$5)</f>
        <v>346.42546952946822</v>
      </c>
      <c r="AE15" s="448"/>
    </row>
    <row r="16" spans="1:31">
      <c r="A16" s="448" t="str">
        <f>Commodities!K21</f>
        <v>T-CAR-BEV_ELC00</v>
      </c>
      <c r="B16" s="459" t="s">
        <v>978</v>
      </c>
      <c r="C16" s="459" t="s">
        <v>866</v>
      </c>
      <c r="D16" s="135">
        <f>C520/(1+'On-Road Fac.'!$D$5)</f>
        <v>1173.2287821328744</v>
      </c>
      <c r="E16" s="135">
        <f>D520/(1+'On-Road Fac.'!$D$5)</f>
        <v>1231.9897183066071</v>
      </c>
      <c r="F16" s="135">
        <f>E520/(1+'On-Road Fac.'!$D$5)</f>
        <v>1172.1267841211363</v>
      </c>
      <c r="G16" s="135">
        <f>F520/(1+'On-Road Fac.'!$D$5)</f>
        <v>1167.3428558666337</v>
      </c>
      <c r="H16" s="135">
        <f>G520/(1+'On-Road Fac.'!$D$5)</f>
        <v>1152.635929071798</v>
      </c>
      <c r="I16" s="135">
        <f>H520/(1+'On-Road Fac.'!$D$5)</f>
        <v>1140.9696847248961</v>
      </c>
      <c r="J16" s="135">
        <f>I520/(1+'On-Road Fac.'!$D$5)</f>
        <v>1204.8628877531571</v>
      </c>
      <c r="K16" s="135">
        <f>J520/(1+'On-Road Fac.'!$D$5)</f>
        <v>1167.7575539058378</v>
      </c>
      <c r="L16" s="135">
        <f>K520/(1+'On-Road Fac.'!$D$5)</f>
        <v>1170.4169455809094</v>
      </c>
      <c r="M16" s="135">
        <f>L520/(1+'On-Road Fac.'!$D$5)</f>
        <v>1237.0464868469317</v>
      </c>
      <c r="N16" s="135">
        <f>M520/(1+'On-Road Fac.'!$D$5)</f>
        <v>1156.3382533854615</v>
      </c>
      <c r="O16" s="135">
        <f>N520/(1+'On-Road Fac.'!$D$5)</f>
        <v>1162.1703795208439</v>
      </c>
      <c r="P16" s="135">
        <f>O520/(1+'On-Road Fac.'!$D$5)</f>
        <v>1169.7730450059598</v>
      </c>
      <c r="Q16" s="135">
        <f>P520/(1+'On-Road Fac.'!$D$5)</f>
        <v>1179.4477106438494</v>
      </c>
      <c r="R16" s="135">
        <f>Q520/(1+'On-Road Fac.'!$D$5)</f>
        <v>1170.2244095064209</v>
      </c>
      <c r="S16" s="135">
        <f>R520/(1+'On-Road Fac.'!$D$5)</f>
        <v>1183.142465558836</v>
      </c>
      <c r="T16" s="135">
        <f>S520/(1+'On-Road Fac.'!$D$5)</f>
        <v>1160.8780175038391</v>
      </c>
      <c r="U16" s="135">
        <f>T520/(1+'On-Road Fac.'!$D$5)</f>
        <v>1172.3683314782265</v>
      </c>
      <c r="V16" s="135">
        <f>U520/(1+'On-Road Fac.'!$D$5)</f>
        <v>1184.1302265409483</v>
      </c>
      <c r="W16" s="135">
        <f>V520/(1+'On-Road Fac.'!$D$5)</f>
        <v>1169.4047507491546</v>
      </c>
      <c r="X16" s="135">
        <f>W520/(1+'On-Road Fac.'!$D$5)</f>
        <v>1232.5893814443834</v>
      </c>
      <c r="Y16" s="135">
        <f>X520/(1+'On-Road Fac.'!$D$5)</f>
        <v>1141.3875927280292</v>
      </c>
      <c r="Z16" s="135">
        <f>Y520/(1+'On-Road Fac.'!$D$5)</f>
        <v>1238.1337957445817</v>
      </c>
      <c r="AA16" s="135">
        <f>Z520/(1+'On-Road Fac.'!$D$5)</f>
        <v>1237.0464868469317</v>
      </c>
      <c r="AB16" s="135">
        <f>AA520/(1+'On-Road Fac.'!$D$5)</f>
        <v>1215.9942650500634</v>
      </c>
      <c r="AC16" s="135">
        <f>AB520/(1+'On-Road Fac.'!$D$5)</f>
        <v>1217.4455715077845</v>
      </c>
      <c r="AD16" s="135">
        <f>AC520/(1+'On-Road Fac.'!$D$5)</f>
        <v>1239.1526875019642</v>
      </c>
    </row>
    <row r="17" spans="1:30">
      <c r="A17" s="448" t="str">
        <f>Commodities!K23</f>
        <v>T-TAX-ICE_GSL00</v>
      </c>
      <c r="B17" s="459" t="s">
        <v>978</v>
      </c>
      <c r="C17" s="459" t="s">
        <v>866</v>
      </c>
      <c r="D17" s="135">
        <f>C568/(1+'On-Road Fac.'!$D$5)</f>
        <v>380.16954306066924</v>
      </c>
      <c r="E17" s="135">
        <f>D568/(1+'On-Road Fac.'!$D$5)</f>
        <v>354.39129483975012</v>
      </c>
      <c r="F17" s="135">
        <f>E568/(1+'On-Road Fac.'!$D$5)</f>
        <v>382.34696617496132</v>
      </c>
      <c r="G17" s="135">
        <f>F568/(1+'On-Road Fac.'!$D$5)</f>
        <v>381.32982653224337</v>
      </c>
      <c r="H17" s="135">
        <f>G568/(1+'On-Road Fac.'!$D$5)</f>
        <v>376.94540246294929</v>
      </c>
      <c r="I17" s="135">
        <f>H568/(1+'On-Road Fac.'!$D$5)</f>
        <v>372.82795281558617</v>
      </c>
      <c r="J17" s="135">
        <f>I568/(1+'On-Road Fac.'!$D$5)</f>
        <v>341.72330074803892</v>
      </c>
      <c r="K17" s="135">
        <f>J568/(1+'On-Road Fac.'!$D$5)</f>
        <v>373.8597704583849</v>
      </c>
      <c r="L17" s="135">
        <f>K568/(1+'On-Road Fac.'!$D$5)</f>
        <v>374.19559882079403</v>
      </c>
      <c r="M17" s="135">
        <f>L568/(1+'On-Road Fac.'!$D$5)</f>
        <v>359.56111767483395</v>
      </c>
      <c r="N17" s="135">
        <f>M568/(1+'On-Road Fac.'!$D$5)</f>
        <v>379.85109854399502</v>
      </c>
      <c r="O17" s="135">
        <f>N568/(1+'On-Road Fac.'!$D$5)</f>
        <v>373.0939723825345</v>
      </c>
      <c r="P17" s="135">
        <f>O568/(1+'On-Road Fac.'!$D$5)</f>
        <v>371.43444192771227</v>
      </c>
      <c r="Q17" s="135">
        <f>P568/(1+'On-Road Fac.'!$D$5)</f>
        <v>379.76795320515214</v>
      </c>
      <c r="R17" s="135">
        <f>Q568/(1+'On-Road Fac.'!$D$5)</f>
        <v>380.51101807819578</v>
      </c>
      <c r="S17" s="135">
        <f>R568/(1+'On-Road Fac.'!$D$5)</f>
        <v>370.77389710675283</v>
      </c>
      <c r="T17" s="135">
        <f>S568/(1+'On-Road Fac.'!$D$5)</f>
        <v>382.10034899870089</v>
      </c>
      <c r="U17" s="135">
        <f>T568/(1+'On-Road Fac.'!$D$5)</f>
        <v>372.36336506218777</v>
      </c>
      <c r="V17" s="135">
        <f>U568/(1+'On-Road Fac.'!$D$5)</f>
        <v>377.71387808713621</v>
      </c>
      <c r="W17" s="135">
        <f>V568/(1+'On-Road Fac.'!$D$5)</f>
        <v>373.24912875233292</v>
      </c>
      <c r="X17" s="135">
        <f>W568/(1+'On-Road Fac.'!$D$5)</f>
        <v>380.16954306066924</v>
      </c>
      <c r="Y17" s="135">
        <f>X568/(1+'On-Road Fac.'!$D$5)</f>
        <v>375.80164735485658</v>
      </c>
      <c r="Z17" s="135">
        <f>Y568/(1+'On-Road Fac.'!$D$5)</f>
        <v>349.92700068852537</v>
      </c>
      <c r="AA17" s="135">
        <f>Z568/(1+'On-Road Fac.'!$D$5)</f>
        <v>378.06019419476127</v>
      </c>
      <c r="AB17" s="135">
        <f>AA568/(1+'On-Road Fac.'!$D$5)</f>
        <v>382.8020220199013</v>
      </c>
      <c r="AC17" s="135">
        <f>AB568/(1+'On-Road Fac.'!$D$5)</f>
        <v>381.17605454681097</v>
      </c>
      <c r="AD17" s="135">
        <f>AC568/(1+'On-Road Fac.'!$D$5)</f>
        <v>345.30230890443545</v>
      </c>
    </row>
    <row r="18" spans="1:30">
      <c r="A18" s="448" t="str">
        <f>Commodities!K24</f>
        <v>T-TAX-ICE_DST00</v>
      </c>
      <c r="B18" s="459" t="s">
        <v>978</v>
      </c>
      <c r="C18" s="459" t="s">
        <v>866</v>
      </c>
      <c r="D18" s="135">
        <f>C616/(1+'On-Road Fac.'!$D$5)</f>
        <v>418.24523778353</v>
      </c>
      <c r="E18" s="135">
        <f>D616/(1+'On-Road Fac.'!$D$5)</f>
        <v>417.35102902840782</v>
      </c>
      <c r="F18" s="135">
        <f>E616/(1+'On-Road Fac.'!$D$5)</f>
        <v>423.84506513812613</v>
      </c>
      <c r="G18" s="135">
        <f>F616/(1+'On-Road Fac.'!$D$5)</f>
        <v>417.68252532069192</v>
      </c>
      <c r="H18" s="135">
        <f>G616/(1+'On-Road Fac.'!$D$5)</f>
        <v>420.89355195341642</v>
      </c>
      <c r="I18" s="135">
        <f>H616/(1+'On-Road Fac.'!$D$5)</f>
        <v>424.70572798360223</v>
      </c>
      <c r="J18" s="135">
        <f>I616/(1+'On-Road Fac.'!$D$5)</f>
        <v>411.13831796824093</v>
      </c>
      <c r="K18" s="135">
        <f>J616/(1+'On-Road Fac.'!$D$5)</f>
        <v>413.09356798488182</v>
      </c>
      <c r="L18" s="135">
        <f>K616/(1+'On-Road Fac.'!$D$5)</f>
        <v>417.83782712668193</v>
      </c>
      <c r="M18" s="135">
        <f>L616/(1+'On-Road Fac.'!$D$5)</f>
        <v>405.65275501685795</v>
      </c>
      <c r="N18" s="135">
        <f>M616/(1+'On-Road Fac.'!$D$5)</f>
        <v>417.6491359141682</v>
      </c>
      <c r="O18" s="135">
        <f>N616/(1+'On-Road Fac.'!$D$5)</f>
        <v>412.85986046481651</v>
      </c>
      <c r="P18" s="135">
        <f>O616/(1+'On-Road Fac.'!$D$5)</f>
        <v>406.45262514758724</v>
      </c>
      <c r="Q18" s="135">
        <f>P616/(1+'On-Road Fac.'!$D$5)</f>
        <v>400.951154620919</v>
      </c>
      <c r="R18" s="135">
        <f>Q616/(1+'On-Road Fac.'!$D$5)</f>
        <v>419.35059545813971</v>
      </c>
      <c r="S18" s="135">
        <f>R616/(1+'On-Road Fac.'!$D$5)</f>
        <v>399.96313751653258</v>
      </c>
      <c r="T18" s="135">
        <f>S616/(1+'On-Road Fac.'!$D$5)</f>
        <v>406.43018159014531</v>
      </c>
      <c r="U18" s="135">
        <f>T616/(1+'On-Road Fac.'!$D$5)</f>
        <v>402.37788409370341</v>
      </c>
      <c r="V18" s="135">
        <f>U616/(1+'On-Road Fac.'!$D$5)</f>
        <v>417.66241832180424</v>
      </c>
      <c r="W18" s="135">
        <f>V616/(1+'On-Road Fac.'!$D$5)</f>
        <v>409.81343563868722</v>
      </c>
      <c r="X18" s="135">
        <f>W616/(1+'On-Road Fac.'!$D$5)</f>
        <v>418.24523778353</v>
      </c>
      <c r="Y18" s="135">
        <f>X616/(1+'On-Road Fac.'!$D$5)</f>
        <v>406.90302650758213</v>
      </c>
      <c r="Z18" s="135">
        <f>Y616/(1+'On-Road Fac.'!$D$5)</f>
        <v>414.42404362056624</v>
      </c>
      <c r="AA18" s="135">
        <f>Z616/(1+'On-Road Fac.'!$D$5)</f>
        <v>416.40694133851781</v>
      </c>
      <c r="AB18" s="135">
        <f>AA616/(1+'On-Road Fac.'!$D$5)</f>
        <v>416.97454622004005</v>
      </c>
      <c r="AC18" s="135">
        <f>AB616/(1+'On-Road Fac.'!$D$5)</f>
        <v>410.50859774274483</v>
      </c>
      <c r="AD18" s="135">
        <f>AC616/(1+'On-Road Fac.'!$D$5)</f>
        <v>407.83458630990293</v>
      </c>
    </row>
    <row r="19" spans="1:30">
      <c r="A19" s="448" t="str">
        <f>Commodities!K25</f>
        <v>T-TAX-HEV_GSL00</v>
      </c>
      <c r="B19" s="459" t="s">
        <v>978</v>
      </c>
      <c r="C19" s="459" t="s">
        <v>866</v>
      </c>
      <c r="D19" s="135">
        <f>C664/(1+'On-Road Fac.'!$D$5)</f>
        <v>493.2131815663169</v>
      </c>
      <c r="E19" s="135">
        <f>D664/(1+'On-Road Fac.'!$D$5)</f>
        <v>482.49903430873485</v>
      </c>
      <c r="F19" s="135">
        <f>E664/(1+'On-Road Fac.'!$D$5)</f>
        <v>493.55512564804246</v>
      </c>
      <c r="G19" s="135">
        <f>F664/(1+'On-Road Fac.'!$D$5)</f>
        <v>493.40332134817419</v>
      </c>
      <c r="H19" s="135">
        <f>G664/(1+'On-Road Fac.'!$D$5)</f>
        <v>437.01804019100189</v>
      </c>
      <c r="I19" s="135">
        <f>H664/(1+'On-Road Fac.'!$D$5)</f>
        <v>502.06759924561578</v>
      </c>
      <c r="J19" s="135">
        <f>I664/(1+'On-Road Fac.'!$D$5)</f>
        <v>493.2131815663169</v>
      </c>
      <c r="K19" s="135">
        <f>J664/(1+'On-Road Fac.'!$D$5)</f>
        <v>478.323500225185</v>
      </c>
      <c r="L19" s="135">
        <f>K664/(1+'On-Road Fac.'!$D$5)</f>
        <v>495.61891153260427</v>
      </c>
      <c r="M19" s="135">
        <f>L664/(1+'On-Road Fac.'!$D$5)</f>
        <v>492.27589454389022</v>
      </c>
      <c r="N19" s="135">
        <f>M664/(1+'On-Road Fac.'!$D$5)</f>
        <v>489.36736026616245</v>
      </c>
      <c r="O19" s="135">
        <f>N664/(1+'On-Road Fac.'!$D$5)</f>
        <v>492.27589454389022</v>
      </c>
      <c r="P19" s="135">
        <f>O664/(1+'On-Road Fac.'!$D$5)</f>
        <v>486.2130531514332</v>
      </c>
      <c r="Q19" s="135">
        <f>P664/(1+'On-Road Fac.'!$D$5)</f>
        <v>498.74405001309862</v>
      </c>
      <c r="R19" s="135">
        <f>Q664/(1+'On-Road Fac.'!$D$5)</f>
        <v>496.79778194196939</v>
      </c>
      <c r="S19" s="135">
        <f>R664/(1+'On-Road Fac.'!$D$5)</f>
        <v>513.32288625945137</v>
      </c>
      <c r="T19" s="135">
        <f>S664/(1+'On-Road Fac.'!$D$5)</f>
        <v>497.71017750157614</v>
      </c>
      <c r="U19" s="135">
        <f>T664/(1+'On-Road Fac.'!$D$5)</f>
        <v>471.5857435087018</v>
      </c>
      <c r="V19" s="135">
        <f>U664/(1+'On-Road Fac.'!$D$5)</f>
        <v>489.74013946395922</v>
      </c>
      <c r="W19" s="135">
        <f>V664/(1+'On-Road Fac.'!$D$5)</f>
        <v>472.55058340540216</v>
      </c>
      <c r="X19" s="135">
        <f>W664/(1+'On-Road Fac.'!$D$5)</f>
        <v>493.2131815663169</v>
      </c>
      <c r="Y19" s="135">
        <f>X664/(1+'On-Road Fac.'!$D$5)</f>
        <v>503.70782216956576</v>
      </c>
      <c r="Z19" s="135">
        <f>Y664/(1+'On-Road Fac.'!$D$5)</f>
        <v>493.2131815663169</v>
      </c>
      <c r="AA19" s="135">
        <f>Z664/(1+'On-Road Fac.'!$D$5)</f>
        <v>491.00474309922117</v>
      </c>
      <c r="AB19" s="135">
        <f>AA664/(1+'On-Road Fac.'!$D$5)</f>
        <v>588.85089886923743</v>
      </c>
      <c r="AC19" s="135">
        <f>AB664/(1+'On-Road Fac.'!$D$5)</f>
        <v>492.27589454389022</v>
      </c>
      <c r="AD19" s="135">
        <f>AC664/(1+'On-Road Fac.'!$D$5)</f>
        <v>493.2131815663169</v>
      </c>
    </row>
    <row r="20" spans="1:30">
      <c r="A20" t="str">
        <f>Commodities!K27</f>
        <v>T-BUS-ICE_DST00</v>
      </c>
      <c r="B20" s="459" t="s">
        <v>978</v>
      </c>
      <c r="C20" s="459" t="s">
        <v>866</v>
      </c>
      <c r="D20" s="567">
        <v>98.42</v>
      </c>
      <c r="E20" s="135">
        <f t="shared" ref="E20:E23" si="0">D20</f>
        <v>98.42</v>
      </c>
      <c r="F20" s="135">
        <f t="shared" ref="F20:AD28"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T-LPT-EV_ELC00</v>
      </c>
      <c r="B21" s="459" t="s">
        <v>978</v>
      </c>
      <c r="C21" s="459" t="s">
        <v>866</v>
      </c>
      <c r="D21" s="567">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T-HPT-EV_ELC00</v>
      </c>
      <c r="B22" s="459" t="s">
        <v>978</v>
      </c>
      <c r="C22" s="459" t="s">
        <v>866</v>
      </c>
      <c r="D22" s="567">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978</v>
      </c>
      <c r="C23" s="459" t="s">
        <v>866</v>
      </c>
      <c r="D23" s="567">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978</v>
      </c>
      <c r="C24" s="459" t="s">
        <v>866</v>
      </c>
      <c r="D24" s="567">
        <v>291.2</v>
      </c>
      <c r="E24" s="567">
        <f>D24</f>
        <v>291.2</v>
      </c>
      <c r="F24" s="567">
        <f t="shared" si="1"/>
        <v>291.2</v>
      </c>
      <c r="G24" s="567">
        <f t="shared" si="1"/>
        <v>291.2</v>
      </c>
      <c r="H24" s="567">
        <f t="shared" si="1"/>
        <v>291.2</v>
      </c>
      <c r="I24" s="567">
        <f t="shared" si="1"/>
        <v>291.2</v>
      </c>
      <c r="J24" s="567">
        <f t="shared" si="1"/>
        <v>291.2</v>
      </c>
      <c r="K24" s="567">
        <f t="shared" si="1"/>
        <v>291.2</v>
      </c>
      <c r="L24" s="567">
        <f t="shared" si="1"/>
        <v>291.2</v>
      </c>
      <c r="M24" s="567">
        <f t="shared" si="1"/>
        <v>291.2</v>
      </c>
      <c r="N24" s="567">
        <f t="shared" si="1"/>
        <v>291.2</v>
      </c>
      <c r="O24" s="567">
        <f t="shared" si="1"/>
        <v>291.2</v>
      </c>
      <c r="P24" s="567">
        <f t="shared" si="1"/>
        <v>291.2</v>
      </c>
      <c r="Q24" s="567">
        <f t="shared" si="1"/>
        <v>291.2</v>
      </c>
      <c r="R24" s="567">
        <f t="shared" si="1"/>
        <v>291.2</v>
      </c>
      <c r="S24" s="567">
        <f t="shared" si="1"/>
        <v>291.2</v>
      </c>
      <c r="T24" s="567">
        <f t="shared" si="1"/>
        <v>291.2</v>
      </c>
      <c r="U24" s="567">
        <f t="shared" si="1"/>
        <v>291.2</v>
      </c>
      <c r="V24" s="567">
        <f t="shared" si="1"/>
        <v>291.2</v>
      </c>
      <c r="W24" s="567">
        <f t="shared" si="1"/>
        <v>291.2</v>
      </c>
      <c r="X24" s="567">
        <f t="shared" si="1"/>
        <v>291.2</v>
      </c>
      <c r="Y24" s="567">
        <f t="shared" si="1"/>
        <v>291.2</v>
      </c>
      <c r="Z24" s="567">
        <f t="shared" si="1"/>
        <v>291.2</v>
      </c>
      <c r="AA24" s="567">
        <f t="shared" si="1"/>
        <v>291.2</v>
      </c>
      <c r="AB24" s="567">
        <f t="shared" si="1"/>
        <v>291.2</v>
      </c>
      <c r="AC24" s="567">
        <f t="shared" si="1"/>
        <v>291.2</v>
      </c>
      <c r="AD24" s="567">
        <f t="shared" si="1"/>
        <v>291.2</v>
      </c>
    </row>
    <row r="25" spans="1:30" s="714" customFormat="1">
      <c r="A25" s="714" t="str">
        <f>Commodities!K35</f>
        <v>T-LGT-ICE_DST00</v>
      </c>
      <c r="B25" s="714" t="s">
        <v>978</v>
      </c>
      <c r="C25" s="714" t="s">
        <v>866</v>
      </c>
      <c r="D25" s="567">
        <v>287.08</v>
      </c>
      <c r="E25" s="567">
        <f>D25</f>
        <v>287.08</v>
      </c>
      <c r="F25" s="567">
        <f t="shared" si="1"/>
        <v>287.08</v>
      </c>
      <c r="G25" s="567">
        <f t="shared" si="1"/>
        <v>287.08</v>
      </c>
      <c r="H25" s="567">
        <f t="shared" si="1"/>
        <v>287.08</v>
      </c>
      <c r="I25" s="567">
        <f t="shared" si="1"/>
        <v>287.08</v>
      </c>
      <c r="J25" s="567">
        <f t="shared" si="1"/>
        <v>287.08</v>
      </c>
      <c r="K25" s="567">
        <f t="shared" si="1"/>
        <v>287.08</v>
      </c>
      <c r="L25" s="567">
        <f t="shared" si="1"/>
        <v>287.08</v>
      </c>
      <c r="M25" s="567">
        <f t="shared" si="1"/>
        <v>287.08</v>
      </c>
      <c r="N25" s="567">
        <f t="shared" si="1"/>
        <v>287.08</v>
      </c>
      <c r="O25" s="567">
        <f t="shared" si="1"/>
        <v>287.08</v>
      </c>
      <c r="P25" s="567">
        <f t="shared" si="1"/>
        <v>287.08</v>
      </c>
      <c r="Q25" s="567">
        <f t="shared" si="1"/>
        <v>287.08</v>
      </c>
      <c r="R25" s="567">
        <f t="shared" si="1"/>
        <v>287.08</v>
      </c>
      <c r="S25" s="567">
        <f t="shared" si="1"/>
        <v>287.08</v>
      </c>
      <c r="T25" s="567">
        <f t="shared" si="1"/>
        <v>287.08</v>
      </c>
      <c r="U25" s="567">
        <f t="shared" si="1"/>
        <v>287.08</v>
      </c>
      <c r="V25" s="567">
        <f t="shared" si="1"/>
        <v>287.08</v>
      </c>
      <c r="W25" s="567">
        <f t="shared" si="1"/>
        <v>287.08</v>
      </c>
      <c r="X25" s="567">
        <f t="shared" si="1"/>
        <v>287.08</v>
      </c>
      <c r="Y25" s="567">
        <f t="shared" si="1"/>
        <v>287.08</v>
      </c>
      <c r="Z25" s="567">
        <f t="shared" si="1"/>
        <v>287.08</v>
      </c>
      <c r="AA25" s="567">
        <f t="shared" si="1"/>
        <v>287.08</v>
      </c>
      <c r="AB25" s="567">
        <f t="shared" si="1"/>
        <v>287.08</v>
      </c>
      <c r="AC25" s="567">
        <f t="shared" si="1"/>
        <v>287.08</v>
      </c>
      <c r="AD25" s="567">
        <f t="shared" si="1"/>
        <v>287.08</v>
      </c>
    </row>
    <row r="26" spans="1:30" s="714" customFormat="1">
      <c r="A26" s="714" t="str">
        <f>Commodities!K36</f>
        <v>T-MGT-ICE_DST00</v>
      </c>
      <c r="B26" s="714" t="s">
        <v>978</v>
      </c>
      <c r="C26" s="714" t="s">
        <v>866</v>
      </c>
      <c r="D26" s="567">
        <v>180.1</v>
      </c>
      <c r="E26" s="567">
        <f>D26</f>
        <v>180.1</v>
      </c>
      <c r="F26" s="567">
        <f t="shared" si="1"/>
        <v>180.1</v>
      </c>
      <c r="G26" s="567">
        <f t="shared" si="1"/>
        <v>180.1</v>
      </c>
      <c r="H26" s="567">
        <f t="shared" si="1"/>
        <v>180.1</v>
      </c>
      <c r="I26" s="567">
        <f t="shared" si="1"/>
        <v>180.1</v>
      </c>
      <c r="J26" s="567">
        <f t="shared" si="1"/>
        <v>180.1</v>
      </c>
      <c r="K26" s="567">
        <f t="shared" si="1"/>
        <v>180.1</v>
      </c>
      <c r="L26" s="567">
        <f t="shared" si="1"/>
        <v>180.1</v>
      </c>
      <c r="M26" s="567">
        <f t="shared" si="1"/>
        <v>180.1</v>
      </c>
      <c r="N26" s="567">
        <f t="shared" si="1"/>
        <v>180.1</v>
      </c>
      <c r="O26" s="567">
        <f t="shared" si="1"/>
        <v>180.1</v>
      </c>
      <c r="P26" s="567">
        <f t="shared" si="1"/>
        <v>180.1</v>
      </c>
      <c r="Q26" s="567">
        <f t="shared" si="1"/>
        <v>180.1</v>
      </c>
      <c r="R26" s="567">
        <f t="shared" si="1"/>
        <v>180.1</v>
      </c>
      <c r="S26" s="567">
        <f t="shared" si="1"/>
        <v>180.1</v>
      </c>
      <c r="T26" s="567">
        <f t="shared" si="1"/>
        <v>180.1</v>
      </c>
      <c r="U26" s="567">
        <f t="shared" si="1"/>
        <v>180.1</v>
      </c>
      <c r="V26" s="567">
        <f t="shared" si="1"/>
        <v>180.1</v>
      </c>
      <c r="W26" s="567">
        <f t="shared" si="1"/>
        <v>180.1</v>
      </c>
      <c r="X26" s="567">
        <f t="shared" si="1"/>
        <v>180.1</v>
      </c>
      <c r="Y26" s="567">
        <f t="shared" si="1"/>
        <v>180.1</v>
      </c>
      <c r="Z26" s="567">
        <f t="shared" si="1"/>
        <v>180.1</v>
      </c>
      <c r="AA26" s="567">
        <f t="shared" si="1"/>
        <v>180.1</v>
      </c>
      <c r="AB26" s="567">
        <f t="shared" si="1"/>
        <v>180.1</v>
      </c>
      <c r="AC26" s="567">
        <f t="shared" si="1"/>
        <v>180.1</v>
      </c>
      <c r="AD26" s="567">
        <f t="shared" si="1"/>
        <v>180.1</v>
      </c>
    </row>
    <row r="27" spans="1:30" s="459" customFormat="1">
      <c r="A27" s="459" t="str">
        <f>Commodities!K37</f>
        <v>T-HGT-ICE_DST00</v>
      </c>
      <c r="B27" s="459" t="s">
        <v>978</v>
      </c>
      <c r="C27" s="459" t="s">
        <v>866</v>
      </c>
      <c r="D27" s="567">
        <v>165.45</v>
      </c>
      <c r="E27" s="567">
        <f t="shared" ref="E27:T28" si="2">D27</f>
        <v>165.45</v>
      </c>
      <c r="F27" s="567">
        <f t="shared" si="2"/>
        <v>165.45</v>
      </c>
      <c r="G27" s="567">
        <f t="shared" si="2"/>
        <v>165.45</v>
      </c>
      <c r="H27" s="567">
        <f t="shared" si="2"/>
        <v>165.45</v>
      </c>
      <c r="I27" s="567">
        <f t="shared" si="2"/>
        <v>165.45</v>
      </c>
      <c r="J27" s="567">
        <f t="shared" si="2"/>
        <v>165.45</v>
      </c>
      <c r="K27" s="567">
        <f t="shared" si="2"/>
        <v>165.45</v>
      </c>
      <c r="L27" s="567">
        <f t="shared" si="2"/>
        <v>165.45</v>
      </c>
      <c r="M27" s="567">
        <f t="shared" si="2"/>
        <v>165.45</v>
      </c>
      <c r="N27" s="567">
        <f t="shared" si="2"/>
        <v>165.45</v>
      </c>
      <c r="O27" s="567">
        <f t="shared" si="2"/>
        <v>165.45</v>
      </c>
      <c r="P27" s="567">
        <f t="shared" si="2"/>
        <v>165.45</v>
      </c>
      <c r="Q27" s="567">
        <f t="shared" si="2"/>
        <v>165.45</v>
      </c>
      <c r="R27" s="567">
        <f t="shared" si="2"/>
        <v>165.45</v>
      </c>
      <c r="S27" s="567">
        <f t="shared" si="2"/>
        <v>165.45</v>
      </c>
      <c r="T27" s="567">
        <f t="shared" si="2"/>
        <v>165.45</v>
      </c>
      <c r="U27" s="567">
        <f t="shared" si="1"/>
        <v>165.45</v>
      </c>
      <c r="V27" s="567">
        <f t="shared" si="1"/>
        <v>165.45</v>
      </c>
      <c r="W27" s="567">
        <f t="shared" si="1"/>
        <v>165.45</v>
      </c>
      <c r="X27" s="567">
        <f t="shared" si="1"/>
        <v>165.45</v>
      </c>
      <c r="Y27" s="567">
        <f t="shared" si="1"/>
        <v>165.45</v>
      </c>
      <c r="Z27" s="567">
        <f t="shared" si="1"/>
        <v>165.45</v>
      </c>
      <c r="AA27" s="567">
        <f t="shared" si="1"/>
        <v>165.45</v>
      </c>
      <c r="AB27" s="567">
        <f t="shared" si="1"/>
        <v>165.45</v>
      </c>
      <c r="AC27" s="567">
        <f t="shared" si="1"/>
        <v>165.45</v>
      </c>
      <c r="AD27" s="567">
        <f t="shared" si="1"/>
        <v>165.45</v>
      </c>
    </row>
    <row r="28" spans="1:30" s="459" customFormat="1">
      <c r="A28" s="459" t="str">
        <f>Commodities!K38</f>
        <v>T-GTR-ICE_DST00</v>
      </c>
      <c r="B28" s="459" t="s">
        <v>978</v>
      </c>
      <c r="C28" s="459" t="s">
        <v>866</v>
      </c>
      <c r="D28" s="568">
        <v>4.7112409841113401</v>
      </c>
      <c r="E28" s="567">
        <f t="shared" si="2"/>
        <v>4.7112409841113401</v>
      </c>
      <c r="F28" s="567">
        <f t="shared" si="1"/>
        <v>4.7112409841113401</v>
      </c>
      <c r="G28" s="567">
        <f t="shared" si="1"/>
        <v>4.7112409841113401</v>
      </c>
      <c r="H28" s="567">
        <f t="shared" si="1"/>
        <v>4.7112409841113401</v>
      </c>
      <c r="I28" s="567">
        <f t="shared" si="1"/>
        <v>4.7112409841113401</v>
      </c>
      <c r="J28" s="567">
        <f t="shared" si="1"/>
        <v>4.7112409841113401</v>
      </c>
      <c r="K28" s="567">
        <f t="shared" si="1"/>
        <v>4.7112409841113401</v>
      </c>
      <c r="L28" s="567">
        <f t="shared" si="1"/>
        <v>4.7112409841113401</v>
      </c>
      <c r="M28" s="567">
        <f t="shared" si="1"/>
        <v>4.7112409841113401</v>
      </c>
      <c r="N28" s="567">
        <f t="shared" si="1"/>
        <v>4.7112409841113401</v>
      </c>
      <c r="O28" s="567">
        <f t="shared" si="1"/>
        <v>4.7112409841113401</v>
      </c>
      <c r="P28" s="567">
        <f t="shared" si="1"/>
        <v>4.7112409841113401</v>
      </c>
      <c r="Q28" s="567">
        <f t="shared" si="1"/>
        <v>4.7112409841113401</v>
      </c>
      <c r="R28" s="567">
        <f t="shared" si="1"/>
        <v>4.7112409841113401</v>
      </c>
      <c r="S28" s="567">
        <f t="shared" si="1"/>
        <v>4.7112409841113401</v>
      </c>
      <c r="T28" s="567">
        <f t="shared" si="1"/>
        <v>4.7112409841113401</v>
      </c>
      <c r="U28" s="567">
        <f t="shared" si="1"/>
        <v>4.7112409841113401</v>
      </c>
      <c r="V28" s="567">
        <f t="shared" si="1"/>
        <v>4.7112409841113401</v>
      </c>
      <c r="W28" s="567">
        <f t="shared" si="1"/>
        <v>4.7112409841113401</v>
      </c>
      <c r="X28" s="567">
        <f t="shared" si="1"/>
        <v>4.7112409841113401</v>
      </c>
      <c r="Y28" s="567">
        <f t="shared" si="1"/>
        <v>4.7112409841113401</v>
      </c>
      <c r="Z28" s="567">
        <f t="shared" si="1"/>
        <v>4.7112409841113401</v>
      </c>
      <c r="AA28" s="567">
        <f t="shared" si="1"/>
        <v>4.7112409841113401</v>
      </c>
      <c r="AB28" s="567">
        <f t="shared" si="1"/>
        <v>4.7112409841113401</v>
      </c>
      <c r="AC28" s="567">
        <f t="shared" si="1"/>
        <v>4.7112409841113401</v>
      </c>
      <c r="AD28" s="567">
        <f t="shared" si="1"/>
        <v>4.7112409841113401</v>
      </c>
    </row>
    <row r="29" spans="1:30" s="459" customFormat="1">
      <c r="A29" s="459" t="str">
        <f>Commodities!K40</f>
        <v>T-TUR_CON00</v>
      </c>
      <c r="B29" s="459" t="s">
        <v>17</v>
      </c>
      <c r="C29" s="459" t="s">
        <v>866</v>
      </c>
      <c r="D29" s="566">
        <v>1</v>
      </c>
      <c r="E29" s="566">
        <v>1</v>
      </c>
      <c r="F29" s="566">
        <v>1</v>
      </c>
      <c r="G29" s="566">
        <v>1</v>
      </c>
      <c r="H29" s="566">
        <v>1</v>
      </c>
      <c r="I29" s="566">
        <v>1</v>
      </c>
      <c r="J29" s="566">
        <v>1</v>
      </c>
      <c r="K29" s="566">
        <v>1</v>
      </c>
      <c r="L29" s="566">
        <v>1</v>
      </c>
      <c r="M29" s="566">
        <v>1</v>
      </c>
      <c r="N29" s="566">
        <v>1</v>
      </c>
      <c r="O29" s="566">
        <v>1</v>
      </c>
      <c r="P29" s="566">
        <v>1</v>
      </c>
      <c r="Q29" s="566">
        <v>1</v>
      </c>
      <c r="R29" s="566">
        <v>1</v>
      </c>
      <c r="S29" s="566">
        <v>1</v>
      </c>
      <c r="T29" s="566">
        <v>1</v>
      </c>
      <c r="U29" s="566">
        <v>1</v>
      </c>
      <c r="V29" s="566">
        <v>1</v>
      </c>
      <c r="W29" s="566">
        <v>1</v>
      </c>
      <c r="X29" s="566">
        <v>1</v>
      </c>
      <c r="Y29" s="566">
        <v>1</v>
      </c>
      <c r="Z29" s="566">
        <v>1</v>
      </c>
      <c r="AA29" s="566">
        <v>1</v>
      </c>
      <c r="AB29" s="566">
        <v>1</v>
      </c>
      <c r="AC29" s="566">
        <v>1</v>
      </c>
      <c r="AD29" s="566">
        <v>1</v>
      </c>
    </row>
    <row r="30" spans="1:30" s="459" customFormat="1">
      <c r="A30" s="459" t="str">
        <f>Commodities!K41</f>
        <v>T-NAV_CON00</v>
      </c>
      <c r="B30" s="459" t="s">
        <v>17</v>
      </c>
      <c r="C30" s="459" t="s">
        <v>866</v>
      </c>
      <c r="D30" s="566">
        <v>1</v>
      </c>
      <c r="E30" s="566">
        <v>1</v>
      </c>
      <c r="F30" s="566">
        <v>1</v>
      </c>
      <c r="G30" s="566">
        <v>1</v>
      </c>
      <c r="H30" s="566">
        <v>1</v>
      </c>
      <c r="I30" s="566">
        <v>1</v>
      </c>
      <c r="J30" s="566">
        <v>1</v>
      </c>
      <c r="K30" s="566">
        <v>1</v>
      </c>
      <c r="L30" s="566">
        <v>1</v>
      </c>
      <c r="M30" s="566">
        <v>1</v>
      </c>
      <c r="N30" s="566">
        <v>1</v>
      </c>
      <c r="O30" s="566">
        <v>1</v>
      </c>
      <c r="P30" s="566">
        <v>1</v>
      </c>
      <c r="Q30" s="566">
        <v>1</v>
      </c>
      <c r="R30" s="566">
        <v>1</v>
      </c>
      <c r="S30" s="566">
        <v>1</v>
      </c>
      <c r="T30" s="566">
        <v>1</v>
      </c>
      <c r="U30" s="566">
        <v>1</v>
      </c>
      <c r="V30" s="566">
        <v>1</v>
      </c>
      <c r="W30" s="566">
        <v>1</v>
      </c>
      <c r="X30" s="566">
        <v>1</v>
      </c>
      <c r="Y30" s="566">
        <v>1</v>
      </c>
      <c r="Z30" s="566">
        <v>1</v>
      </c>
      <c r="AA30" s="566">
        <v>1</v>
      </c>
      <c r="AB30" s="566">
        <v>1</v>
      </c>
      <c r="AC30" s="566">
        <v>1</v>
      </c>
      <c r="AD30" s="566">
        <v>1</v>
      </c>
    </row>
    <row r="31" spans="1:30" s="459" customFormat="1">
      <c r="A31" s="459" t="str">
        <f>Commodities!K42</f>
        <v>T-OTH_CON00</v>
      </c>
      <c r="B31" s="459" t="s">
        <v>17</v>
      </c>
      <c r="C31" s="459" t="s">
        <v>866</v>
      </c>
      <c r="D31" s="566">
        <v>1</v>
      </c>
      <c r="E31" s="566">
        <v>1</v>
      </c>
      <c r="F31" s="566">
        <v>1</v>
      </c>
      <c r="G31" s="566">
        <v>1</v>
      </c>
      <c r="H31" s="566">
        <v>1</v>
      </c>
      <c r="I31" s="566">
        <v>1</v>
      </c>
      <c r="J31" s="566">
        <v>1</v>
      </c>
      <c r="K31" s="566">
        <v>1</v>
      </c>
      <c r="L31" s="566">
        <v>1</v>
      </c>
      <c r="M31" s="566">
        <v>1</v>
      </c>
      <c r="N31" s="566">
        <v>1</v>
      </c>
      <c r="O31" s="566">
        <v>1</v>
      </c>
      <c r="P31" s="566">
        <v>1</v>
      </c>
      <c r="Q31" s="566">
        <v>1</v>
      </c>
      <c r="R31" s="566">
        <v>1</v>
      </c>
      <c r="S31" s="566">
        <v>1</v>
      </c>
      <c r="T31" s="566">
        <v>1</v>
      </c>
      <c r="U31" s="566">
        <v>1</v>
      </c>
      <c r="V31" s="566">
        <v>1</v>
      </c>
      <c r="W31" s="566">
        <v>1</v>
      </c>
      <c r="X31" s="566">
        <v>1</v>
      </c>
      <c r="Y31" s="566">
        <v>1</v>
      </c>
      <c r="Z31" s="566">
        <v>1</v>
      </c>
      <c r="AA31" s="566">
        <v>1</v>
      </c>
      <c r="AB31" s="566">
        <v>1</v>
      </c>
      <c r="AC31" s="566">
        <v>1</v>
      </c>
      <c r="AD31" s="566">
        <v>1</v>
      </c>
    </row>
    <row r="32" spans="1:30" s="459" customFormat="1">
      <c r="A32" s="459" t="str">
        <f>Commodities!K44</f>
        <v>T-AVI_DOM00</v>
      </c>
      <c r="B32" s="459" t="s">
        <v>17</v>
      </c>
      <c r="C32" s="459" t="s">
        <v>866</v>
      </c>
      <c r="D32" s="566">
        <v>1</v>
      </c>
      <c r="E32" s="566">
        <v>1</v>
      </c>
      <c r="F32" s="566">
        <v>1</v>
      </c>
      <c r="G32" s="566">
        <v>1</v>
      </c>
      <c r="H32" s="566">
        <v>1</v>
      </c>
      <c r="I32" s="566">
        <v>1</v>
      </c>
      <c r="J32" s="566">
        <v>1</v>
      </c>
      <c r="K32" s="566">
        <v>1</v>
      </c>
      <c r="L32" s="566">
        <v>1</v>
      </c>
      <c r="M32" s="566">
        <v>1</v>
      </c>
      <c r="N32" s="566">
        <v>1</v>
      </c>
      <c r="O32" s="566">
        <v>1</v>
      </c>
      <c r="P32" s="566">
        <v>1</v>
      </c>
      <c r="Q32" s="566">
        <v>1</v>
      </c>
      <c r="R32" s="566">
        <v>1</v>
      </c>
      <c r="S32" s="566">
        <v>1</v>
      </c>
      <c r="T32" s="566">
        <v>1</v>
      </c>
      <c r="U32" s="566">
        <v>1</v>
      </c>
      <c r="V32" s="566">
        <v>1</v>
      </c>
      <c r="W32" s="566">
        <v>1</v>
      </c>
      <c r="X32" s="566">
        <v>1</v>
      </c>
      <c r="Y32" s="566">
        <v>1</v>
      </c>
      <c r="Z32" s="566">
        <v>1</v>
      </c>
      <c r="AA32" s="566">
        <v>1</v>
      </c>
      <c r="AB32" s="566">
        <v>1</v>
      </c>
      <c r="AC32" s="566">
        <v>1</v>
      </c>
      <c r="AD32" s="566">
        <v>1</v>
      </c>
    </row>
    <row r="33" spans="1:31" s="459" customFormat="1">
      <c r="A33" s="458" t="str">
        <f>Commodities!K45</f>
        <v>T-AVI_INT00</v>
      </c>
      <c r="B33" s="458" t="s">
        <v>17</v>
      </c>
      <c r="C33" s="458" t="s">
        <v>866</v>
      </c>
      <c r="D33" s="640">
        <v>1</v>
      </c>
      <c r="E33" s="640">
        <v>1</v>
      </c>
      <c r="F33" s="640">
        <v>1</v>
      </c>
      <c r="G33" s="640">
        <v>1</v>
      </c>
      <c r="H33" s="640">
        <v>1</v>
      </c>
      <c r="I33" s="640">
        <v>1</v>
      </c>
      <c r="J33" s="640">
        <v>1</v>
      </c>
      <c r="K33" s="640">
        <v>1</v>
      </c>
      <c r="L33" s="640">
        <v>1</v>
      </c>
      <c r="M33" s="640">
        <v>1</v>
      </c>
      <c r="N33" s="640">
        <v>1</v>
      </c>
      <c r="O33" s="640">
        <v>1</v>
      </c>
      <c r="P33" s="640">
        <v>1</v>
      </c>
      <c r="Q33" s="640">
        <v>1</v>
      </c>
      <c r="R33" s="640">
        <v>1</v>
      </c>
      <c r="S33" s="640">
        <v>1</v>
      </c>
      <c r="T33" s="640">
        <v>1</v>
      </c>
      <c r="U33" s="640">
        <v>1</v>
      </c>
      <c r="V33" s="640">
        <v>1</v>
      </c>
      <c r="W33" s="640">
        <v>1</v>
      </c>
      <c r="X33" s="640">
        <v>1</v>
      </c>
      <c r="Y33" s="640">
        <v>1</v>
      </c>
      <c r="Z33" s="640">
        <v>1</v>
      </c>
      <c r="AA33" s="640">
        <v>1</v>
      </c>
      <c r="AB33" s="640">
        <v>1</v>
      </c>
      <c r="AC33" s="640">
        <v>1</v>
      </c>
      <c r="AD33" s="640">
        <v>1</v>
      </c>
    </row>
    <row r="34" spans="1:31">
      <c r="A34" s="28" t="s">
        <v>796</v>
      </c>
    </row>
    <row r="35" spans="1:31" s="459" customFormat="1">
      <c r="A35" s="28"/>
    </row>
    <row r="36" spans="1:31" s="459" customFormat="1">
      <c r="A36" s="28"/>
    </row>
    <row r="37" spans="1:31" s="459" customFormat="1">
      <c r="A37" s="28"/>
    </row>
    <row r="38" spans="1:31" s="459" customFormat="1">
      <c r="C38" s="453" t="s">
        <v>76</v>
      </c>
    </row>
    <row r="39" spans="1:31" s="459" customFormat="1" ht="15" thickBot="1">
      <c r="A39" s="41" t="s">
        <v>70</v>
      </c>
      <c r="B39" s="41" t="s">
        <v>96</v>
      </c>
      <c r="C39" s="41" t="s">
        <v>101</v>
      </c>
      <c r="D39" s="460" t="str">
        <f>D4</f>
        <v>IE</v>
      </c>
      <c r="E39" s="460" t="str">
        <f t="shared" ref="E39:AD39" si="3">E4</f>
        <v>IE-CW</v>
      </c>
      <c r="F39" s="460" t="str">
        <f t="shared" si="3"/>
        <v>IE-D</v>
      </c>
      <c r="G39" s="460" t="str">
        <f t="shared" si="3"/>
        <v>IE-KE</v>
      </c>
      <c r="H39" s="460" t="str">
        <f t="shared" si="3"/>
        <v>IE-KK</v>
      </c>
      <c r="I39" s="460" t="str">
        <f t="shared" si="3"/>
        <v>IE-LS</v>
      </c>
      <c r="J39" s="460" t="str">
        <f t="shared" si="3"/>
        <v>IE-LD</v>
      </c>
      <c r="K39" s="460" t="str">
        <f t="shared" si="3"/>
        <v>IE-LH</v>
      </c>
      <c r="L39" s="460" t="str">
        <f t="shared" si="3"/>
        <v>IE-MH</v>
      </c>
      <c r="M39" s="460" t="str">
        <f t="shared" si="3"/>
        <v>IE-OY</v>
      </c>
      <c r="N39" s="460" t="str">
        <f t="shared" si="3"/>
        <v>IE-WH</v>
      </c>
      <c r="O39" s="460" t="str">
        <f t="shared" si="3"/>
        <v>IE-WX</v>
      </c>
      <c r="P39" s="460" t="str">
        <f t="shared" si="3"/>
        <v>IE-WW</v>
      </c>
      <c r="Q39" s="460" t="str">
        <f t="shared" si="3"/>
        <v>IE-CE</v>
      </c>
      <c r="R39" s="460" t="str">
        <f t="shared" si="3"/>
        <v>IE-CO</v>
      </c>
      <c r="S39" s="460" t="str">
        <f t="shared" si="3"/>
        <v>IE-KY</v>
      </c>
      <c r="T39" s="460" t="str">
        <f t="shared" si="3"/>
        <v>IE-LK</v>
      </c>
      <c r="U39" s="460" t="str">
        <f t="shared" si="3"/>
        <v>IE-TA</v>
      </c>
      <c r="V39" s="460" t="str">
        <f t="shared" si="3"/>
        <v>IE-WD</v>
      </c>
      <c r="W39" s="460" t="str">
        <f t="shared" si="3"/>
        <v>IE-G</v>
      </c>
      <c r="X39" s="460" t="str">
        <f t="shared" si="3"/>
        <v>IE-LM</v>
      </c>
      <c r="Y39" s="460" t="str">
        <f t="shared" si="3"/>
        <v>IE-MO</v>
      </c>
      <c r="Z39" s="460" t="str">
        <f t="shared" si="3"/>
        <v>IE-RN</v>
      </c>
      <c r="AA39" s="460" t="str">
        <f t="shared" si="3"/>
        <v>IE-SO</v>
      </c>
      <c r="AB39" s="460" t="str">
        <f t="shared" si="3"/>
        <v>IE-CN</v>
      </c>
      <c r="AC39" s="460" t="str">
        <f t="shared" si="3"/>
        <v>IE-DL</v>
      </c>
      <c r="AD39" s="460" t="str">
        <f t="shared" si="3"/>
        <v>IE-MN</v>
      </c>
    </row>
    <row r="40" spans="1:31" s="459" customFormat="1">
      <c r="A40" s="459" t="str">
        <f t="shared" ref="A40:C40" si="4">A5</f>
        <v>T-WLK_WLK</v>
      </c>
      <c r="B40" s="459" t="s">
        <v>870</v>
      </c>
      <c r="C40" s="714"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459" customFormat="1">
      <c r="A41" s="459" t="str">
        <f t="shared" ref="A41:C41" si="6">A6</f>
        <v>T-CYC_CYC</v>
      </c>
      <c r="B41" s="459" t="s">
        <v>870</v>
      </c>
      <c r="C41" s="459"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459" customFormat="1">
      <c r="A42" s="459" t="str">
        <f t="shared" ref="A42:A59" si="8">A7</f>
        <v>T-MOT-ICE_GSL00</v>
      </c>
      <c r="B42" s="459" t="s">
        <v>870</v>
      </c>
      <c r="C42" s="459"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459" customFormat="1">
      <c r="A43" s="459" t="str">
        <f t="shared" si="8"/>
        <v>T-CAR-ICE_GSL00</v>
      </c>
      <c r="B43" s="459" t="s">
        <v>870</v>
      </c>
      <c r="C43" s="459"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459" customFormat="1">
      <c r="A44" s="459" t="str">
        <f t="shared" si="8"/>
        <v>T-CAR-ICE_DST00</v>
      </c>
      <c r="B44" s="459" t="s">
        <v>870</v>
      </c>
      <c r="C44" s="459"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459" customFormat="1">
      <c r="A45" s="459" t="str">
        <f t="shared" si="8"/>
        <v>T-CAR-ICE_DF00</v>
      </c>
      <c r="B45" s="459" t="s">
        <v>870</v>
      </c>
      <c r="C45" s="459"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459" customFormat="1">
      <c r="A46" s="459" t="str">
        <f t="shared" si="8"/>
        <v>T-CAR-ICE_E8500</v>
      </c>
      <c r="B46" s="459" t="s">
        <v>870</v>
      </c>
      <c r="C46" s="459"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459" customFormat="1">
      <c r="A47" s="459" t="str">
        <f t="shared" si="8"/>
        <v>T-CAR-HEV_GSL00</v>
      </c>
      <c r="B47" s="459" t="s">
        <v>870</v>
      </c>
      <c r="C47" s="459"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459" customFormat="1">
      <c r="A48" s="459" t="str">
        <f t="shared" si="8"/>
        <v>T-CAR-HEV_DST00</v>
      </c>
      <c r="B48" s="459" t="s">
        <v>870</v>
      </c>
      <c r="C48" s="459"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459" customFormat="1">
      <c r="A49" s="459" t="str">
        <f t="shared" si="8"/>
        <v>T-CAR-PHEV_GSL00</v>
      </c>
      <c r="B49" s="459" t="s">
        <v>870</v>
      </c>
      <c r="C49" s="459"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459" customFormat="1">
      <c r="A50" s="459" t="str">
        <f t="shared" si="8"/>
        <v>T-CAR-PHEV_DST00</v>
      </c>
      <c r="B50" s="459" t="s">
        <v>870</v>
      </c>
      <c r="C50" s="459"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459" customFormat="1">
      <c r="A51" s="459" t="str">
        <f t="shared" si="8"/>
        <v>T-CAR-BEV_ELC00</v>
      </c>
      <c r="B51" s="459" t="s">
        <v>870</v>
      </c>
      <c r="C51" s="459"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459" customFormat="1">
      <c r="A52" s="459" t="str">
        <f t="shared" si="8"/>
        <v>T-TAX-ICE_GSL00</v>
      </c>
      <c r="B52" s="459" t="s">
        <v>870</v>
      </c>
      <c r="C52" s="459"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459" customFormat="1">
      <c r="A53" s="459" t="str">
        <f t="shared" si="8"/>
        <v>T-TAX-ICE_DST00</v>
      </c>
      <c r="B53" s="459" t="s">
        <v>870</v>
      </c>
      <c r="C53" s="459"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459" customFormat="1">
      <c r="A54" s="459" t="str">
        <f t="shared" si="8"/>
        <v>T-TAX-HEV_GSL00</v>
      </c>
      <c r="B54" s="459" t="s">
        <v>870</v>
      </c>
      <c r="C54" s="459"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459" customFormat="1">
      <c r="A55" s="459" t="str">
        <f t="shared" si="8"/>
        <v>T-BUS-ICE_DST00</v>
      </c>
      <c r="B55" s="459" t="s">
        <v>870</v>
      </c>
      <c r="C55" s="459"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459" customFormat="1">
      <c r="A56" s="459" t="str">
        <f t="shared" si="8"/>
        <v>T-LPT-EV_ELC00</v>
      </c>
      <c r="B56" s="459" t="s">
        <v>870</v>
      </c>
      <c r="C56" s="459"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459" customFormat="1">
      <c r="A57" s="459" t="str">
        <f t="shared" si="8"/>
        <v>T-HPT-EV_ELC00</v>
      </c>
      <c r="B57" s="459" t="s">
        <v>870</v>
      </c>
      <c r="C57" s="459"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459" customFormat="1">
      <c r="A58" s="459" t="str">
        <f t="shared" si="8"/>
        <v>T-HPT-ICE_DST00</v>
      </c>
      <c r="B58" s="459" t="s">
        <v>870</v>
      </c>
      <c r="C58" s="459"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459" customFormat="1">
      <c r="A59" s="459" t="str">
        <f t="shared" si="8"/>
        <v>T-LGT-ICE_GSL00</v>
      </c>
      <c r="B59" s="714" t="s">
        <v>870</v>
      </c>
      <c r="C59" s="459"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714" customFormat="1">
      <c r="A60" s="714" t="str">
        <f t="shared" ref="A60:A61" si="28">A25</f>
        <v>T-LGT-ICE_DST00</v>
      </c>
      <c r="B60" s="714" t="s">
        <v>870</v>
      </c>
      <c r="C60" s="714"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714" customFormat="1">
      <c r="A61" s="714" t="str">
        <f t="shared" si="28"/>
        <v>T-MGT-ICE_DST00</v>
      </c>
      <c r="B61" s="714" t="s">
        <v>870</v>
      </c>
      <c r="C61" s="714"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459" customFormat="1">
      <c r="A62" s="459" t="str">
        <f t="shared" ref="A62:A68" si="30">A27</f>
        <v>T-HGT-ICE_DST00</v>
      </c>
      <c r="B62" s="714" t="s">
        <v>870</v>
      </c>
      <c r="C62" s="459"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459" customFormat="1">
      <c r="A63" s="459" t="str">
        <f t="shared" si="30"/>
        <v>T-GTR-ICE_DST00</v>
      </c>
      <c r="B63" s="714" t="s">
        <v>870</v>
      </c>
      <c r="C63" s="459"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459" customFormat="1">
      <c r="A64" s="459" t="str">
        <f t="shared" si="30"/>
        <v>T-TUR_CON00</v>
      </c>
      <c r="B64" s="459" t="s">
        <v>17</v>
      </c>
      <c r="C64" s="459" t="str">
        <f t="shared" si="31"/>
        <v>EFFICIENCY</v>
      </c>
      <c r="D64" s="459">
        <f t="shared" ref="D64:AD64" si="32">D29</f>
        <v>1</v>
      </c>
      <c r="E64" s="459">
        <f t="shared" si="32"/>
        <v>1</v>
      </c>
      <c r="F64" s="459">
        <f t="shared" si="32"/>
        <v>1</v>
      </c>
      <c r="G64" s="459">
        <f t="shared" si="32"/>
        <v>1</v>
      </c>
      <c r="H64" s="459">
        <f t="shared" si="32"/>
        <v>1</v>
      </c>
      <c r="I64" s="459">
        <f t="shared" si="32"/>
        <v>1</v>
      </c>
      <c r="J64" s="459">
        <f t="shared" si="32"/>
        <v>1</v>
      </c>
      <c r="K64" s="459">
        <f t="shared" si="32"/>
        <v>1</v>
      </c>
      <c r="L64" s="459">
        <f t="shared" si="32"/>
        <v>1</v>
      </c>
      <c r="M64" s="459">
        <f t="shared" si="32"/>
        <v>1</v>
      </c>
      <c r="N64" s="459">
        <f t="shared" si="32"/>
        <v>1</v>
      </c>
      <c r="O64" s="459">
        <f t="shared" si="32"/>
        <v>1</v>
      </c>
      <c r="P64" s="459">
        <f t="shared" si="32"/>
        <v>1</v>
      </c>
      <c r="Q64" s="459">
        <f t="shared" si="32"/>
        <v>1</v>
      </c>
      <c r="R64" s="459">
        <f t="shared" si="32"/>
        <v>1</v>
      </c>
      <c r="S64" s="459">
        <f t="shared" si="32"/>
        <v>1</v>
      </c>
      <c r="T64" s="459">
        <f t="shared" si="32"/>
        <v>1</v>
      </c>
      <c r="U64" s="459">
        <f t="shared" si="32"/>
        <v>1</v>
      </c>
      <c r="V64" s="459">
        <f t="shared" si="32"/>
        <v>1</v>
      </c>
      <c r="W64" s="459">
        <f t="shared" si="32"/>
        <v>1</v>
      </c>
      <c r="X64" s="459">
        <f t="shared" si="32"/>
        <v>1</v>
      </c>
      <c r="Y64" s="459">
        <f t="shared" si="32"/>
        <v>1</v>
      </c>
      <c r="Z64" s="459">
        <f t="shared" si="32"/>
        <v>1</v>
      </c>
      <c r="AA64" s="459">
        <f t="shared" si="32"/>
        <v>1</v>
      </c>
      <c r="AB64" s="459">
        <f t="shared" si="32"/>
        <v>1</v>
      </c>
      <c r="AC64" s="459">
        <f t="shared" si="32"/>
        <v>1</v>
      </c>
      <c r="AD64" s="459">
        <f t="shared" si="32"/>
        <v>1</v>
      </c>
    </row>
    <row r="65" spans="1:30" s="459" customFormat="1">
      <c r="A65" s="459" t="str">
        <f t="shared" si="30"/>
        <v>T-NAV_CON00</v>
      </c>
      <c r="B65" s="714" t="s">
        <v>17</v>
      </c>
      <c r="C65" s="459" t="str">
        <f t="shared" si="31"/>
        <v>EFFICIENCY</v>
      </c>
      <c r="D65" s="459">
        <f t="shared" ref="D65:AD65" si="33">D30</f>
        <v>1</v>
      </c>
      <c r="E65" s="459">
        <f t="shared" si="33"/>
        <v>1</v>
      </c>
      <c r="F65" s="459">
        <f t="shared" si="33"/>
        <v>1</v>
      </c>
      <c r="G65" s="459">
        <f t="shared" si="33"/>
        <v>1</v>
      </c>
      <c r="H65" s="459">
        <f t="shared" si="33"/>
        <v>1</v>
      </c>
      <c r="I65" s="459">
        <f t="shared" si="33"/>
        <v>1</v>
      </c>
      <c r="J65" s="459">
        <f t="shared" si="33"/>
        <v>1</v>
      </c>
      <c r="K65" s="459">
        <f t="shared" si="33"/>
        <v>1</v>
      </c>
      <c r="L65" s="459">
        <f t="shared" si="33"/>
        <v>1</v>
      </c>
      <c r="M65" s="459">
        <f t="shared" si="33"/>
        <v>1</v>
      </c>
      <c r="N65" s="459">
        <f t="shared" si="33"/>
        <v>1</v>
      </c>
      <c r="O65" s="459">
        <f t="shared" si="33"/>
        <v>1</v>
      </c>
      <c r="P65" s="459">
        <f t="shared" si="33"/>
        <v>1</v>
      </c>
      <c r="Q65" s="459">
        <f t="shared" si="33"/>
        <v>1</v>
      </c>
      <c r="R65" s="459">
        <f t="shared" si="33"/>
        <v>1</v>
      </c>
      <c r="S65" s="459">
        <f t="shared" si="33"/>
        <v>1</v>
      </c>
      <c r="T65" s="459">
        <f t="shared" si="33"/>
        <v>1</v>
      </c>
      <c r="U65" s="459">
        <f t="shared" si="33"/>
        <v>1</v>
      </c>
      <c r="V65" s="459">
        <f t="shared" si="33"/>
        <v>1</v>
      </c>
      <c r="W65" s="459">
        <f t="shared" si="33"/>
        <v>1</v>
      </c>
      <c r="X65" s="459">
        <f t="shared" si="33"/>
        <v>1</v>
      </c>
      <c r="Y65" s="459">
        <f t="shared" si="33"/>
        <v>1</v>
      </c>
      <c r="Z65" s="459">
        <f t="shared" si="33"/>
        <v>1</v>
      </c>
      <c r="AA65" s="459">
        <f t="shared" si="33"/>
        <v>1</v>
      </c>
      <c r="AB65" s="459">
        <f t="shared" si="33"/>
        <v>1</v>
      </c>
      <c r="AC65" s="459">
        <f t="shared" si="33"/>
        <v>1</v>
      </c>
      <c r="AD65" s="459">
        <f t="shared" si="33"/>
        <v>1</v>
      </c>
    </row>
    <row r="66" spans="1:30" s="459" customFormat="1">
      <c r="A66" s="459" t="str">
        <f t="shared" si="30"/>
        <v>T-OTH_CON00</v>
      </c>
      <c r="B66" s="714" t="s">
        <v>17</v>
      </c>
      <c r="C66" s="459" t="str">
        <f t="shared" si="31"/>
        <v>EFFICIENCY</v>
      </c>
      <c r="D66" s="459">
        <f t="shared" ref="D66:AD66" si="34">D31</f>
        <v>1</v>
      </c>
      <c r="E66" s="459">
        <f t="shared" si="34"/>
        <v>1</v>
      </c>
      <c r="F66" s="459">
        <f t="shared" si="34"/>
        <v>1</v>
      </c>
      <c r="G66" s="459">
        <f t="shared" si="34"/>
        <v>1</v>
      </c>
      <c r="H66" s="459">
        <f t="shared" si="34"/>
        <v>1</v>
      </c>
      <c r="I66" s="459">
        <f t="shared" si="34"/>
        <v>1</v>
      </c>
      <c r="J66" s="459">
        <f t="shared" si="34"/>
        <v>1</v>
      </c>
      <c r="K66" s="459">
        <f t="shared" si="34"/>
        <v>1</v>
      </c>
      <c r="L66" s="459">
        <f t="shared" si="34"/>
        <v>1</v>
      </c>
      <c r="M66" s="459">
        <f t="shared" si="34"/>
        <v>1</v>
      </c>
      <c r="N66" s="459">
        <f t="shared" si="34"/>
        <v>1</v>
      </c>
      <c r="O66" s="459">
        <f t="shared" si="34"/>
        <v>1</v>
      </c>
      <c r="P66" s="459">
        <f t="shared" si="34"/>
        <v>1</v>
      </c>
      <c r="Q66" s="459">
        <f t="shared" si="34"/>
        <v>1</v>
      </c>
      <c r="R66" s="459">
        <f t="shared" si="34"/>
        <v>1</v>
      </c>
      <c r="S66" s="459">
        <f t="shared" si="34"/>
        <v>1</v>
      </c>
      <c r="T66" s="459">
        <f t="shared" si="34"/>
        <v>1</v>
      </c>
      <c r="U66" s="459">
        <f t="shared" si="34"/>
        <v>1</v>
      </c>
      <c r="V66" s="459">
        <f t="shared" si="34"/>
        <v>1</v>
      </c>
      <c r="W66" s="459">
        <f t="shared" si="34"/>
        <v>1</v>
      </c>
      <c r="X66" s="459">
        <f t="shared" si="34"/>
        <v>1</v>
      </c>
      <c r="Y66" s="459">
        <f t="shared" si="34"/>
        <v>1</v>
      </c>
      <c r="Z66" s="459">
        <f t="shared" si="34"/>
        <v>1</v>
      </c>
      <c r="AA66" s="459">
        <f t="shared" si="34"/>
        <v>1</v>
      </c>
      <c r="AB66" s="459">
        <f t="shared" si="34"/>
        <v>1</v>
      </c>
      <c r="AC66" s="459">
        <f t="shared" si="34"/>
        <v>1</v>
      </c>
      <c r="AD66" s="459">
        <f t="shared" si="34"/>
        <v>1</v>
      </c>
    </row>
    <row r="67" spans="1:30" s="459" customFormat="1">
      <c r="A67" s="1" t="str">
        <f t="shared" si="30"/>
        <v>T-AVI_DOM00</v>
      </c>
      <c r="B67" s="714"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459" customFormat="1">
      <c r="A68" s="458" t="str">
        <f t="shared" si="30"/>
        <v>T-AVI_INT00</v>
      </c>
      <c r="B68" s="458" t="s">
        <v>17</v>
      </c>
      <c r="C68" s="458" t="str">
        <f t="shared" si="31"/>
        <v>EFFICIENCY</v>
      </c>
      <c r="D68" s="458">
        <f t="shared" ref="D68:AD68" si="36">D33</f>
        <v>1</v>
      </c>
      <c r="E68" s="458">
        <f t="shared" si="36"/>
        <v>1</v>
      </c>
      <c r="F68" s="458">
        <f t="shared" si="36"/>
        <v>1</v>
      </c>
      <c r="G68" s="458">
        <f t="shared" si="36"/>
        <v>1</v>
      </c>
      <c r="H68" s="458">
        <f t="shared" si="36"/>
        <v>1</v>
      </c>
      <c r="I68" s="458">
        <f t="shared" si="36"/>
        <v>1</v>
      </c>
      <c r="J68" s="458">
        <f t="shared" si="36"/>
        <v>1</v>
      </c>
      <c r="K68" s="458">
        <f t="shared" si="36"/>
        <v>1</v>
      </c>
      <c r="L68" s="458">
        <f t="shared" si="36"/>
        <v>1</v>
      </c>
      <c r="M68" s="458">
        <f t="shared" si="36"/>
        <v>1</v>
      </c>
      <c r="N68" s="458">
        <f t="shared" si="36"/>
        <v>1</v>
      </c>
      <c r="O68" s="458">
        <f t="shared" si="36"/>
        <v>1</v>
      </c>
      <c r="P68" s="458">
        <f t="shared" si="36"/>
        <v>1</v>
      </c>
      <c r="Q68" s="458">
        <f t="shared" si="36"/>
        <v>1</v>
      </c>
      <c r="R68" s="458">
        <f t="shared" si="36"/>
        <v>1</v>
      </c>
      <c r="S68" s="458">
        <f t="shared" si="36"/>
        <v>1</v>
      </c>
      <c r="T68" s="458">
        <f t="shared" si="36"/>
        <v>1</v>
      </c>
      <c r="U68" s="458">
        <f t="shared" si="36"/>
        <v>1</v>
      </c>
      <c r="V68" s="458">
        <f t="shared" si="36"/>
        <v>1</v>
      </c>
      <c r="W68" s="458">
        <f t="shared" si="36"/>
        <v>1</v>
      </c>
      <c r="X68" s="458">
        <f t="shared" si="36"/>
        <v>1</v>
      </c>
      <c r="Y68" s="458">
        <f t="shared" si="36"/>
        <v>1</v>
      </c>
      <c r="Z68" s="458">
        <f t="shared" si="36"/>
        <v>1</v>
      </c>
      <c r="AA68" s="458">
        <f t="shared" si="36"/>
        <v>1</v>
      </c>
      <c r="AB68" s="458">
        <f t="shared" si="36"/>
        <v>1</v>
      </c>
      <c r="AC68" s="458">
        <f t="shared" si="36"/>
        <v>1</v>
      </c>
      <c r="AD68" s="458">
        <f t="shared" si="36"/>
        <v>1</v>
      </c>
    </row>
    <row r="69" spans="1:30" s="459" customFormat="1">
      <c r="A69" s="28" t="s">
        <v>796</v>
      </c>
    </row>
    <row r="70" spans="1:30" s="459" customFormat="1">
      <c r="A70" s="28"/>
    </row>
    <row r="71" spans="1:30" s="459" customFormat="1">
      <c r="A71" s="28"/>
    </row>
    <row r="72" spans="1:30" s="459" customFormat="1">
      <c r="A72" s="28"/>
    </row>
    <row r="73" spans="1:30" s="459" customFormat="1">
      <c r="A73" s="28"/>
    </row>
    <row r="74" spans="1:30" s="459" customFormat="1">
      <c r="A74" s="28"/>
    </row>
    <row r="75" spans="1:30" s="459" customFormat="1">
      <c r="A75" s="28"/>
    </row>
    <row r="76" spans="1:30" s="459" customFormat="1">
      <c r="A76" s="28"/>
    </row>
    <row r="77" spans="1:30" s="459" customFormat="1">
      <c r="A77" s="28"/>
    </row>
    <row r="78" spans="1:30" s="459" customFormat="1">
      <c r="A78" s="28"/>
    </row>
    <row r="79" spans="1:30" s="459" customFormat="1">
      <c r="A79" s="28"/>
    </row>
    <row r="80" spans="1:30"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s="459" customFormat="1">
      <c r="A86" s="28"/>
    </row>
    <row r="87" spans="1:29" s="459" customFormat="1">
      <c r="A87" s="28"/>
    </row>
    <row r="88" spans="1:29" s="459" customFormat="1">
      <c r="A88" s="28"/>
    </row>
    <row r="89" spans="1:29" s="459" customFormat="1">
      <c r="A89" s="28"/>
    </row>
    <row r="90" spans="1:29">
      <c r="A90" s="28"/>
      <c r="B90" s="461"/>
    </row>
    <row r="92" spans="1:29">
      <c r="A92" s="448"/>
      <c r="C92" s="448"/>
      <c r="D92" s="448"/>
      <c r="E92" s="448"/>
      <c r="F92" s="448"/>
      <c r="G92" s="448"/>
      <c r="H92" s="448"/>
      <c r="I92" s="448"/>
      <c r="J92" s="448"/>
      <c r="K92" s="448"/>
      <c r="L92" s="448"/>
    </row>
    <row r="93" spans="1:29">
      <c r="A93" s="511"/>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row>
    <row r="94" spans="1:29" ht="15.6">
      <c r="A94" s="425" t="s">
        <v>607</v>
      </c>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row>
    <row r="95" spans="1:29">
      <c r="A95" s="131" t="s">
        <v>606</v>
      </c>
      <c r="B95" s="131" t="s">
        <v>64</v>
      </c>
      <c r="C95" s="131" t="str">
        <f>Regions!C3</f>
        <v>IE</v>
      </c>
      <c r="D95" s="131" t="str">
        <f>Regions!E3</f>
        <v>IE-CW</v>
      </c>
      <c r="E95" s="131" t="str">
        <f>Regions!F3</f>
        <v>IE-D</v>
      </c>
      <c r="F95" s="131" t="str">
        <f>Regions!G3</f>
        <v>IE-KE</v>
      </c>
      <c r="G95" s="131" t="str">
        <f>Regions!H3</f>
        <v>IE-KK</v>
      </c>
      <c r="H95" s="131" t="str">
        <f>Regions!I3</f>
        <v>IE-LS</v>
      </c>
      <c r="I95" s="131" t="str">
        <f>Regions!J3</f>
        <v>IE-LD</v>
      </c>
      <c r="J95" s="131" t="str">
        <f>Regions!K3</f>
        <v>IE-LH</v>
      </c>
      <c r="K95" s="131" t="str">
        <f>Regions!L3</f>
        <v>IE-MH</v>
      </c>
      <c r="L95" s="131" t="str">
        <f>Regions!M3</f>
        <v>IE-OY</v>
      </c>
      <c r="M95" s="131" t="str">
        <f>Regions!N3</f>
        <v>IE-WH</v>
      </c>
      <c r="N95" s="131" t="str">
        <f>Regions!O3</f>
        <v>IE-WX</v>
      </c>
      <c r="O95" s="131" t="str">
        <f>Regions!P3</f>
        <v>IE-WW</v>
      </c>
      <c r="P95" s="131" t="str">
        <f>Regions!Q3</f>
        <v>IE-CE</v>
      </c>
      <c r="Q95" s="131" t="str">
        <f>Regions!R3</f>
        <v>IE-CO</v>
      </c>
      <c r="R95" s="131" t="str">
        <f>Regions!S3</f>
        <v>IE-KY</v>
      </c>
      <c r="S95" s="131" t="str">
        <f>Regions!T3</f>
        <v>IE-LK</v>
      </c>
      <c r="T95" s="131" t="str">
        <f>Regions!U3</f>
        <v>IE-TA</v>
      </c>
      <c r="U95" s="131" t="str">
        <f>Regions!V3</f>
        <v>IE-WD</v>
      </c>
      <c r="V95" s="131" t="str">
        <f>Regions!W3</f>
        <v>IE-G</v>
      </c>
      <c r="W95" s="131" t="str">
        <f>Regions!X3</f>
        <v>IE-LM</v>
      </c>
      <c r="X95" s="131" t="str">
        <f>Regions!Y3</f>
        <v>IE-MO</v>
      </c>
      <c r="Y95" s="131" t="str">
        <f>Regions!Z3</f>
        <v>IE-RN</v>
      </c>
      <c r="Z95" s="131" t="str">
        <f>Regions!AA3</f>
        <v>IE-SO</v>
      </c>
      <c r="AA95" s="131" t="str">
        <f>Regions!AB3</f>
        <v>IE-CN</v>
      </c>
      <c r="AB95" s="131" t="str">
        <f>Regions!AC3</f>
        <v>IE-DL</v>
      </c>
      <c r="AC95" s="131" t="str">
        <f>Regions!AD3</f>
        <v>IE-MN</v>
      </c>
    </row>
    <row r="96" spans="1:29">
      <c r="A96" s="459" t="s">
        <v>345</v>
      </c>
      <c r="B96" s="459" t="s">
        <v>531</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459" t="s">
        <v>346</v>
      </c>
      <c r="B97" s="459" t="s">
        <v>531</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459" t="s">
        <v>347</v>
      </c>
      <c r="B98" s="459" t="s">
        <v>531</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459" t="s">
        <v>348</v>
      </c>
      <c r="B99" s="459" t="s">
        <v>531</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459" t="s">
        <v>349</v>
      </c>
      <c r="B100" s="459" t="s">
        <v>531</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459" t="s">
        <v>350</v>
      </c>
      <c r="B101" s="459" t="s">
        <v>531</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448" customFormat="1">
      <c r="A102" s="459" t="s">
        <v>351</v>
      </c>
      <c r="B102" s="459" t="s">
        <v>531</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448" customFormat="1">
      <c r="A103" s="458" t="s">
        <v>16</v>
      </c>
      <c r="B103" s="458" t="s">
        <v>531</v>
      </c>
      <c r="C103" s="504">
        <f>SUM(D103:AC103)</f>
        <v>946860</v>
      </c>
      <c r="D103" s="504">
        <f t="shared" ref="D103:AC103" si="38">SUM(D96:D102)</f>
        <v>10796</v>
      </c>
      <c r="E103" s="504">
        <f t="shared" si="38"/>
        <v>299408</v>
      </c>
      <c r="F103" s="504">
        <f t="shared" si="38"/>
        <v>44521</v>
      </c>
      <c r="G103" s="504">
        <f t="shared" si="38"/>
        <v>17346</v>
      </c>
      <c r="H103" s="504">
        <f t="shared" si="38"/>
        <v>12391</v>
      </c>
      <c r="I103" s="504">
        <f t="shared" si="38"/>
        <v>5804</v>
      </c>
      <c r="J103" s="504">
        <f t="shared" si="38"/>
        <v>20722</v>
      </c>
      <c r="K103" s="504">
        <f t="shared" si="38"/>
        <v>34216</v>
      </c>
      <c r="L103" s="504">
        <f t="shared" si="38"/>
        <v>12252</v>
      </c>
      <c r="M103" s="504">
        <f t="shared" si="38"/>
        <v>14417</v>
      </c>
      <c r="N103" s="504">
        <f t="shared" si="38"/>
        <v>29236</v>
      </c>
      <c r="O103" s="504">
        <f t="shared" si="38"/>
        <v>32847</v>
      </c>
      <c r="P103" s="504">
        <f t="shared" si="38"/>
        <v>24057</v>
      </c>
      <c r="Q103" s="504">
        <f t="shared" si="38"/>
        <v>121228</v>
      </c>
      <c r="R103" s="504">
        <f t="shared" si="38"/>
        <v>31727</v>
      </c>
      <c r="S103" s="504">
        <f t="shared" si="38"/>
        <v>40146</v>
      </c>
      <c r="T103" s="504">
        <f t="shared" si="38"/>
        <v>30854</v>
      </c>
      <c r="U103" s="504">
        <f t="shared" si="38"/>
        <v>27159</v>
      </c>
      <c r="V103" s="504">
        <f t="shared" si="38"/>
        <v>45820</v>
      </c>
      <c r="W103" s="504">
        <f t="shared" si="38"/>
        <v>4961</v>
      </c>
      <c r="X103" s="504">
        <f t="shared" si="38"/>
        <v>22404</v>
      </c>
      <c r="Y103" s="504">
        <f t="shared" si="38"/>
        <v>11971</v>
      </c>
      <c r="Z103" s="504">
        <f t="shared" si="38"/>
        <v>11761</v>
      </c>
      <c r="AA103" s="504">
        <f t="shared" si="38"/>
        <v>10568</v>
      </c>
      <c r="AB103" s="504">
        <f t="shared" si="38"/>
        <v>22398</v>
      </c>
      <c r="AC103" s="504">
        <f t="shared" si="38"/>
        <v>7850</v>
      </c>
    </row>
    <row r="104" spans="1:29" s="448" customFormat="1">
      <c r="A104" s="459" t="s">
        <v>617</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spans="1:29">
      <c r="A105" s="448"/>
      <c r="C105" s="459"/>
      <c r="D105" s="448"/>
      <c r="E105" s="448"/>
      <c r="F105" s="448"/>
      <c r="G105" s="448"/>
      <c r="H105" s="448"/>
    </row>
    <row r="106" spans="1:29">
      <c r="A106" s="448"/>
      <c r="C106" s="459"/>
      <c r="D106" s="448"/>
      <c r="E106" s="448"/>
      <c r="F106" s="448"/>
      <c r="G106" s="448"/>
      <c r="H106" s="448"/>
    </row>
    <row r="107" spans="1:29">
      <c r="A107" s="448"/>
      <c r="C107" s="459"/>
      <c r="D107" s="448"/>
      <c r="E107" s="448"/>
      <c r="F107" s="448"/>
      <c r="G107" s="448"/>
      <c r="H107" s="448"/>
    </row>
    <row r="108" spans="1:29" ht="15.6">
      <c r="A108" s="425" t="s">
        <v>608</v>
      </c>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c r="AC108" s="459"/>
    </row>
    <row r="109" spans="1:29">
      <c r="A109" s="131" t="s">
        <v>606</v>
      </c>
      <c r="B109" s="131" t="s">
        <v>64</v>
      </c>
      <c r="C109" s="131" t="str">
        <f>C95</f>
        <v>IE</v>
      </c>
      <c r="D109" s="131" t="str">
        <f t="shared" ref="D109:AC109" si="39">D95</f>
        <v>IE-CW</v>
      </c>
      <c r="E109" s="131" t="str">
        <f t="shared" si="39"/>
        <v>IE-D</v>
      </c>
      <c r="F109" s="131" t="str">
        <f t="shared" si="39"/>
        <v>IE-KE</v>
      </c>
      <c r="G109" s="131" t="str">
        <f t="shared" si="39"/>
        <v>IE-KK</v>
      </c>
      <c r="H109" s="131" t="str">
        <f t="shared" si="39"/>
        <v>IE-LS</v>
      </c>
      <c r="I109" s="131" t="str">
        <f t="shared" si="39"/>
        <v>IE-LD</v>
      </c>
      <c r="J109" s="131" t="str">
        <f t="shared" si="39"/>
        <v>IE-LH</v>
      </c>
      <c r="K109" s="131" t="str">
        <f t="shared" si="39"/>
        <v>IE-MH</v>
      </c>
      <c r="L109" s="131" t="str">
        <f t="shared" si="39"/>
        <v>IE-OY</v>
      </c>
      <c r="M109" s="131" t="str">
        <f t="shared" si="39"/>
        <v>IE-WH</v>
      </c>
      <c r="N109" s="131" t="str">
        <f t="shared" si="39"/>
        <v>IE-WX</v>
      </c>
      <c r="O109" s="131" t="str">
        <f t="shared" si="39"/>
        <v>IE-WW</v>
      </c>
      <c r="P109" s="131" t="str">
        <f t="shared" si="39"/>
        <v>IE-CE</v>
      </c>
      <c r="Q109" s="131" t="str">
        <f t="shared" si="39"/>
        <v>IE-CO</v>
      </c>
      <c r="R109" s="131" t="str">
        <f t="shared" si="39"/>
        <v>IE-KY</v>
      </c>
      <c r="S109" s="131" t="str">
        <f t="shared" si="39"/>
        <v>IE-LK</v>
      </c>
      <c r="T109" s="131" t="str">
        <f t="shared" si="39"/>
        <v>IE-TA</v>
      </c>
      <c r="U109" s="131" t="str">
        <f t="shared" si="39"/>
        <v>IE-WD</v>
      </c>
      <c r="V109" s="131" t="str">
        <f t="shared" si="39"/>
        <v>IE-G</v>
      </c>
      <c r="W109" s="131" t="str">
        <f t="shared" si="39"/>
        <v>IE-LM</v>
      </c>
      <c r="X109" s="131" t="str">
        <f t="shared" si="39"/>
        <v>IE-MO</v>
      </c>
      <c r="Y109" s="131" t="str">
        <f t="shared" si="39"/>
        <v>IE-RN</v>
      </c>
      <c r="Z109" s="131" t="str">
        <f t="shared" si="39"/>
        <v>IE-SO</v>
      </c>
      <c r="AA109" s="131" t="str">
        <f t="shared" si="39"/>
        <v>IE-CN</v>
      </c>
      <c r="AB109" s="131" t="str">
        <f t="shared" si="39"/>
        <v>IE-DL</v>
      </c>
      <c r="AC109" s="131" t="str">
        <f t="shared" si="39"/>
        <v>IE-MN</v>
      </c>
    </row>
    <row r="110" spans="1:29">
      <c r="A110" s="459" t="s">
        <v>345</v>
      </c>
      <c r="B110" s="507" t="s">
        <v>610</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459" t="s">
        <v>346</v>
      </c>
      <c r="B111" s="1" t="s">
        <v>610</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459" t="s">
        <v>347</v>
      </c>
      <c r="B112" s="1" t="s">
        <v>610</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459" t="s">
        <v>348</v>
      </c>
      <c r="B113" s="1" t="s">
        <v>610</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459" t="s">
        <v>349</v>
      </c>
      <c r="B114" s="1" t="s">
        <v>610</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459" t="s">
        <v>350</v>
      </c>
      <c r="B115" s="1" t="s">
        <v>610</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459" t="s">
        <v>351</v>
      </c>
      <c r="B116" s="1" t="s">
        <v>610</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458" t="s">
        <v>16</v>
      </c>
      <c r="B117" s="458" t="s">
        <v>610</v>
      </c>
      <c r="C117" s="403">
        <f t="shared" ref="C117:AC117" si="47">SUM(C110:C116)</f>
        <v>1</v>
      </c>
      <c r="D117" s="403">
        <f t="shared" si="47"/>
        <v>1</v>
      </c>
      <c r="E117" s="403">
        <f t="shared" si="47"/>
        <v>1</v>
      </c>
      <c r="F117" s="403">
        <f t="shared" si="47"/>
        <v>1.0000000000000002</v>
      </c>
      <c r="G117" s="403">
        <f t="shared" si="47"/>
        <v>1</v>
      </c>
      <c r="H117" s="403">
        <f t="shared" si="47"/>
        <v>1</v>
      </c>
      <c r="I117" s="403">
        <f t="shared" si="47"/>
        <v>0.99999999999999989</v>
      </c>
      <c r="J117" s="403">
        <f t="shared" si="47"/>
        <v>1</v>
      </c>
      <c r="K117" s="403">
        <f t="shared" si="47"/>
        <v>1</v>
      </c>
      <c r="L117" s="403">
        <f t="shared" si="47"/>
        <v>0.99999999999999989</v>
      </c>
      <c r="M117" s="403">
        <f t="shared" si="47"/>
        <v>1</v>
      </c>
      <c r="N117" s="403">
        <f t="shared" si="47"/>
        <v>0.99999999999999978</v>
      </c>
      <c r="O117" s="403">
        <f t="shared" si="47"/>
        <v>0.99999999999999989</v>
      </c>
      <c r="P117" s="403">
        <f t="shared" si="47"/>
        <v>1</v>
      </c>
      <c r="Q117" s="403">
        <f t="shared" si="47"/>
        <v>1.0000000000000002</v>
      </c>
      <c r="R117" s="403">
        <f t="shared" si="47"/>
        <v>1</v>
      </c>
      <c r="S117" s="403">
        <f t="shared" si="47"/>
        <v>1</v>
      </c>
      <c r="T117" s="403">
        <f t="shared" si="47"/>
        <v>1</v>
      </c>
      <c r="U117" s="403">
        <f t="shared" si="47"/>
        <v>0.99999999999999989</v>
      </c>
      <c r="V117" s="403">
        <f t="shared" si="47"/>
        <v>1</v>
      </c>
      <c r="W117" s="403">
        <f t="shared" si="47"/>
        <v>1</v>
      </c>
      <c r="X117" s="403">
        <f t="shared" si="47"/>
        <v>0.99999999999999989</v>
      </c>
      <c r="Y117" s="403">
        <f t="shared" si="47"/>
        <v>1</v>
      </c>
      <c r="Z117" s="403">
        <f t="shared" si="47"/>
        <v>0.99999999999999989</v>
      </c>
      <c r="AA117" s="403">
        <f t="shared" si="47"/>
        <v>1</v>
      </c>
      <c r="AB117" s="403">
        <f t="shared" si="47"/>
        <v>1</v>
      </c>
      <c r="AC117" s="403">
        <f t="shared" si="47"/>
        <v>1</v>
      </c>
    </row>
    <row r="118" spans="1:29">
      <c r="A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row>
    <row r="119" spans="1:29">
      <c r="C119" s="459"/>
    </row>
    <row r="120" spans="1:29">
      <c r="C120" s="459"/>
    </row>
    <row r="121" spans="1:29" ht="15.6">
      <c r="A121" s="425" t="s">
        <v>609</v>
      </c>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c r="AC121" s="459"/>
    </row>
    <row r="122" spans="1:29">
      <c r="A122" s="131" t="s">
        <v>606</v>
      </c>
      <c r="B122" s="131" t="s">
        <v>64</v>
      </c>
      <c r="C122" s="131" t="str">
        <f>C109</f>
        <v>IE</v>
      </c>
      <c r="D122" s="131" t="str">
        <f t="shared" ref="D122:AC122" si="48">D109</f>
        <v>IE-CW</v>
      </c>
      <c r="E122" s="131" t="str">
        <f t="shared" si="48"/>
        <v>IE-D</v>
      </c>
      <c r="F122" s="131" t="str">
        <f t="shared" si="48"/>
        <v>IE-KE</v>
      </c>
      <c r="G122" s="131" t="str">
        <f t="shared" si="48"/>
        <v>IE-KK</v>
      </c>
      <c r="H122" s="131" t="str">
        <f t="shared" si="48"/>
        <v>IE-LS</v>
      </c>
      <c r="I122" s="131" t="str">
        <f t="shared" si="48"/>
        <v>IE-LD</v>
      </c>
      <c r="J122" s="131" t="str">
        <f t="shared" si="48"/>
        <v>IE-LH</v>
      </c>
      <c r="K122" s="131" t="str">
        <f t="shared" si="48"/>
        <v>IE-MH</v>
      </c>
      <c r="L122" s="131" t="str">
        <f t="shared" si="48"/>
        <v>IE-OY</v>
      </c>
      <c r="M122" s="131" t="str">
        <f t="shared" si="48"/>
        <v>IE-WH</v>
      </c>
      <c r="N122" s="131" t="str">
        <f t="shared" si="48"/>
        <v>IE-WX</v>
      </c>
      <c r="O122" s="131" t="str">
        <f t="shared" si="48"/>
        <v>IE-WW</v>
      </c>
      <c r="P122" s="131" t="str">
        <f t="shared" si="48"/>
        <v>IE-CE</v>
      </c>
      <c r="Q122" s="131" t="str">
        <f t="shared" si="48"/>
        <v>IE-CO</v>
      </c>
      <c r="R122" s="131" t="str">
        <f t="shared" si="48"/>
        <v>IE-KY</v>
      </c>
      <c r="S122" s="131" t="str">
        <f t="shared" si="48"/>
        <v>IE-LK</v>
      </c>
      <c r="T122" s="131" t="str">
        <f t="shared" si="48"/>
        <v>IE-TA</v>
      </c>
      <c r="U122" s="131" t="str">
        <f t="shared" si="48"/>
        <v>IE-WD</v>
      </c>
      <c r="V122" s="131" t="str">
        <f t="shared" si="48"/>
        <v>IE-G</v>
      </c>
      <c r="W122" s="131" t="str">
        <f t="shared" si="48"/>
        <v>IE-LM</v>
      </c>
      <c r="X122" s="131" t="str">
        <f t="shared" si="48"/>
        <v>IE-MO</v>
      </c>
      <c r="Y122" s="131" t="str">
        <f t="shared" si="48"/>
        <v>IE-RN</v>
      </c>
      <c r="Z122" s="131" t="str">
        <f t="shared" si="48"/>
        <v>IE-SO</v>
      </c>
      <c r="AA122" s="131" t="str">
        <f t="shared" si="48"/>
        <v>IE-CN</v>
      </c>
      <c r="AB122" s="131" t="str">
        <f t="shared" si="48"/>
        <v>IE-DL</v>
      </c>
      <c r="AC122" s="131" t="str">
        <f t="shared" si="48"/>
        <v>IE-MN</v>
      </c>
    </row>
    <row r="123" spans="1:29">
      <c r="A123" s="459" t="s">
        <v>345</v>
      </c>
      <c r="B123" s="459" t="s">
        <v>611</v>
      </c>
      <c r="C123" s="505">
        <v>1.5410369892896236</v>
      </c>
      <c r="D123" s="505">
        <v>1.5410369892896236</v>
      </c>
      <c r="E123" s="505">
        <v>1.5410369892896236</v>
      </c>
      <c r="F123" s="505">
        <v>1.5410369892896236</v>
      </c>
      <c r="G123" s="505">
        <v>1.5410369892896236</v>
      </c>
      <c r="H123" s="505">
        <v>1.5410369892896236</v>
      </c>
      <c r="I123" s="505">
        <v>1.5410369892896236</v>
      </c>
      <c r="J123" s="505">
        <v>1.5410369892896236</v>
      </c>
      <c r="K123" s="505">
        <v>1.5410369892896236</v>
      </c>
      <c r="L123" s="505">
        <v>1.5410369892896236</v>
      </c>
      <c r="M123" s="505">
        <v>1.5410369892896236</v>
      </c>
      <c r="N123" s="505">
        <v>1.5410369892896236</v>
      </c>
      <c r="O123" s="505">
        <v>1.5410369892896236</v>
      </c>
      <c r="P123" s="505">
        <v>1.5410369892896236</v>
      </c>
      <c r="Q123" s="505">
        <v>1.5410369892896236</v>
      </c>
      <c r="R123" s="505">
        <v>1.5410369892896236</v>
      </c>
      <c r="S123" s="505">
        <v>1.5410369892896236</v>
      </c>
      <c r="T123" s="505">
        <v>1.5410369892896236</v>
      </c>
      <c r="U123" s="505">
        <v>1.5410369892896236</v>
      </c>
      <c r="V123" s="505">
        <v>1.5410369892896236</v>
      </c>
      <c r="W123" s="505">
        <v>1.5410369892896236</v>
      </c>
      <c r="X123" s="505">
        <v>1.5410369892896236</v>
      </c>
      <c r="Y123" s="505">
        <v>1.5410369892896236</v>
      </c>
      <c r="Z123" s="505">
        <v>1.5410369892896236</v>
      </c>
      <c r="AA123" s="505">
        <v>1.5410369892896236</v>
      </c>
      <c r="AB123" s="505">
        <v>1.5410369892896236</v>
      </c>
      <c r="AC123" s="505">
        <v>1.5410369892896236</v>
      </c>
    </row>
    <row r="124" spans="1:29">
      <c r="A124" s="459" t="s">
        <v>346</v>
      </c>
      <c r="B124" s="459" t="s">
        <v>611</v>
      </c>
      <c r="C124" s="505">
        <v>1.5689674081337737</v>
      </c>
      <c r="D124" s="505">
        <v>1.5689674081337737</v>
      </c>
      <c r="E124" s="505">
        <v>1.5689674081337737</v>
      </c>
      <c r="F124" s="505">
        <v>1.5689674081337737</v>
      </c>
      <c r="G124" s="505">
        <v>1.5689674081337737</v>
      </c>
      <c r="H124" s="505">
        <v>1.5689674081337737</v>
      </c>
      <c r="I124" s="505">
        <v>1.5689674081337737</v>
      </c>
      <c r="J124" s="505">
        <v>1.5689674081337737</v>
      </c>
      <c r="K124" s="505">
        <v>1.5689674081337737</v>
      </c>
      <c r="L124" s="505">
        <v>1.5689674081337737</v>
      </c>
      <c r="M124" s="505">
        <v>1.5689674081337737</v>
      </c>
      <c r="N124" s="505">
        <v>1.5689674081337737</v>
      </c>
      <c r="O124" s="505">
        <v>1.5689674081337737</v>
      </c>
      <c r="P124" s="505">
        <v>1.5689674081337737</v>
      </c>
      <c r="Q124" s="505">
        <v>1.5689674081337737</v>
      </c>
      <c r="R124" s="505">
        <v>1.5689674081337737</v>
      </c>
      <c r="S124" s="505">
        <v>1.5689674081337737</v>
      </c>
      <c r="T124" s="505">
        <v>1.5689674081337737</v>
      </c>
      <c r="U124" s="505">
        <v>1.5689674081337737</v>
      </c>
      <c r="V124" s="505">
        <v>1.5689674081337737</v>
      </c>
      <c r="W124" s="505">
        <v>1.5689674081337737</v>
      </c>
      <c r="X124" s="505">
        <v>1.5689674081337737</v>
      </c>
      <c r="Y124" s="505">
        <v>1.5689674081337737</v>
      </c>
      <c r="Z124" s="505">
        <v>1.5689674081337737</v>
      </c>
      <c r="AA124" s="505">
        <v>1.5689674081337737</v>
      </c>
      <c r="AB124" s="505">
        <v>1.5689674081337737</v>
      </c>
      <c r="AC124" s="505">
        <v>1.5689674081337737</v>
      </c>
    </row>
    <row r="125" spans="1:29">
      <c r="A125" s="459" t="s">
        <v>347</v>
      </c>
      <c r="B125" s="459" t="s">
        <v>611</v>
      </c>
      <c r="C125" s="505">
        <v>1.7415357309829498</v>
      </c>
      <c r="D125" s="505">
        <v>1.7415357309829498</v>
      </c>
      <c r="E125" s="505">
        <v>1.7415357309829498</v>
      </c>
      <c r="F125" s="505">
        <v>1.7415357309829498</v>
      </c>
      <c r="G125" s="505">
        <v>1.7415357309829498</v>
      </c>
      <c r="H125" s="505">
        <v>1.7415357309829498</v>
      </c>
      <c r="I125" s="505">
        <v>1.7415357309829498</v>
      </c>
      <c r="J125" s="505">
        <v>1.7415357309829498</v>
      </c>
      <c r="K125" s="505">
        <v>1.7415357309829498</v>
      </c>
      <c r="L125" s="505">
        <v>1.7415357309829498</v>
      </c>
      <c r="M125" s="505">
        <v>1.7415357309829498</v>
      </c>
      <c r="N125" s="505">
        <v>1.7415357309829498</v>
      </c>
      <c r="O125" s="505">
        <v>1.7415357309829498</v>
      </c>
      <c r="P125" s="505">
        <v>1.7415357309829498</v>
      </c>
      <c r="Q125" s="505">
        <v>1.7415357309829498</v>
      </c>
      <c r="R125" s="505">
        <v>1.7415357309829498</v>
      </c>
      <c r="S125" s="505">
        <v>1.7415357309829498</v>
      </c>
      <c r="T125" s="505">
        <v>1.7415357309829498</v>
      </c>
      <c r="U125" s="505">
        <v>1.7415357309829498</v>
      </c>
      <c r="V125" s="505">
        <v>1.7415357309829498</v>
      </c>
      <c r="W125" s="505">
        <v>1.7415357309829498</v>
      </c>
      <c r="X125" s="505">
        <v>1.7415357309829498</v>
      </c>
      <c r="Y125" s="505">
        <v>1.7415357309829498</v>
      </c>
      <c r="Z125" s="505">
        <v>1.7415357309829498</v>
      </c>
      <c r="AA125" s="505">
        <v>1.7415357309829498</v>
      </c>
      <c r="AB125" s="505">
        <v>1.7415357309829498</v>
      </c>
      <c r="AC125" s="505">
        <v>1.7415357309829498</v>
      </c>
    </row>
    <row r="126" spans="1:29">
      <c r="A126" s="459" t="s">
        <v>348</v>
      </c>
      <c r="B126" s="459" t="s">
        <v>611</v>
      </c>
      <c r="C126" s="505">
        <v>1.7596865383612372</v>
      </c>
      <c r="D126" s="505">
        <v>1.7596865383612372</v>
      </c>
      <c r="E126" s="505">
        <v>1.7596865383612372</v>
      </c>
      <c r="F126" s="505">
        <v>1.7596865383612372</v>
      </c>
      <c r="G126" s="505">
        <v>1.7596865383612372</v>
      </c>
      <c r="H126" s="505">
        <v>1.7596865383612372</v>
      </c>
      <c r="I126" s="505">
        <v>1.7596865383612372</v>
      </c>
      <c r="J126" s="505">
        <v>1.7596865383612372</v>
      </c>
      <c r="K126" s="505">
        <v>1.7596865383612372</v>
      </c>
      <c r="L126" s="505">
        <v>1.7596865383612372</v>
      </c>
      <c r="M126" s="505">
        <v>1.7596865383612372</v>
      </c>
      <c r="N126" s="505">
        <v>1.7596865383612372</v>
      </c>
      <c r="O126" s="505">
        <v>1.7596865383612372</v>
      </c>
      <c r="P126" s="505">
        <v>1.7596865383612372</v>
      </c>
      <c r="Q126" s="505">
        <v>1.7596865383612372</v>
      </c>
      <c r="R126" s="505">
        <v>1.7596865383612372</v>
      </c>
      <c r="S126" s="505">
        <v>1.7596865383612372</v>
      </c>
      <c r="T126" s="505">
        <v>1.7596865383612372</v>
      </c>
      <c r="U126" s="505">
        <v>1.7596865383612372</v>
      </c>
      <c r="V126" s="505">
        <v>1.7596865383612372</v>
      </c>
      <c r="W126" s="505">
        <v>1.7596865383612372</v>
      </c>
      <c r="X126" s="505">
        <v>1.7596865383612372</v>
      </c>
      <c r="Y126" s="505">
        <v>1.7596865383612372</v>
      </c>
      <c r="Z126" s="505">
        <v>1.7596865383612372</v>
      </c>
      <c r="AA126" s="505">
        <v>1.7596865383612372</v>
      </c>
      <c r="AB126" s="505">
        <v>1.7596865383612372</v>
      </c>
      <c r="AC126" s="505">
        <v>1.7596865383612372</v>
      </c>
    </row>
    <row r="127" spans="1:29">
      <c r="A127" s="459" t="s">
        <v>349</v>
      </c>
      <c r="B127" s="459" t="s">
        <v>611</v>
      </c>
      <c r="C127" s="505">
        <v>1.8433586255014824</v>
      </c>
      <c r="D127" s="505">
        <v>1.8433586255014824</v>
      </c>
      <c r="E127" s="505">
        <v>1.8433586255014824</v>
      </c>
      <c r="F127" s="505">
        <v>1.8433586255014824</v>
      </c>
      <c r="G127" s="505">
        <v>1.8433586255014824</v>
      </c>
      <c r="H127" s="505">
        <v>1.8433586255014824</v>
      </c>
      <c r="I127" s="505">
        <v>1.8433586255014824</v>
      </c>
      <c r="J127" s="505">
        <v>1.8433586255014824</v>
      </c>
      <c r="K127" s="505">
        <v>1.8433586255014824</v>
      </c>
      <c r="L127" s="505">
        <v>1.8433586255014824</v>
      </c>
      <c r="M127" s="505">
        <v>1.8433586255014824</v>
      </c>
      <c r="N127" s="505">
        <v>1.8433586255014824</v>
      </c>
      <c r="O127" s="505">
        <v>1.8433586255014824</v>
      </c>
      <c r="P127" s="505">
        <v>1.8433586255014824</v>
      </c>
      <c r="Q127" s="505">
        <v>1.8433586255014824</v>
      </c>
      <c r="R127" s="505">
        <v>1.8433586255014824</v>
      </c>
      <c r="S127" s="505">
        <v>1.8433586255014824</v>
      </c>
      <c r="T127" s="505">
        <v>1.8433586255014824</v>
      </c>
      <c r="U127" s="505">
        <v>1.8433586255014824</v>
      </c>
      <c r="V127" s="505">
        <v>1.8433586255014824</v>
      </c>
      <c r="W127" s="505">
        <v>1.8433586255014824</v>
      </c>
      <c r="X127" s="505">
        <v>1.8433586255014824</v>
      </c>
      <c r="Y127" s="505">
        <v>1.8433586255014824</v>
      </c>
      <c r="Z127" s="505">
        <v>1.8433586255014824</v>
      </c>
      <c r="AA127" s="505">
        <v>1.8433586255014824</v>
      </c>
      <c r="AB127" s="505">
        <v>1.8433586255014824</v>
      </c>
      <c r="AC127" s="505">
        <v>1.8433586255014824</v>
      </c>
    </row>
    <row r="128" spans="1:29">
      <c r="A128" s="459" t="s">
        <v>350</v>
      </c>
      <c r="B128" s="459" t="s">
        <v>611</v>
      </c>
      <c r="C128" s="505">
        <v>1.8529030871906271</v>
      </c>
      <c r="D128" s="505">
        <v>1.8529030871906271</v>
      </c>
      <c r="E128" s="505">
        <v>1.8529030871906271</v>
      </c>
      <c r="F128" s="505">
        <v>1.8529030871906271</v>
      </c>
      <c r="G128" s="505">
        <v>1.8529030871906271</v>
      </c>
      <c r="H128" s="505">
        <v>1.8529030871906271</v>
      </c>
      <c r="I128" s="505">
        <v>1.8529030871906271</v>
      </c>
      <c r="J128" s="505">
        <v>1.8529030871906271</v>
      </c>
      <c r="K128" s="505">
        <v>1.8529030871906271</v>
      </c>
      <c r="L128" s="505">
        <v>1.8529030871906271</v>
      </c>
      <c r="M128" s="505">
        <v>1.8529030871906271</v>
      </c>
      <c r="N128" s="505">
        <v>1.8529030871906271</v>
      </c>
      <c r="O128" s="505">
        <v>1.8529030871906271</v>
      </c>
      <c r="P128" s="505">
        <v>1.8529030871906271</v>
      </c>
      <c r="Q128" s="505">
        <v>1.8529030871906271</v>
      </c>
      <c r="R128" s="505">
        <v>1.8529030871906271</v>
      </c>
      <c r="S128" s="505">
        <v>1.8529030871906271</v>
      </c>
      <c r="T128" s="505">
        <v>1.8529030871906271</v>
      </c>
      <c r="U128" s="505">
        <v>1.8529030871906271</v>
      </c>
      <c r="V128" s="505">
        <v>1.8529030871906271</v>
      </c>
      <c r="W128" s="505">
        <v>1.8529030871906271</v>
      </c>
      <c r="X128" s="505">
        <v>1.8529030871906271</v>
      </c>
      <c r="Y128" s="505">
        <v>1.8529030871906271</v>
      </c>
      <c r="Z128" s="505">
        <v>1.8529030871906271</v>
      </c>
      <c r="AA128" s="505">
        <v>1.8529030871906271</v>
      </c>
      <c r="AB128" s="505">
        <v>1.8529030871906271</v>
      </c>
      <c r="AC128" s="505">
        <v>1.8529030871906271</v>
      </c>
    </row>
    <row r="129" spans="1:29">
      <c r="A129" s="458" t="s">
        <v>351</v>
      </c>
      <c r="B129" s="458" t="s">
        <v>611</v>
      </c>
      <c r="C129" s="506">
        <v>2.076438345513917</v>
      </c>
      <c r="D129" s="506">
        <v>2.076438345513917</v>
      </c>
      <c r="E129" s="506">
        <v>2.076438345513917</v>
      </c>
      <c r="F129" s="506">
        <v>2.076438345513917</v>
      </c>
      <c r="G129" s="506">
        <v>2.076438345513917</v>
      </c>
      <c r="H129" s="506">
        <v>2.076438345513917</v>
      </c>
      <c r="I129" s="506">
        <v>2.076438345513917</v>
      </c>
      <c r="J129" s="506">
        <v>2.076438345513917</v>
      </c>
      <c r="K129" s="506">
        <v>2.076438345513917</v>
      </c>
      <c r="L129" s="506">
        <v>2.076438345513917</v>
      </c>
      <c r="M129" s="506">
        <v>2.076438345513917</v>
      </c>
      <c r="N129" s="506">
        <v>2.076438345513917</v>
      </c>
      <c r="O129" s="506">
        <v>2.076438345513917</v>
      </c>
      <c r="P129" s="506">
        <v>2.076438345513917</v>
      </c>
      <c r="Q129" s="506">
        <v>2.076438345513917</v>
      </c>
      <c r="R129" s="506">
        <v>2.076438345513917</v>
      </c>
      <c r="S129" s="506">
        <v>2.076438345513917</v>
      </c>
      <c r="T129" s="506">
        <v>2.076438345513917</v>
      </c>
      <c r="U129" s="506">
        <v>2.076438345513917</v>
      </c>
      <c r="V129" s="506">
        <v>2.076438345513917</v>
      </c>
      <c r="W129" s="506">
        <v>2.076438345513917</v>
      </c>
      <c r="X129" s="506">
        <v>2.076438345513917</v>
      </c>
      <c r="Y129" s="506">
        <v>2.076438345513917</v>
      </c>
      <c r="Z129" s="506">
        <v>2.076438345513917</v>
      </c>
      <c r="AA129" s="506">
        <v>2.076438345513917</v>
      </c>
      <c r="AB129" s="506">
        <v>2.076438345513917</v>
      </c>
      <c r="AC129" s="506">
        <v>2.076438345513917</v>
      </c>
    </row>
    <row r="130" spans="1:29">
      <c r="A130" s="510" t="s">
        <v>615</v>
      </c>
      <c r="C130" s="459"/>
    </row>
    <row r="132" spans="1:29" s="459" customFormat="1"/>
    <row r="134" spans="1:29" ht="15.6">
      <c r="A134" s="425" t="s">
        <v>609</v>
      </c>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spans="1:29">
      <c r="A135" s="131" t="s">
        <v>606</v>
      </c>
      <c r="B135" s="131" t="s">
        <v>64</v>
      </c>
      <c r="C135" s="131" t="str">
        <f t="shared" ref="C135:AC135" si="49">C122</f>
        <v>IE</v>
      </c>
      <c r="D135" s="131" t="str">
        <f t="shared" si="49"/>
        <v>IE-CW</v>
      </c>
      <c r="E135" s="131" t="str">
        <f t="shared" si="49"/>
        <v>IE-D</v>
      </c>
      <c r="F135" s="131" t="str">
        <f t="shared" si="49"/>
        <v>IE-KE</v>
      </c>
      <c r="G135" s="131" t="str">
        <f t="shared" si="49"/>
        <v>IE-KK</v>
      </c>
      <c r="H135" s="131" t="str">
        <f t="shared" si="49"/>
        <v>IE-LS</v>
      </c>
      <c r="I135" s="131" t="str">
        <f t="shared" si="49"/>
        <v>IE-LD</v>
      </c>
      <c r="J135" s="131" t="str">
        <f t="shared" si="49"/>
        <v>IE-LH</v>
      </c>
      <c r="K135" s="131" t="str">
        <f t="shared" si="49"/>
        <v>IE-MH</v>
      </c>
      <c r="L135" s="131" t="str">
        <f t="shared" si="49"/>
        <v>IE-OY</v>
      </c>
      <c r="M135" s="131" t="str">
        <f t="shared" si="49"/>
        <v>IE-WH</v>
      </c>
      <c r="N135" s="131" t="str">
        <f t="shared" si="49"/>
        <v>IE-WX</v>
      </c>
      <c r="O135" s="131" t="str">
        <f t="shared" si="49"/>
        <v>IE-WW</v>
      </c>
      <c r="P135" s="131" t="str">
        <f t="shared" si="49"/>
        <v>IE-CE</v>
      </c>
      <c r="Q135" s="131" t="str">
        <f t="shared" si="49"/>
        <v>IE-CO</v>
      </c>
      <c r="R135" s="131" t="str">
        <f t="shared" si="49"/>
        <v>IE-KY</v>
      </c>
      <c r="S135" s="131" t="str">
        <f t="shared" si="49"/>
        <v>IE-LK</v>
      </c>
      <c r="T135" s="131" t="str">
        <f t="shared" si="49"/>
        <v>IE-TA</v>
      </c>
      <c r="U135" s="131" t="str">
        <f t="shared" si="49"/>
        <v>IE-WD</v>
      </c>
      <c r="V135" s="131" t="str">
        <f t="shared" si="49"/>
        <v>IE-G</v>
      </c>
      <c r="W135" s="131" t="str">
        <f t="shared" si="49"/>
        <v>IE-LM</v>
      </c>
      <c r="X135" s="131" t="str">
        <f t="shared" si="49"/>
        <v>IE-MO</v>
      </c>
      <c r="Y135" s="131" t="str">
        <f t="shared" si="49"/>
        <v>IE-RN</v>
      </c>
      <c r="Z135" s="131" t="str">
        <f t="shared" si="49"/>
        <v>IE-SO</v>
      </c>
      <c r="AA135" s="131" t="str">
        <f t="shared" si="49"/>
        <v>IE-CN</v>
      </c>
      <c r="AB135" s="131" t="str">
        <f t="shared" si="49"/>
        <v>IE-DL</v>
      </c>
      <c r="AC135" s="131" t="str">
        <f t="shared" si="49"/>
        <v>IE-MN</v>
      </c>
    </row>
    <row r="136" spans="1:29">
      <c r="A136" s="459" t="s">
        <v>627</v>
      </c>
      <c r="B136" s="459" t="s">
        <v>611</v>
      </c>
      <c r="C136" s="505">
        <f t="shared" ref="C136:AC136" si="50">SUMPRODUCT(C110:C116,C123:C129)</f>
        <v>1.7022463273155841</v>
      </c>
      <c r="D136" s="505">
        <f t="shared" si="50"/>
        <v>1.6998970075247635</v>
      </c>
      <c r="E136" s="505">
        <f t="shared" si="50"/>
        <v>1.707078344636435</v>
      </c>
      <c r="F136" s="505">
        <f t="shared" si="50"/>
        <v>1.6998384354477898</v>
      </c>
      <c r="G136" s="505">
        <f t="shared" si="50"/>
        <v>1.6957199485282941</v>
      </c>
      <c r="H136" s="505">
        <f t="shared" si="50"/>
        <v>1.6985255448399943</v>
      </c>
      <c r="I136" s="505">
        <f t="shared" si="50"/>
        <v>1.6976558910392572</v>
      </c>
      <c r="J136" s="505">
        <f t="shared" si="50"/>
        <v>1.6867379257497728</v>
      </c>
      <c r="K136" s="505">
        <f t="shared" si="50"/>
        <v>1.7021791945783817</v>
      </c>
      <c r="L136" s="505">
        <f t="shared" si="50"/>
        <v>1.6963837298008513</v>
      </c>
      <c r="M136" s="505">
        <f t="shared" si="50"/>
        <v>1.6968438030251216</v>
      </c>
      <c r="N136" s="505">
        <f t="shared" si="50"/>
        <v>1.6937089742036608</v>
      </c>
      <c r="O136" s="505">
        <f t="shared" si="50"/>
        <v>1.7043280433302512</v>
      </c>
      <c r="P136" s="505">
        <f t="shared" si="50"/>
        <v>1.7041583991355798</v>
      </c>
      <c r="Q136" s="505">
        <f t="shared" si="50"/>
        <v>1.7007269338927373</v>
      </c>
      <c r="R136" s="505">
        <f t="shared" si="50"/>
        <v>1.7064908319551184</v>
      </c>
      <c r="S136" s="505">
        <f t="shared" si="50"/>
        <v>1.7017970792260606</v>
      </c>
      <c r="T136" s="505">
        <f t="shared" si="50"/>
        <v>1.699965161824657</v>
      </c>
      <c r="U136" s="505">
        <f t="shared" si="50"/>
        <v>1.6924278720495911</v>
      </c>
      <c r="V136" s="505">
        <f t="shared" si="50"/>
        <v>1.7085214463396043</v>
      </c>
      <c r="W136" s="505">
        <f t="shared" si="50"/>
        <v>1.6964802724054577</v>
      </c>
      <c r="X136" s="505">
        <f t="shared" si="50"/>
        <v>1.7049765419025793</v>
      </c>
      <c r="Y136" s="505">
        <f t="shared" si="50"/>
        <v>1.6825853781247959</v>
      </c>
      <c r="Z136" s="505">
        <f t="shared" si="50"/>
        <v>1.6981794141448161</v>
      </c>
      <c r="AA136" s="505">
        <f t="shared" si="50"/>
        <v>1.6982565627355217</v>
      </c>
      <c r="AB136" s="505">
        <f t="shared" si="50"/>
        <v>1.6984300275564468</v>
      </c>
      <c r="AC136" s="505">
        <f t="shared" si="50"/>
        <v>1.6991539675987215</v>
      </c>
    </row>
    <row r="137" spans="1:29">
      <c r="A137" s="458"/>
      <c r="B137" s="458" t="s">
        <v>599</v>
      </c>
      <c r="C137" s="508">
        <f>1000/C136</f>
        <v>587.45904394282604</v>
      </c>
      <c r="D137" s="508">
        <f>1000/D136</f>
        <v>588.2709338115194</v>
      </c>
      <c r="E137" s="508">
        <f>1000/E136</f>
        <v>585.79619567078214</v>
      </c>
      <c r="F137" s="508">
        <f>1000/F136</f>
        <v>588.29120412056648</v>
      </c>
      <c r="G137" s="508">
        <f t="shared" ref="G137:AC137" si="51">1000/G136</f>
        <v>589.72001884385122</v>
      </c>
      <c r="H137" s="508">
        <f t="shared" si="51"/>
        <v>588.7459291018215</v>
      </c>
      <c r="I137" s="508">
        <f t="shared" si="51"/>
        <v>589.04752445905171</v>
      </c>
      <c r="J137" s="508">
        <f t="shared" si="51"/>
        <v>592.86032805332786</v>
      </c>
      <c r="K137" s="508">
        <f t="shared" si="51"/>
        <v>587.48221290984191</v>
      </c>
      <c r="L137" s="508">
        <f t="shared" si="51"/>
        <v>589.48926615642324</v>
      </c>
      <c r="M137" s="508">
        <f t="shared" si="51"/>
        <v>589.32943516498506</v>
      </c>
      <c r="N137" s="508">
        <f t="shared" si="51"/>
        <v>590.42020514189858</v>
      </c>
      <c r="O137" s="508">
        <f t="shared" si="51"/>
        <v>586.74150432096587</v>
      </c>
      <c r="P137" s="508">
        <f t="shared" si="51"/>
        <v>586.79991279404646</v>
      </c>
      <c r="Q137" s="508">
        <f t="shared" si="51"/>
        <v>587.9838674108214</v>
      </c>
      <c r="R137" s="508">
        <f t="shared" si="51"/>
        <v>585.99787427765125</v>
      </c>
      <c r="S137" s="508">
        <f t="shared" si="51"/>
        <v>587.61412403808902</v>
      </c>
      <c r="T137" s="508">
        <f t="shared" si="51"/>
        <v>588.24734909664289</v>
      </c>
      <c r="U137" s="508">
        <f t="shared" si="51"/>
        <v>590.8671303013723</v>
      </c>
      <c r="V137" s="508">
        <f t="shared" si="51"/>
        <v>585.30140323519777</v>
      </c>
      <c r="W137" s="508">
        <f t="shared" si="51"/>
        <v>589.45571974267</v>
      </c>
      <c r="X137" s="508">
        <f t="shared" si="51"/>
        <v>586.51833349220294</v>
      </c>
      <c r="Y137" s="508">
        <f t="shared" si="51"/>
        <v>594.32348159026424</v>
      </c>
      <c r="Z137" s="508">
        <f t="shared" si="51"/>
        <v>588.86592998984656</v>
      </c>
      <c r="AA137" s="508">
        <f t="shared" si="51"/>
        <v>588.83917892195132</v>
      </c>
      <c r="AB137" s="508">
        <f t="shared" si="51"/>
        <v>588.77903933358562</v>
      </c>
      <c r="AC137" s="508">
        <f t="shared" si="51"/>
        <v>588.52818465487269</v>
      </c>
    </row>
    <row r="140" spans="1:29">
      <c r="A140" s="511"/>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row>
    <row r="141" spans="1:29" ht="15.6">
      <c r="A141" s="425" t="s">
        <v>612</v>
      </c>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c r="AC141" s="459"/>
    </row>
    <row r="142" spans="1:29">
      <c r="A142" s="131" t="s">
        <v>606</v>
      </c>
      <c r="B142" s="131" t="s">
        <v>64</v>
      </c>
      <c r="C142" s="131" t="str">
        <f t="shared" ref="C142:AC142" si="52">C135</f>
        <v>IE</v>
      </c>
      <c r="D142" s="131" t="str">
        <f t="shared" si="52"/>
        <v>IE-CW</v>
      </c>
      <c r="E142" s="131" t="str">
        <f t="shared" si="52"/>
        <v>IE-D</v>
      </c>
      <c r="F142" s="131" t="str">
        <f t="shared" si="52"/>
        <v>IE-KE</v>
      </c>
      <c r="G142" s="131" t="str">
        <f t="shared" si="52"/>
        <v>IE-KK</v>
      </c>
      <c r="H142" s="131" t="str">
        <f t="shared" si="52"/>
        <v>IE-LS</v>
      </c>
      <c r="I142" s="131" t="str">
        <f t="shared" si="52"/>
        <v>IE-LD</v>
      </c>
      <c r="J142" s="131" t="str">
        <f t="shared" si="52"/>
        <v>IE-LH</v>
      </c>
      <c r="K142" s="131" t="str">
        <f t="shared" si="52"/>
        <v>IE-MH</v>
      </c>
      <c r="L142" s="131" t="str">
        <f t="shared" si="52"/>
        <v>IE-OY</v>
      </c>
      <c r="M142" s="131" t="str">
        <f t="shared" si="52"/>
        <v>IE-WH</v>
      </c>
      <c r="N142" s="131" t="str">
        <f t="shared" si="52"/>
        <v>IE-WX</v>
      </c>
      <c r="O142" s="131" t="str">
        <f t="shared" si="52"/>
        <v>IE-WW</v>
      </c>
      <c r="P142" s="131" t="str">
        <f t="shared" si="52"/>
        <v>IE-CE</v>
      </c>
      <c r="Q142" s="131" t="str">
        <f t="shared" si="52"/>
        <v>IE-CO</v>
      </c>
      <c r="R142" s="131" t="str">
        <f t="shared" si="52"/>
        <v>IE-KY</v>
      </c>
      <c r="S142" s="131" t="str">
        <f t="shared" si="52"/>
        <v>IE-LK</v>
      </c>
      <c r="T142" s="131" t="str">
        <f t="shared" si="52"/>
        <v>IE-TA</v>
      </c>
      <c r="U142" s="131" t="str">
        <f t="shared" si="52"/>
        <v>IE-WD</v>
      </c>
      <c r="V142" s="131" t="str">
        <f t="shared" si="52"/>
        <v>IE-G</v>
      </c>
      <c r="W142" s="131" t="str">
        <f t="shared" si="52"/>
        <v>IE-LM</v>
      </c>
      <c r="X142" s="131" t="str">
        <f t="shared" si="52"/>
        <v>IE-MO</v>
      </c>
      <c r="Y142" s="131" t="str">
        <f t="shared" si="52"/>
        <v>IE-RN</v>
      </c>
      <c r="Z142" s="131" t="str">
        <f t="shared" si="52"/>
        <v>IE-SO</v>
      </c>
      <c r="AA142" s="131" t="str">
        <f t="shared" si="52"/>
        <v>IE-CN</v>
      </c>
      <c r="AB142" s="131" t="str">
        <f t="shared" si="52"/>
        <v>IE-DL</v>
      </c>
      <c r="AC142" s="131" t="str">
        <f t="shared" si="52"/>
        <v>IE-MN</v>
      </c>
    </row>
    <row r="143" spans="1:29">
      <c r="A143" s="459" t="s">
        <v>345</v>
      </c>
      <c r="B143" s="459" t="s">
        <v>531</v>
      </c>
      <c r="C143" s="36">
        <f>SUM(D143:AC143)</f>
        <v>179</v>
      </c>
      <c r="D143" s="459">
        <v>1</v>
      </c>
      <c r="E143" s="459">
        <v>80</v>
      </c>
      <c r="F143" s="459">
        <v>6</v>
      </c>
      <c r="G143" s="459">
        <v>2</v>
      </c>
      <c r="H143" s="459">
        <v>1</v>
      </c>
      <c r="I143" s="459">
        <v>1</v>
      </c>
      <c r="J143" s="459">
        <v>4</v>
      </c>
      <c r="K143" s="459">
        <v>4</v>
      </c>
      <c r="L143" s="459">
        <v>2</v>
      </c>
      <c r="M143" s="459">
        <v>5</v>
      </c>
      <c r="N143" s="459">
        <v>5</v>
      </c>
      <c r="O143" s="459">
        <v>3</v>
      </c>
      <c r="P143" s="459">
        <v>5</v>
      </c>
      <c r="Q143" s="459">
        <v>16</v>
      </c>
      <c r="R143" s="459">
        <v>4</v>
      </c>
      <c r="S143" s="459">
        <v>2</v>
      </c>
      <c r="T143" s="459">
        <v>7</v>
      </c>
      <c r="U143" s="459">
        <v>3</v>
      </c>
      <c r="V143" s="459">
        <v>12</v>
      </c>
      <c r="W143" s="459">
        <v>0</v>
      </c>
      <c r="X143" s="459">
        <v>3</v>
      </c>
      <c r="Y143" s="459">
        <v>0</v>
      </c>
      <c r="Z143" s="459">
        <v>2</v>
      </c>
      <c r="AA143" s="459">
        <v>2</v>
      </c>
      <c r="AB143" s="459">
        <v>4</v>
      </c>
      <c r="AC143" s="459">
        <v>5</v>
      </c>
    </row>
    <row r="144" spans="1:29">
      <c r="A144" s="459" t="s">
        <v>346</v>
      </c>
      <c r="B144" s="459" t="s">
        <v>531</v>
      </c>
      <c r="C144" s="36">
        <f t="shared" ref="C144:C149" si="53">SUM(D144:AC144)</f>
        <v>3839</v>
      </c>
      <c r="D144" s="459">
        <v>67</v>
      </c>
      <c r="E144" s="459">
        <v>576</v>
      </c>
      <c r="F144" s="459">
        <v>244</v>
      </c>
      <c r="G144" s="459">
        <v>148</v>
      </c>
      <c r="H144" s="459">
        <v>91</v>
      </c>
      <c r="I144" s="459">
        <v>54</v>
      </c>
      <c r="J144" s="459">
        <v>166</v>
      </c>
      <c r="K144" s="459">
        <v>155</v>
      </c>
      <c r="L144" s="459">
        <v>82</v>
      </c>
      <c r="M144" s="459">
        <v>112</v>
      </c>
      <c r="N144" s="459">
        <v>157</v>
      </c>
      <c r="O144" s="459">
        <v>142</v>
      </c>
      <c r="P144" s="459">
        <v>115</v>
      </c>
      <c r="Q144" s="459">
        <v>539</v>
      </c>
      <c r="R144" s="459">
        <v>95</v>
      </c>
      <c r="S144" s="459">
        <v>133</v>
      </c>
      <c r="T144" s="459">
        <v>142</v>
      </c>
      <c r="U144" s="459">
        <v>118</v>
      </c>
      <c r="V144" s="459">
        <v>156</v>
      </c>
      <c r="W144" s="459">
        <v>34</v>
      </c>
      <c r="X144" s="459">
        <v>107</v>
      </c>
      <c r="Y144" s="459">
        <v>64</v>
      </c>
      <c r="Z144" s="459">
        <v>55</v>
      </c>
      <c r="AA144" s="459">
        <v>61</v>
      </c>
      <c r="AB144" s="459">
        <v>140</v>
      </c>
      <c r="AC144" s="459">
        <v>86</v>
      </c>
    </row>
    <row r="145" spans="1:29">
      <c r="A145" s="459" t="s">
        <v>347</v>
      </c>
      <c r="B145" s="459" t="s">
        <v>531</v>
      </c>
      <c r="C145" s="36">
        <f t="shared" si="53"/>
        <v>81390</v>
      </c>
      <c r="D145" s="459">
        <v>1237</v>
      </c>
      <c r="E145" s="459">
        <v>9493</v>
      </c>
      <c r="F145" s="459">
        <v>3439</v>
      </c>
      <c r="G145" s="459">
        <v>2169</v>
      </c>
      <c r="H145" s="459">
        <v>1551</v>
      </c>
      <c r="I145" s="459">
        <v>909</v>
      </c>
      <c r="J145" s="459">
        <v>2423</v>
      </c>
      <c r="K145" s="459">
        <v>3563</v>
      </c>
      <c r="L145" s="459">
        <v>1912</v>
      </c>
      <c r="M145" s="459">
        <v>2040</v>
      </c>
      <c r="N145" s="459">
        <v>3371</v>
      </c>
      <c r="O145" s="459">
        <v>2275</v>
      </c>
      <c r="P145" s="459">
        <v>2575</v>
      </c>
      <c r="Q145" s="459">
        <v>10919</v>
      </c>
      <c r="R145" s="459">
        <v>3257</v>
      </c>
      <c r="S145" s="459">
        <v>4069</v>
      </c>
      <c r="T145" s="459">
        <v>3965</v>
      </c>
      <c r="U145" s="459">
        <v>2052</v>
      </c>
      <c r="V145" s="459">
        <v>4975</v>
      </c>
      <c r="W145" s="459">
        <v>750</v>
      </c>
      <c r="X145" s="459">
        <v>3380</v>
      </c>
      <c r="Y145" s="459">
        <v>1784</v>
      </c>
      <c r="Z145" s="459">
        <v>1336</v>
      </c>
      <c r="AA145" s="459">
        <v>1897</v>
      </c>
      <c r="AB145" s="459">
        <v>4575</v>
      </c>
      <c r="AC145" s="459">
        <v>1474</v>
      </c>
    </row>
    <row r="146" spans="1:29">
      <c r="A146" s="459" t="s">
        <v>348</v>
      </c>
      <c r="B146" s="459" t="s">
        <v>531</v>
      </c>
      <c r="C146" s="36">
        <f>SUM(D146:AC146)</f>
        <v>444692</v>
      </c>
      <c r="D146" s="459">
        <v>6881</v>
      </c>
      <c r="E146" s="459">
        <v>88739</v>
      </c>
      <c r="F146" s="459">
        <v>22962</v>
      </c>
      <c r="G146" s="459">
        <v>10824</v>
      </c>
      <c r="H146" s="459">
        <v>8987</v>
      </c>
      <c r="I146" s="459">
        <v>3898</v>
      </c>
      <c r="J146" s="459">
        <v>12590</v>
      </c>
      <c r="K146" s="459">
        <v>21168</v>
      </c>
      <c r="L146" s="459">
        <v>8883</v>
      </c>
      <c r="M146" s="459">
        <v>10196</v>
      </c>
      <c r="N146" s="459">
        <v>19196</v>
      </c>
      <c r="O146" s="459">
        <v>13033</v>
      </c>
      <c r="P146" s="459">
        <v>13659</v>
      </c>
      <c r="Q146" s="459">
        <v>52972</v>
      </c>
      <c r="R146" s="459">
        <v>15197</v>
      </c>
      <c r="S146" s="459">
        <v>19158</v>
      </c>
      <c r="T146" s="459">
        <v>18862</v>
      </c>
      <c r="U146" s="459">
        <v>12753</v>
      </c>
      <c r="V146" s="459">
        <v>24375</v>
      </c>
      <c r="W146" s="459">
        <v>3430</v>
      </c>
      <c r="X146" s="459">
        <v>13427</v>
      </c>
      <c r="Y146" s="459">
        <v>8411</v>
      </c>
      <c r="Z146" s="459">
        <v>6163</v>
      </c>
      <c r="AA146" s="459">
        <v>7969</v>
      </c>
      <c r="AB146" s="459">
        <v>14643</v>
      </c>
      <c r="AC146" s="459">
        <v>6316</v>
      </c>
    </row>
    <row r="147" spans="1:29">
      <c r="A147" s="459" t="s">
        <v>349</v>
      </c>
      <c r="B147" s="459" t="s">
        <v>531</v>
      </c>
      <c r="C147" s="36">
        <f t="shared" si="53"/>
        <v>89775</v>
      </c>
      <c r="D147" s="459">
        <v>1290</v>
      </c>
      <c r="E147" s="459">
        <v>17628</v>
      </c>
      <c r="F147" s="459">
        <v>4928</v>
      </c>
      <c r="G147" s="459">
        <v>2198</v>
      </c>
      <c r="H147" s="459">
        <v>1869</v>
      </c>
      <c r="I147" s="459">
        <v>888</v>
      </c>
      <c r="J147" s="459">
        <v>2315</v>
      </c>
      <c r="K147" s="459">
        <v>4045</v>
      </c>
      <c r="L147" s="459">
        <v>1636</v>
      </c>
      <c r="M147" s="459">
        <v>2067</v>
      </c>
      <c r="N147" s="459">
        <v>3248</v>
      </c>
      <c r="O147" s="459">
        <v>2633</v>
      </c>
      <c r="P147" s="459">
        <v>2374</v>
      </c>
      <c r="Q147" s="459">
        <v>11232</v>
      </c>
      <c r="R147" s="459">
        <v>3485</v>
      </c>
      <c r="S147" s="459">
        <v>3733</v>
      </c>
      <c r="T147" s="459">
        <v>3391</v>
      </c>
      <c r="U147" s="459">
        <v>2005</v>
      </c>
      <c r="V147" s="459">
        <v>5409</v>
      </c>
      <c r="W147" s="459">
        <v>743</v>
      </c>
      <c r="X147" s="459">
        <v>3143</v>
      </c>
      <c r="Y147" s="459">
        <v>1380</v>
      </c>
      <c r="Z147" s="459">
        <v>1419</v>
      </c>
      <c r="AA147" s="459">
        <v>1536</v>
      </c>
      <c r="AB147" s="459">
        <v>3578</v>
      </c>
      <c r="AC147" s="459">
        <v>1602</v>
      </c>
    </row>
    <row r="148" spans="1:29">
      <c r="A148" s="459" t="s">
        <v>350</v>
      </c>
      <c r="B148" s="459" t="s">
        <v>531</v>
      </c>
      <c r="C148" s="36">
        <f t="shared" si="53"/>
        <v>413535</v>
      </c>
      <c r="D148" s="459">
        <v>6579</v>
      </c>
      <c r="E148" s="459">
        <v>82131</v>
      </c>
      <c r="F148" s="459">
        <v>19797</v>
      </c>
      <c r="G148" s="459">
        <v>9208</v>
      </c>
      <c r="H148" s="459">
        <v>7889</v>
      </c>
      <c r="I148" s="459">
        <v>4791</v>
      </c>
      <c r="J148" s="459">
        <v>10149</v>
      </c>
      <c r="K148" s="459">
        <v>18487</v>
      </c>
      <c r="L148" s="459">
        <v>7788</v>
      </c>
      <c r="M148" s="459">
        <v>9942</v>
      </c>
      <c r="N148" s="459">
        <v>15412</v>
      </c>
      <c r="O148" s="459">
        <v>12254</v>
      </c>
      <c r="P148" s="459">
        <v>11483</v>
      </c>
      <c r="Q148" s="459">
        <v>46696</v>
      </c>
      <c r="R148" s="459">
        <v>14446</v>
      </c>
      <c r="S148" s="459">
        <v>17149</v>
      </c>
      <c r="T148" s="459">
        <v>17769</v>
      </c>
      <c r="U148" s="459">
        <v>10224</v>
      </c>
      <c r="V148" s="459">
        <v>26486</v>
      </c>
      <c r="W148" s="459">
        <v>4007</v>
      </c>
      <c r="X148" s="459">
        <v>15375</v>
      </c>
      <c r="Y148" s="459">
        <v>7542</v>
      </c>
      <c r="Z148" s="459">
        <v>7023</v>
      </c>
      <c r="AA148" s="459">
        <v>8032</v>
      </c>
      <c r="AB148" s="459">
        <v>15928</v>
      </c>
      <c r="AC148" s="459">
        <v>6948</v>
      </c>
    </row>
    <row r="149" spans="1:29">
      <c r="A149" s="459" t="s">
        <v>351</v>
      </c>
      <c r="B149" s="459" t="s">
        <v>531</v>
      </c>
      <c r="C149" s="36">
        <f t="shared" si="53"/>
        <v>95994</v>
      </c>
      <c r="D149" s="459">
        <v>1330</v>
      </c>
      <c r="E149" s="459">
        <v>27059</v>
      </c>
      <c r="F149" s="459">
        <v>5458</v>
      </c>
      <c r="G149" s="459">
        <v>2125</v>
      </c>
      <c r="H149" s="459">
        <v>1670</v>
      </c>
      <c r="I149" s="459">
        <v>729</v>
      </c>
      <c r="J149" s="459">
        <v>2300</v>
      </c>
      <c r="K149" s="459">
        <v>5002</v>
      </c>
      <c r="L149" s="459">
        <v>1482</v>
      </c>
      <c r="M149" s="459">
        <v>1751</v>
      </c>
      <c r="N149" s="459">
        <v>3582</v>
      </c>
      <c r="O149" s="459">
        <v>3855</v>
      </c>
      <c r="P149" s="459">
        <v>2373</v>
      </c>
      <c r="Q149" s="459">
        <v>9921</v>
      </c>
      <c r="R149" s="459">
        <v>2763</v>
      </c>
      <c r="S149" s="459">
        <v>3609</v>
      </c>
      <c r="T149" s="459">
        <v>3578</v>
      </c>
      <c r="U149" s="459">
        <v>2519</v>
      </c>
      <c r="V149" s="459">
        <v>4924</v>
      </c>
      <c r="W149" s="459">
        <v>490</v>
      </c>
      <c r="X149" s="459">
        <v>2559</v>
      </c>
      <c r="Y149" s="459">
        <v>1067</v>
      </c>
      <c r="Z149" s="459">
        <v>995</v>
      </c>
      <c r="AA149" s="459">
        <v>1393</v>
      </c>
      <c r="AB149" s="459">
        <v>2257</v>
      </c>
      <c r="AC149" s="459">
        <v>1203</v>
      </c>
    </row>
    <row r="150" spans="1:29">
      <c r="A150" s="458" t="s">
        <v>16</v>
      </c>
      <c r="B150" s="458" t="s">
        <v>531</v>
      </c>
      <c r="C150" s="504">
        <f>SUM(D150:AC150)</f>
        <v>1129404</v>
      </c>
      <c r="D150" s="504">
        <f t="shared" ref="D150:AC150" si="54">SUM(D143:D149)</f>
        <v>17385</v>
      </c>
      <c r="E150" s="504">
        <f t="shared" si="54"/>
        <v>225706</v>
      </c>
      <c r="F150" s="504">
        <f t="shared" si="54"/>
        <v>56834</v>
      </c>
      <c r="G150" s="504">
        <f t="shared" si="54"/>
        <v>26674</v>
      </c>
      <c r="H150" s="504">
        <f t="shared" si="54"/>
        <v>22058</v>
      </c>
      <c r="I150" s="504">
        <f t="shared" si="54"/>
        <v>11270</v>
      </c>
      <c r="J150" s="504">
        <f t="shared" si="54"/>
        <v>29947</v>
      </c>
      <c r="K150" s="504">
        <f t="shared" si="54"/>
        <v>52424</v>
      </c>
      <c r="L150" s="504">
        <f t="shared" si="54"/>
        <v>21785</v>
      </c>
      <c r="M150" s="504">
        <f t="shared" si="54"/>
        <v>26113</v>
      </c>
      <c r="N150" s="504">
        <f t="shared" si="54"/>
        <v>44971</v>
      </c>
      <c r="O150" s="504">
        <f t="shared" si="54"/>
        <v>34195</v>
      </c>
      <c r="P150" s="504">
        <f t="shared" si="54"/>
        <v>32584</v>
      </c>
      <c r="Q150" s="504">
        <f t="shared" si="54"/>
        <v>132295</v>
      </c>
      <c r="R150" s="504">
        <f t="shared" si="54"/>
        <v>39247</v>
      </c>
      <c r="S150" s="504">
        <f t="shared" si="54"/>
        <v>47853</v>
      </c>
      <c r="T150" s="504">
        <f t="shared" si="54"/>
        <v>47714</v>
      </c>
      <c r="U150" s="504">
        <f t="shared" si="54"/>
        <v>29674</v>
      </c>
      <c r="V150" s="504">
        <f t="shared" si="54"/>
        <v>66337</v>
      </c>
      <c r="W150" s="504">
        <f t="shared" si="54"/>
        <v>9454</v>
      </c>
      <c r="X150" s="504">
        <f t="shared" si="54"/>
        <v>37994</v>
      </c>
      <c r="Y150" s="504">
        <f t="shared" si="54"/>
        <v>20248</v>
      </c>
      <c r="Z150" s="504">
        <f t="shared" si="54"/>
        <v>16993</v>
      </c>
      <c r="AA150" s="504">
        <f t="shared" si="54"/>
        <v>20890</v>
      </c>
      <c r="AB150" s="504">
        <f t="shared" si="54"/>
        <v>41125</v>
      </c>
      <c r="AC150" s="504">
        <f t="shared" si="54"/>
        <v>17634</v>
      </c>
    </row>
    <row r="151" spans="1:29">
      <c r="A151" s="459" t="s">
        <v>617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c r="AC152" s="459"/>
    </row>
    <row r="153" spans="1:29">
      <c r="A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c r="AC153" s="459"/>
    </row>
    <row r="154" spans="1:29">
      <c r="A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c r="AC154" s="459"/>
    </row>
    <row r="155" spans="1:29" ht="15.6">
      <c r="A155" s="425" t="s">
        <v>613</v>
      </c>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c r="AC155" s="459"/>
    </row>
    <row r="156" spans="1:29">
      <c r="A156" s="131" t="s">
        <v>606</v>
      </c>
      <c r="B156" s="131" t="s">
        <v>64</v>
      </c>
      <c r="C156" s="131" t="str">
        <f>C142</f>
        <v>IE</v>
      </c>
      <c r="D156" s="131" t="str">
        <f t="shared" ref="D156:AC156" si="55">D142</f>
        <v>IE-CW</v>
      </c>
      <c r="E156" s="131" t="str">
        <f t="shared" si="55"/>
        <v>IE-D</v>
      </c>
      <c r="F156" s="131" t="str">
        <f t="shared" si="55"/>
        <v>IE-KE</v>
      </c>
      <c r="G156" s="131" t="str">
        <f t="shared" si="55"/>
        <v>IE-KK</v>
      </c>
      <c r="H156" s="131" t="str">
        <f t="shared" si="55"/>
        <v>IE-LS</v>
      </c>
      <c r="I156" s="131" t="str">
        <f t="shared" si="55"/>
        <v>IE-LD</v>
      </c>
      <c r="J156" s="131" t="str">
        <f t="shared" si="55"/>
        <v>IE-LH</v>
      </c>
      <c r="K156" s="131" t="str">
        <f t="shared" si="55"/>
        <v>IE-MH</v>
      </c>
      <c r="L156" s="131" t="str">
        <f t="shared" si="55"/>
        <v>IE-OY</v>
      </c>
      <c r="M156" s="131" t="str">
        <f t="shared" si="55"/>
        <v>IE-WH</v>
      </c>
      <c r="N156" s="131" t="str">
        <f t="shared" si="55"/>
        <v>IE-WX</v>
      </c>
      <c r="O156" s="131" t="str">
        <f t="shared" si="55"/>
        <v>IE-WW</v>
      </c>
      <c r="P156" s="131" t="str">
        <f t="shared" si="55"/>
        <v>IE-CE</v>
      </c>
      <c r="Q156" s="131" t="str">
        <f t="shared" si="55"/>
        <v>IE-CO</v>
      </c>
      <c r="R156" s="131" t="str">
        <f t="shared" si="55"/>
        <v>IE-KY</v>
      </c>
      <c r="S156" s="131" t="str">
        <f t="shared" si="55"/>
        <v>IE-LK</v>
      </c>
      <c r="T156" s="131" t="str">
        <f t="shared" si="55"/>
        <v>IE-TA</v>
      </c>
      <c r="U156" s="131" t="str">
        <f t="shared" si="55"/>
        <v>IE-WD</v>
      </c>
      <c r="V156" s="131" t="str">
        <f t="shared" si="55"/>
        <v>IE-G</v>
      </c>
      <c r="W156" s="131" t="str">
        <f t="shared" si="55"/>
        <v>IE-LM</v>
      </c>
      <c r="X156" s="131" t="str">
        <f t="shared" si="55"/>
        <v>IE-MO</v>
      </c>
      <c r="Y156" s="131" t="str">
        <f t="shared" si="55"/>
        <v>IE-RN</v>
      </c>
      <c r="Z156" s="131" t="str">
        <f t="shared" si="55"/>
        <v>IE-SO</v>
      </c>
      <c r="AA156" s="131" t="str">
        <f t="shared" si="55"/>
        <v>IE-CN</v>
      </c>
      <c r="AB156" s="131" t="str">
        <f t="shared" si="55"/>
        <v>IE-DL</v>
      </c>
      <c r="AC156" s="131" t="str">
        <f t="shared" si="55"/>
        <v>IE-MN</v>
      </c>
    </row>
    <row r="157" spans="1:29">
      <c r="A157" s="459" t="s">
        <v>345</v>
      </c>
      <c r="B157" s="507" t="s">
        <v>610</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459" t="s">
        <v>346</v>
      </c>
      <c r="B158" s="1" t="s">
        <v>610</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459" t="s">
        <v>347</v>
      </c>
      <c r="B159" s="1" t="s">
        <v>610</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459" t="s">
        <v>348</v>
      </c>
      <c r="B160" s="1" t="s">
        <v>610</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459" t="s">
        <v>349</v>
      </c>
      <c r="B161" s="1" t="s">
        <v>610</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459" t="s">
        <v>350</v>
      </c>
      <c r="B162" s="1" t="s">
        <v>610</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459" t="s">
        <v>351</v>
      </c>
      <c r="B163" s="1" t="s">
        <v>610</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458" t="s">
        <v>16</v>
      </c>
      <c r="B164" s="458" t="s">
        <v>610</v>
      </c>
      <c r="C164" s="403">
        <f t="shared" ref="C164:AC164" si="58">SUM(C157:C163)</f>
        <v>1</v>
      </c>
      <c r="D164" s="403">
        <f t="shared" si="58"/>
        <v>0.99999999999999989</v>
      </c>
      <c r="E164" s="403">
        <f t="shared" si="58"/>
        <v>1</v>
      </c>
      <c r="F164" s="403">
        <f t="shared" si="58"/>
        <v>0.99999999999999989</v>
      </c>
      <c r="G164" s="403">
        <f t="shared" si="58"/>
        <v>1</v>
      </c>
      <c r="H164" s="403">
        <f t="shared" si="58"/>
        <v>1</v>
      </c>
      <c r="I164" s="403">
        <f t="shared" si="58"/>
        <v>1</v>
      </c>
      <c r="J164" s="403">
        <f t="shared" si="58"/>
        <v>1.0000000000000002</v>
      </c>
      <c r="K164" s="403">
        <f t="shared" si="58"/>
        <v>1</v>
      </c>
      <c r="L164" s="403">
        <f t="shared" si="58"/>
        <v>1</v>
      </c>
      <c r="M164" s="403">
        <f t="shared" si="58"/>
        <v>1.0000000000000002</v>
      </c>
      <c r="N164" s="403">
        <f t="shared" si="58"/>
        <v>1</v>
      </c>
      <c r="O164" s="403">
        <f t="shared" si="58"/>
        <v>1</v>
      </c>
      <c r="P164" s="403">
        <f t="shared" si="58"/>
        <v>1</v>
      </c>
      <c r="Q164" s="403">
        <f t="shared" si="58"/>
        <v>1</v>
      </c>
      <c r="R164" s="403">
        <f t="shared" si="58"/>
        <v>1</v>
      </c>
      <c r="S164" s="403">
        <f t="shared" si="58"/>
        <v>1</v>
      </c>
      <c r="T164" s="403">
        <f t="shared" si="58"/>
        <v>1</v>
      </c>
      <c r="U164" s="403">
        <f t="shared" si="58"/>
        <v>1</v>
      </c>
      <c r="V164" s="403">
        <f t="shared" si="58"/>
        <v>1</v>
      </c>
      <c r="W164" s="403">
        <f t="shared" si="58"/>
        <v>1</v>
      </c>
      <c r="X164" s="403">
        <f t="shared" si="58"/>
        <v>0.99999999999999989</v>
      </c>
      <c r="Y164" s="403">
        <f t="shared" si="58"/>
        <v>1</v>
      </c>
      <c r="Z164" s="403">
        <f t="shared" si="58"/>
        <v>0.99999999999999989</v>
      </c>
      <c r="AA164" s="403">
        <f t="shared" si="58"/>
        <v>1</v>
      </c>
      <c r="AB164" s="403">
        <f t="shared" si="58"/>
        <v>1</v>
      </c>
      <c r="AC164" s="403">
        <f t="shared" si="58"/>
        <v>1</v>
      </c>
    </row>
    <row r="165" spans="1:29">
      <c r="A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c r="AC165" s="459"/>
    </row>
    <row r="166" spans="1:29">
      <c r="A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c r="AC166" s="459"/>
    </row>
    <row r="167" spans="1:29">
      <c r="A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row>
    <row r="168" spans="1:29" ht="15.6">
      <c r="A168" s="425" t="s">
        <v>614</v>
      </c>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row>
    <row r="169" spans="1:29">
      <c r="A169" s="131" t="s">
        <v>606</v>
      </c>
      <c r="B169" s="131" t="s">
        <v>64</v>
      </c>
      <c r="C169" s="131" t="str">
        <f>C156</f>
        <v>IE</v>
      </c>
      <c r="D169" s="131" t="str">
        <f t="shared" ref="D169:AC169" si="59">D156</f>
        <v>IE-CW</v>
      </c>
      <c r="E169" s="131" t="str">
        <f t="shared" si="59"/>
        <v>IE-D</v>
      </c>
      <c r="F169" s="131" t="str">
        <f t="shared" si="59"/>
        <v>IE-KE</v>
      </c>
      <c r="G169" s="131" t="str">
        <f t="shared" si="59"/>
        <v>IE-KK</v>
      </c>
      <c r="H169" s="131" t="str">
        <f t="shared" si="59"/>
        <v>IE-LS</v>
      </c>
      <c r="I169" s="131" t="str">
        <f t="shared" si="59"/>
        <v>IE-LD</v>
      </c>
      <c r="J169" s="131" t="str">
        <f t="shared" si="59"/>
        <v>IE-LH</v>
      </c>
      <c r="K169" s="131" t="str">
        <f t="shared" si="59"/>
        <v>IE-MH</v>
      </c>
      <c r="L169" s="131" t="str">
        <f t="shared" si="59"/>
        <v>IE-OY</v>
      </c>
      <c r="M169" s="131" t="str">
        <f t="shared" si="59"/>
        <v>IE-WH</v>
      </c>
      <c r="N169" s="131" t="str">
        <f t="shared" si="59"/>
        <v>IE-WX</v>
      </c>
      <c r="O169" s="131" t="str">
        <f t="shared" si="59"/>
        <v>IE-WW</v>
      </c>
      <c r="P169" s="131" t="str">
        <f t="shared" si="59"/>
        <v>IE-CE</v>
      </c>
      <c r="Q169" s="131" t="str">
        <f t="shared" si="59"/>
        <v>IE-CO</v>
      </c>
      <c r="R169" s="131" t="str">
        <f t="shared" si="59"/>
        <v>IE-KY</v>
      </c>
      <c r="S169" s="131" t="str">
        <f t="shared" si="59"/>
        <v>IE-LK</v>
      </c>
      <c r="T169" s="131" t="str">
        <f t="shared" si="59"/>
        <v>IE-TA</v>
      </c>
      <c r="U169" s="131" t="str">
        <f t="shared" si="59"/>
        <v>IE-WD</v>
      </c>
      <c r="V169" s="131" t="str">
        <f t="shared" si="59"/>
        <v>IE-G</v>
      </c>
      <c r="W169" s="131" t="str">
        <f t="shared" si="59"/>
        <v>IE-LM</v>
      </c>
      <c r="X169" s="131" t="str">
        <f t="shared" si="59"/>
        <v>IE-MO</v>
      </c>
      <c r="Y169" s="131" t="str">
        <f t="shared" si="59"/>
        <v>IE-RN</v>
      </c>
      <c r="Z169" s="131" t="str">
        <f t="shared" si="59"/>
        <v>IE-SO</v>
      </c>
      <c r="AA169" s="131" t="str">
        <f t="shared" si="59"/>
        <v>IE-CN</v>
      </c>
      <c r="AB169" s="131" t="str">
        <f t="shared" si="59"/>
        <v>IE-DL</v>
      </c>
      <c r="AC169" s="131" t="str">
        <f t="shared" si="59"/>
        <v>IE-MN</v>
      </c>
    </row>
    <row r="170" spans="1:29">
      <c r="A170" s="459" t="s">
        <v>345</v>
      </c>
      <c r="B170" s="459" t="s">
        <v>611</v>
      </c>
      <c r="C170" s="505">
        <v>1.376629219195896</v>
      </c>
      <c r="D170" s="505">
        <v>1.376629219195896</v>
      </c>
      <c r="E170" s="505">
        <v>1.376629219195896</v>
      </c>
      <c r="F170" s="505">
        <v>1.376629219195896</v>
      </c>
      <c r="G170" s="505">
        <v>1.376629219195896</v>
      </c>
      <c r="H170" s="505">
        <v>1.376629219195896</v>
      </c>
      <c r="I170" s="505">
        <v>1.376629219195896</v>
      </c>
      <c r="J170" s="505">
        <v>1.376629219195896</v>
      </c>
      <c r="K170" s="505">
        <v>1.376629219195896</v>
      </c>
      <c r="L170" s="505">
        <v>1.376629219195896</v>
      </c>
      <c r="M170" s="505">
        <v>1.376629219195896</v>
      </c>
      <c r="N170" s="505">
        <v>1.376629219195896</v>
      </c>
      <c r="O170" s="505">
        <v>1.376629219195896</v>
      </c>
      <c r="P170" s="505">
        <v>1.376629219195896</v>
      </c>
      <c r="Q170" s="505">
        <v>1.376629219195896</v>
      </c>
      <c r="R170" s="505">
        <v>1.376629219195896</v>
      </c>
      <c r="S170" s="505">
        <v>1.376629219195896</v>
      </c>
      <c r="T170" s="505">
        <v>1.376629219195896</v>
      </c>
      <c r="U170" s="505">
        <v>1.376629219195896</v>
      </c>
      <c r="V170" s="505">
        <v>1.376629219195896</v>
      </c>
      <c r="W170" s="505">
        <v>1.376629219195896</v>
      </c>
      <c r="X170" s="505">
        <v>1.376629219195896</v>
      </c>
      <c r="Y170" s="505">
        <v>1.376629219195896</v>
      </c>
      <c r="Z170" s="505">
        <v>1.376629219195896</v>
      </c>
      <c r="AA170" s="505">
        <v>1.376629219195896</v>
      </c>
      <c r="AB170" s="505">
        <v>1.376629219195896</v>
      </c>
      <c r="AC170" s="505">
        <v>1.376629219195896</v>
      </c>
    </row>
    <row r="171" spans="1:29">
      <c r="A171" s="459" t="s">
        <v>346</v>
      </c>
      <c r="B171" s="459" t="s">
        <v>611</v>
      </c>
      <c r="C171" s="505">
        <v>1.3798479828493471</v>
      </c>
      <c r="D171" s="505">
        <v>1.3798479828493471</v>
      </c>
      <c r="E171" s="505">
        <v>1.3798479828493471</v>
      </c>
      <c r="F171" s="505">
        <v>1.3798479828493471</v>
      </c>
      <c r="G171" s="505">
        <v>1.3798479828493471</v>
      </c>
      <c r="H171" s="505">
        <v>1.3798479828493471</v>
      </c>
      <c r="I171" s="505">
        <v>1.3798479828493471</v>
      </c>
      <c r="J171" s="505">
        <v>1.3798479828493471</v>
      </c>
      <c r="K171" s="505">
        <v>1.3798479828493471</v>
      </c>
      <c r="L171" s="505">
        <v>1.3798479828493471</v>
      </c>
      <c r="M171" s="505">
        <v>1.3798479828493471</v>
      </c>
      <c r="N171" s="505">
        <v>1.3798479828493471</v>
      </c>
      <c r="O171" s="505">
        <v>1.3798479828493471</v>
      </c>
      <c r="P171" s="505">
        <v>1.3798479828493471</v>
      </c>
      <c r="Q171" s="505">
        <v>1.3798479828493471</v>
      </c>
      <c r="R171" s="505">
        <v>1.3798479828493471</v>
      </c>
      <c r="S171" s="505">
        <v>1.3798479828493471</v>
      </c>
      <c r="T171" s="505">
        <v>1.3798479828493471</v>
      </c>
      <c r="U171" s="505">
        <v>1.3798479828493471</v>
      </c>
      <c r="V171" s="505">
        <v>1.3798479828493471</v>
      </c>
      <c r="W171" s="505">
        <v>1.3798479828493471</v>
      </c>
      <c r="X171" s="505">
        <v>1.3798479828493471</v>
      </c>
      <c r="Y171" s="505">
        <v>1.3798479828493471</v>
      </c>
      <c r="Z171" s="505">
        <v>1.3798479828493471</v>
      </c>
      <c r="AA171" s="505">
        <v>1.3798479828493471</v>
      </c>
      <c r="AB171" s="505">
        <v>1.3798479828493471</v>
      </c>
      <c r="AC171" s="505">
        <v>1.3798479828493471</v>
      </c>
    </row>
    <row r="172" spans="1:29">
      <c r="A172" s="459" t="s">
        <v>347</v>
      </c>
      <c r="B172" s="459" t="s">
        <v>611</v>
      </c>
      <c r="C172" s="505">
        <v>1.4199749047648353</v>
      </c>
      <c r="D172" s="505">
        <v>1.4199749047648353</v>
      </c>
      <c r="E172" s="505">
        <v>1.4199749047648353</v>
      </c>
      <c r="F172" s="505">
        <v>1.4199749047648353</v>
      </c>
      <c r="G172" s="505">
        <v>1.4199749047648353</v>
      </c>
      <c r="H172" s="505">
        <v>1.4199749047648353</v>
      </c>
      <c r="I172" s="505">
        <v>1.4199749047648353</v>
      </c>
      <c r="J172" s="505">
        <v>1.4199749047648353</v>
      </c>
      <c r="K172" s="505">
        <v>1.4199749047648353</v>
      </c>
      <c r="L172" s="505">
        <v>1.4199749047648353</v>
      </c>
      <c r="M172" s="505">
        <v>1.4199749047648353</v>
      </c>
      <c r="N172" s="505">
        <v>1.4199749047648353</v>
      </c>
      <c r="O172" s="505">
        <v>1.4199749047648353</v>
      </c>
      <c r="P172" s="505">
        <v>1.4199749047648353</v>
      </c>
      <c r="Q172" s="505">
        <v>1.4199749047648353</v>
      </c>
      <c r="R172" s="505">
        <v>1.4199749047648353</v>
      </c>
      <c r="S172" s="505">
        <v>1.4199749047648353</v>
      </c>
      <c r="T172" s="505">
        <v>1.4199749047648353</v>
      </c>
      <c r="U172" s="505">
        <v>1.4199749047648353</v>
      </c>
      <c r="V172" s="505">
        <v>1.4199749047648353</v>
      </c>
      <c r="W172" s="505">
        <v>1.4199749047648353</v>
      </c>
      <c r="X172" s="505">
        <v>1.4199749047648353</v>
      </c>
      <c r="Y172" s="505">
        <v>1.4199749047648353</v>
      </c>
      <c r="Z172" s="505">
        <v>1.4199749047648353</v>
      </c>
      <c r="AA172" s="505">
        <v>1.4199749047648353</v>
      </c>
      <c r="AB172" s="505">
        <v>1.4199749047648353</v>
      </c>
      <c r="AC172" s="505">
        <v>1.4199749047648353</v>
      </c>
    </row>
    <row r="173" spans="1:29">
      <c r="A173" s="459" t="s">
        <v>348</v>
      </c>
      <c r="B173" s="459" t="s">
        <v>611</v>
      </c>
      <c r="C173" s="505">
        <v>1.4290054727038648</v>
      </c>
      <c r="D173" s="505">
        <v>1.4290054727038648</v>
      </c>
      <c r="E173" s="505">
        <v>1.4290054727038648</v>
      </c>
      <c r="F173" s="505">
        <v>1.4290054727038648</v>
      </c>
      <c r="G173" s="505">
        <v>1.4290054727038648</v>
      </c>
      <c r="H173" s="505">
        <v>1.4290054727038648</v>
      </c>
      <c r="I173" s="505">
        <v>1.4290054727038648</v>
      </c>
      <c r="J173" s="505">
        <v>1.4290054727038648</v>
      </c>
      <c r="K173" s="505">
        <v>1.4290054727038648</v>
      </c>
      <c r="L173" s="505">
        <v>1.4290054727038648</v>
      </c>
      <c r="M173" s="505">
        <v>1.4290054727038648</v>
      </c>
      <c r="N173" s="505">
        <v>1.4290054727038648</v>
      </c>
      <c r="O173" s="505">
        <v>1.4290054727038648</v>
      </c>
      <c r="P173" s="505">
        <v>1.4290054727038648</v>
      </c>
      <c r="Q173" s="505">
        <v>1.4290054727038648</v>
      </c>
      <c r="R173" s="505">
        <v>1.4290054727038648</v>
      </c>
      <c r="S173" s="505">
        <v>1.4290054727038648</v>
      </c>
      <c r="T173" s="505">
        <v>1.4290054727038648</v>
      </c>
      <c r="U173" s="505">
        <v>1.4290054727038648</v>
      </c>
      <c r="V173" s="505">
        <v>1.4290054727038648</v>
      </c>
      <c r="W173" s="505">
        <v>1.4290054727038648</v>
      </c>
      <c r="X173" s="505">
        <v>1.4290054727038648</v>
      </c>
      <c r="Y173" s="505">
        <v>1.4290054727038648</v>
      </c>
      <c r="Z173" s="505">
        <v>1.4290054727038648</v>
      </c>
      <c r="AA173" s="505">
        <v>1.4290054727038648</v>
      </c>
      <c r="AB173" s="505">
        <v>1.4290054727038648</v>
      </c>
      <c r="AC173" s="505">
        <v>1.4290054727038648</v>
      </c>
    </row>
    <row r="174" spans="1:29">
      <c r="A174" s="459" t="s">
        <v>349</v>
      </c>
      <c r="B174" s="459" t="s">
        <v>611</v>
      </c>
      <c r="C174" s="505">
        <v>1.6214274500716734</v>
      </c>
      <c r="D174" s="505">
        <v>1.6214274500716734</v>
      </c>
      <c r="E174" s="505">
        <v>1.6214274500716734</v>
      </c>
      <c r="F174" s="505">
        <v>1.6214274500716734</v>
      </c>
      <c r="G174" s="505">
        <v>1.6214274500716734</v>
      </c>
      <c r="H174" s="505">
        <v>1.6214274500716734</v>
      </c>
      <c r="I174" s="505">
        <v>1.6214274500716734</v>
      </c>
      <c r="J174" s="505">
        <v>1.6214274500716734</v>
      </c>
      <c r="K174" s="505">
        <v>1.6214274500716734</v>
      </c>
      <c r="L174" s="505">
        <v>1.6214274500716734</v>
      </c>
      <c r="M174" s="505">
        <v>1.6214274500716734</v>
      </c>
      <c r="N174" s="505">
        <v>1.6214274500716734</v>
      </c>
      <c r="O174" s="505">
        <v>1.6214274500716734</v>
      </c>
      <c r="P174" s="505">
        <v>1.6214274500716734</v>
      </c>
      <c r="Q174" s="505">
        <v>1.6214274500716734</v>
      </c>
      <c r="R174" s="505">
        <v>1.6214274500716734</v>
      </c>
      <c r="S174" s="505">
        <v>1.6214274500716734</v>
      </c>
      <c r="T174" s="505">
        <v>1.6214274500716734</v>
      </c>
      <c r="U174" s="505">
        <v>1.6214274500716734</v>
      </c>
      <c r="V174" s="505">
        <v>1.6214274500716734</v>
      </c>
      <c r="W174" s="505">
        <v>1.6214274500716734</v>
      </c>
      <c r="X174" s="505">
        <v>1.6214274500716734</v>
      </c>
      <c r="Y174" s="505">
        <v>1.6214274500716734</v>
      </c>
      <c r="Z174" s="505">
        <v>1.6214274500716734</v>
      </c>
      <c r="AA174" s="505">
        <v>1.6214274500716734</v>
      </c>
      <c r="AB174" s="505">
        <v>1.6214274500716734</v>
      </c>
      <c r="AC174" s="505">
        <v>1.6214274500716734</v>
      </c>
    </row>
    <row r="175" spans="1:29">
      <c r="A175" s="459" t="s">
        <v>350</v>
      </c>
      <c r="B175" s="459" t="s">
        <v>611</v>
      </c>
      <c r="C175" s="505">
        <v>1.7083807871715502</v>
      </c>
      <c r="D175" s="505">
        <v>1.7083807871715502</v>
      </c>
      <c r="E175" s="505">
        <v>1.7083807871715502</v>
      </c>
      <c r="F175" s="505">
        <v>1.7083807871715502</v>
      </c>
      <c r="G175" s="505">
        <v>1.7083807871715502</v>
      </c>
      <c r="H175" s="505">
        <v>1.7083807871715502</v>
      </c>
      <c r="I175" s="505">
        <v>1.7083807871715502</v>
      </c>
      <c r="J175" s="505">
        <v>1.7083807871715502</v>
      </c>
      <c r="K175" s="505">
        <v>1.7083807871715502</v>
      </c>
      <c r="L175" s="505">
        <v>1.7083807871715502</v>
      </c>
      <c r="M175" s="505">
        <v>1.7083807871715502</v>
      </c>
      <c r="N175" s="505">
        <v>1.7083807871715502</v>
      </c>
      <c r="O175" s="505">
        <v>1.7083807871715502</v>
      </c>
      <c r="P175" s="505">
        <v>1.7083807871715502</v>
      </c>
      <c r="Q175" s="505">
        <v>1.7083807871715502</v>
      </c>
      <c r="R175" s="505">
        <v>1.7083807871715502</v>
      </c>
      <c r="S175" s="505">
        <v>1.7083807871715502</v>
      </c>
      <c r="T175" s="505">
        <v>1.7083807871715502</v>
      </c>
      <c r="U175" s="505">
        <v>1.7083807871715502</v>
      </c>
      <c r="V175" s="505">
        <v>1.7083807871715502</v>
      </c>
      <c r="W175" s="505">
        <v>1.7083807871715502</v>
      </c>
      <c r="X175" s="505">
        <v>1.7083807871715502</v>
      </c>
      <c r="Y175" s="505">
        <v>1.7083807871715502</v>
      </c>
      <c r="Z175" s="505">
        <v>1.7083807871715502</v>
      </c>
      <c r="AA175" s="505">
        <v>1.7083807871715502</v>
      </c>
      <c r="AB175" s="505">
        <v>1.7083807871715502</v>
      </c>
      <c r="AC175" s="505">
        <v>1.7083807871715502</v>
      </c>
    </row>
    <row r="176" spans="1:29">
      <c r="A176" s="458" t="s">
        <v>351</v>
      </c>
      <c r="B176" s="458" t="s">
        <v>611</v>
      </c>
      <c r="C176" s="506">
        <v>1.8833978763305677</v>
      </c>
      <c r="D176" s="506">
        <v>1.8833978763305677</v>
      </c>
      <c r="E176" s="506">
        <v>1.8833978763305677</v>
      </c>
      <c r="F176" s="506">
        <v>1.8833978763305677</v>
      </c>
      <c r="G176" s="506">
        <v>1.8833978763305677</v>
      </c>
      <c r="H176" s="506">
        <v>1.8833978763305677</v>
      </c>
      <c r="I176" s="506">
        <v>1.8833978763305677</v>
      </c>
      <c r="J176" s="506">
        <v>1.8833978763305677</v>
      </c>
      <c r="K176" s="506">
        <v>1.8833978763305677</v>
      </c>
      <c r="L176" s="506">
        <v>1.8833978763305677</v>
      </c>
      <c r="M176" s="506">
        <v>1.8833978763305677</v>
      </c>
      <c r="N176" s="506">
        <v>1.8833978763305677</v>
      </c>
      <c r="O176" s="506">
        <v>1.8833978763305677</v>
      </c>
      <c r="P176" s="506">
        <v>1.8833978763305677</v>
      </c>
      <c r="Q176" s="506">
        <v>1.8833978763305677</v>
      </c>
      <c r="R176" s="506">
        <v>1.8833978763305677</v>
      </c>
      <c r="S176" s="506">
        <v>1.8833978763305677</v>
      </c>
      <c r="T176" s="506">
        <v>1.8833978763305677</v>
      </c>
      <c r="U176" s="506">
        <v>1.8833978763305677</v>
      </c>
      <c r="V176" s="506">
        <v>1.8833978763305677</v>
      </c>
      <c r="W176" s="506">
        <v>1.8833978763305677</v>
      </c>
      <c r="X176" s="506">
        <v>1.8833978763305677</v>
      </c>
      <c r="Y176" s="506">
        <v>1.8833978763305677</v>
      </c>
      <c r="Z176" s="506">
        <v>1.8833978763305677</v>
      </c>
      <c r="AA176" s="506">
        <v>1.8833978763305677</v>
      </c>
      <c r="AB176" s="506">
        <v>1.8833978763305677</v>
      </c>
      <c r="AC176" s="506">
        <v>1.8833978763305677</v>
      </c>
    </row>
    <row r="177" spans="1:29">
      <c r="A177" s="510" t="s">
        <v>615</v>
      </c>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c r="AC177" s="459"/>
    </row>
    <row r="178" spans="1:29">
      <c r="A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row>
    <row r="179" spans="1:29">
      <c r="A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row>
    <row r="180" spans="1:29" ht="15.6">
      <c r="A180" s="425" t="s">
        <v>614</v>
      </c>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row>
    <row r="181" spans="1:29">
      <c r="A181" s="131" t="s">
        <v>606</v>
      </c>
      <c r="B181" s="131" t="s">
        <v>64</v>
      </c>
      <c r="C181" s="131" t="str">
        <f t="shared" ref="C181:AC181" si="60">C169</f>
        <v>IE</v>
      </c>
      <c r="D181" s="131" t="str">
        <f t="shared" si="60"/>
        <v>IE-CW</v>
      </c>
      <c r="E181" s="131" t="str">
        <f t="shared" si="60"/>
        <v>IE-D</v>
      </c>
      <c r="F181" s="131" t="str">
        <f t="shared" si="60"/>
        <v>IE-KE</v>
      </c>
      <c r="G181" s="131" t="str">
        <f t="shared" si="60"/>
        <v>IE-KK</v>
      </c>
      <c r="H181" s="131" t="str">
        <f t="shared" si="60"/>
        <v>IE-LS</v>
      </c>
      <c r="I181" s="131" t="str">
        <f t="shared" si="60"/>
        <v>IE-LD</v>
      </c>
      <c r="J181" s="131" t="str">
        <f t="shared" si="60"/>
        <v>IE-LH</v>
      </c>
      <c r="K181" s="131" t="str">
        <f t="shared" si="60"/>
        <v>IE-MH</v>
      </c>
      <c r="L181" s="131" t="str">
        <f t="shared" si="60"/>
        <v>IE-OY</v>
      </c>
      <c r="M181" s="131" t="str">
        <f t="shared" si="60"/>
        <v>IE-WH</v>
      </c>
      <c r="N181" s="131" t="str">
        <f t="shared" si="60"/>
        <v>IE-WX</v>
      </c>
      <c r="O181" s="131" t="str">
        <f t="shared" si="60"/>
        <v>IE-WW</v>
      </c>
      <c r="P181" s="131" t="str">
        <f t="shared" si="60"/>
        <v>IE-CE</v>
      </c>
      <c r="Q181" s="131" t="str">
        <f t="shared" si="60"/>
        <v>IE-CO</v>
      </c>
      <c r="R181" s="131" t="str">
        <f t="shared" si="60"/>
        <v>IE-KY</v>
      </c>
      <c r="S181" s="131" t="str">
        <f t="shared" si="60"/>
        <v>IE-LK</v>
      </c>
      <c r="T181" s="131" t="str">
        <f t="shared" si="60"/>
        <v>IE-TA</v>
      </c>
      <c r="U181" s="131" t="str">
        <f t="shared" si="60"/>
        <v>IE-WD</v>
      </c>
      <c r="V181" s="131" t="str">
        <f t="shared" si="60"/>
        <v>IE-G</v>
      </c>
      <c r="W181" s="131" t="str">
        <f t="shared" si="60"/>
        <v>IE-LM</v>
      </c>
      <c r="X181" s="131" t="str">
        <f t="shared" si="60"/>
        <v>IE-MO</v>
      </c>
      <c r="Y181" s="131" t="str">
        <f t="shared" si="60"/>
        <v>IE-RN</v>
      </c>
      <c r="Z181" s="131" t="str">
        <f t="shared" si="60"/>
        <v>IE-SO</v>
      </c>
      <c r="AA181" s="131" t="str">
        <f t="shared" si="60"/>
        <v>IE-CN</v>
      </c>
      <c r="AB181" s="131" t="str">
        <f t="shared" si="60"/>
        <v>IE-DL</v>
      </c>
      <c r="AC181" s="131" t="str">
        <f t="shared" si="60"/>
        <v>IE-MN</v>
      </c>
    </row>
    <row r="182" spans="1:29">
      <c r="A182" s="459" t="s">
        <v>627</v>
      </c>
      <c r="B182" s="459" t="s">
        <v>611</v>
      </c>
      <c r="C182" s="505">
        <f t="shared" ref="C182:AC182" si="61">SUMPRODUCT(C157:C163,C170:C176)</f>
        <v>1.5843900907881323</v>
      </c>
      <c r="D182" s="505">
        <f t="shared" si="61"/>
        <v>1.5829347048520703</v>
      </c>
      <c r="E182" s="505">
        <f t="shared" si="61"/>
        <v>1.5996458660626507</v>
      </c>
      <c r="F182" s="505">
        <f t="shared" si="61"/>
        <v>1.5858791317071375</v>
      </c>
      <c r="G182" s="505">
        <f t="shared" si="61"/>
        <v>1.5764917101153666</v>
      </c>
      <c r="H182" s="505">
        <f t="shared" si="61"/>
        <v>1.5787893029191562</v>
      </c>
      <c r="I182" s="505">
        <f t="shared" si="61"/>
        <v>1.591356337193566</v>
      </c>
      <c r="J182" s="505">
        <f t="shared" si="61"/>
        <v>1.5724485140113176</v>
      </c>
      <c r="K182" s="505">
        <f t="shared" si="61"/>
        <v>1.5849650391323977</v>
      </c>
      <c r="L182" s="505">
        <f t="shared" si="61"/>
        <v>1.5732599934129918</v>
      </c>
      <c r="M182" s="505">
        <f t="shared" si="61"/>
        <v>1.5801461621566462</v>
      </c>
      <c r="N182" s="505">
        <f t="shared" si="61"/>
        <v>1.5739862573686552</v>
      </c>
      <c r="O182" s="505">
        <f t="shared" si="61"/>
        <v>1.5943545837287585</v>
      </c>
      <c r="P182" s="505">
        <f t="shared" si="61"/>
        <v>1.5736771207233211</v>
      </c>
      <c r="Q182" s="505">
        <f t="shared" si="61"/>
        <v>1.577076689999642</v>
      </c>
      <c r="R182" s="505">
        <f t="shared" si="61"/>
        <v>1.5800397063731884</v>
      </c>
      <c r="S182" s="505">
        <f t="shared" si="61"/>
        <v>1.5774984117966608</v>
      </c>
      <c r="T182" s="505">
        <f t="shared" si="61"/>
        <v>1.5798917054446691</v>
      </c>
      <c r="U182" s="505">
        <f t="shared" si="61"/>
        <v>1.5760117848458575</v>
      </c>
      <c r="V182" s="505">
        <f t="shared" si="61"/>
        <v>1.5891657014009029</v>
      </c>
      <c r="W182" s="505">
        <f t="shared" si="61"/>
        <v>1.5851969695754595</v>
      </c>
      <c r="X182" s="505">
        <f t="shared" si="61"/>
        <v>1.5876365090748588</v>
      </c>
      <c r="Y182" s="505">
        <f t="shared" si="61"/>
        <v>1.5691759109001624</v>
      </c>
      <c r="Z182" s="505">
        <f t="shared" si="61"/>
        <v>1.5862670985371188</v>
      </c>
      <c r="AA182" s="505">
        <f t="shared" si="61"/>
        <v>1.5799024068601559</v>
      </c>
      <c r="AB182" s="505">
        <f t="shared" si="61"/>
        <v>1.5777114446657874</v>
      </c>
      <c r="AC182" s="505">
        <f t="shared" si="61"/>
        <v>1.5865530099438825</v>
      </c>
    </row>
    <row r="183" spans="1:29">
      <c r="A183" s="458"/>
      <c r="B183" s="458" t="s">
        <v>599</v>
      </c>
      <c r="C183" s="508">
        <f>1000/C182</f>
        <v>631.15769646259537</v>
      </c>
      <c r="D183" s="508">
        <f>1000/D182</f>
        <v>631.73799711053323</v>
      </c>
      <c r="E183" s="508">
        <f>1000/E182</f>
        <v>625.1383641939376</v>
      </c>
      <c r="F183" s="508">
        <f>1000/F182</f>
        <v>630.56507901931889</v>
      </c>
      <c r="G183" s="508">
        <f t="shared" ref="G183" si="62">1000/G182</f>
        <v>634.31985945985127</v>
      </c>
      <c r="H183" s="508">
        <f t="shared" ref="H183" si="63">1000/H182</f>
        <v>633.39674151010274</v>
      </c>
      <c r="I183" s="508">
        <f t="shared" ref="I183" si="64">1000/I182</f>
        <v>628.39477031495562</v>
      </c>
      <c r="J183" s="508">
        <f t="shared" ref="J183" si="65">1000/J182</f>
        <v>635.95086967203724</v>
      </c>
      <c r="K183" s="508">
        <f t="shared" ref="K183" si="66">1000/K182</f>
        <v>630.92874310173761</v>
      </c>
      <c r="L183" s="508">
        <f t="shared" ref="L183" si="67">1000/L182</f>
        <v>635.62284948886577</v>
      </c>
      <c r="M183" s="508">
        <f t="shared" ref="M183" si="68">1000/M182</f>
        <v>632.85284864734308</v>
      </c>
      <c r="N183" s="508">
        <f t="shared" ref="N183" si="69">1000/N182</f>
        <v>635.32956232525885</v>
      </c>
      <c r="O183" s="508">
        <f t="shared" ref="O183" si="70">1000/O182</f>
        <v>627.21304922100455</v>
      </c>
      <c r="P183" s="508">
        <f t="shared" ref="P183" si="71">1000/P182</f>
        <v>635.45436788225174</v>
      </c>
      <c r="Q183" s="508">
        <f t="shared" ref="Q183" si="72">1000/Q182</f>
        <v>634.08457327476378</v>
      </c>
      <c r="R183" s="508">
        <f t="shared" ref="R183" si="73">1000/R182</f>
        <v>632.89548735163919</v>
      </c>
      <c r="S183" s="508">
        <f t="shared" ref="S183" si="74">1000/S182</f>
        <v>633.91505976926442</v>
      </c>
      <c r="T183" s="508">
        <f t="shared" ref="T183" si="75">1000/T182</f>
        <v>632.95477566833904</v>
      </c>
      <c r="U183" s="508">
        <f t="shared" ref="U183" si="76">1000/U182</f>
        <v>634.51302180320022</v>
      </c>
      <c r="V183" s="508">
        <f t="shared" ref="V183" si="77">1000/V182</f>
        <v>629.2610009884221</v>
      </c>
      <c r="W183" s="508">
        <f t="shared" ref="W183" si="78">1000/W182</f>
        <v>630.83643180810247</v>
      </c>
      <c r="X183" s="508">
        <f t="shared" ref="X183" si="79">1000/X182</f>
        <v>629.8670975906922</v>
      </c>
      <c r="Y183" s="508">
        <f t="shared" ref="Y183" si="80">1000/Y182</f>
        <v>637.27718036809972</v>
      </c>
      <c r="Z183" s="508">
        <f t="shared" ref="Z183" si="81">1000/Z182</f>
        <v>630.41085635717729</v>
      </c>
      <c r="AA183" s="508">
        <f t="shared" ref="AA183" si="82">1000/AA182</f>
        <v>632.95048837058607</v>
      </c>
      <c r="AB183" s="508">
        <f t="shared" ref="AB183" si="83">1000/AB182</f>
        <v>633.82946443152275</v>
      </c>
      <c r="AC183" s="508">
        <f t="shared" ref="AC183" si="84">1000/AC182</f>
        <v>630.297250537737</v>
      </c>
    </row>
    <row r="185" spans="1:29" s="459" customFormat="1"/>
    <row r="187" spans="1:29">
      <c r="A187" s="511"/>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row>
    <row r="188" spans="1:29" ht="15.6">
      <c r="A188" s="401" t="s">
        <v>623</v>
      </c>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c r="AC188" s="459"/>
    </row>
    <row r="189" spans="1:29">
      <c r="A189" s="131" t="s">
        <v>606</v>
      </c>
      <c r="B189" s="131" t="s">
        <v>64</v>
      </c>
      <c r="C189" s="131" t="str">
        <f>C181</f>
        <v>IE</v>
      </c>
      <c r="D189" s="131" t="str">
        <f t="shared" ref="D189:AC189" si="85">D181</f>
        <v>IE-CW</v>
      </c>
      <c r="E189" s="131" t="str">
        <f t="shared" si="85"/>
        <v>IE-D</v>
      </c>
      <c r="F189" s="131" t="str">
        <f t="shared" si="85"/>
        <v>IE-KE</v>
      </c>
      <c r="G189" s="131" t="str">
        <f t="shared" si="85"/>
        <v>IE-KK</v>
      </c>
      <c r="H189" s="131" t="str">
        <f t="shared" si="85"/>
        <v>IE-LS</v>
      </c>
      <c r="I189" s="131" t="str">
        <f t="shared" si="85"/>
        <v>IE-LD</v>
      </c>
      <c r="J189" s="131" t="str">
        <f t="shared" si="85"/>
        <v>IE-LH</v>
      </c>
      <c r="K189" s="131" t="str">
        <f t="shared" si="85"/>
        <v>IE-MH</v>
      </c>
      <c r="L189" s="131" t="str">
        <f t="shared" si="85"/>
        <v>IE-OY</v>
      </c>
      <c r="M189" s="131" t="str">
        <f t="shared" si="85"/>
        <v>IE-WH</v>
      </c>
      <c r="N189" s="131" t="str">
        <f t="shared" si="85"/>
        <v>IE-WX</v>
      </c>
      <c r="O189" s="131" t="str">
        <f t="shared" si="85"/>
        <v>IE-WW</v>
      </c>
      <c r="P189" s="131" t="str">
        <f t="shared" si="85"/>
        <v>IE-CE</v>
      </c>
      <c r="Q189" s="131" t="str">
        <f t="shared" si="85"/>
        <v>IE-CO</v>
      </c>
      <c r="R189" s="131" t="str">
        <f t="shared" si="85"/>
        <v>IE-KY</v>
      </c>
      <c r="S189" s="131" t="str">
        <f t="shared" si="85"/>
        <v>IE-LK</v>
      </c>
      <c r="T189" s="131" t="str">
        <f t="shared" si="85"/>
        <v>IE-TA</v>
      </c>
      <c r="U189" s="131" t="str">
        <f t="shared" si="85"/>
        <v>IE-WD</v>
      </c>
      <c r="V189" s="131" t="str">
        <f t="shared" si="85"/>
        <v>IE-G</v>
      </c>
      <c r="W189" s="131" t="str">
        <f t="shared" si="85"/>
        <v>IE-LM</v>
      </c>
      <c r="X189" s="131" t="str">
        <f t="shared" si="85"/>
        <v>IE-MO</v>
      </c>
      <c r="Y189" s="131" t="str">
        <f t="shared" si="85"/>
        <v>IE-RN</v>
      </c>
      <c r="Z189" s="131" t="str">
        <f t="shared" si="85"/>
        <v>IE-SO</v>
      </c>
      <c r="AA189" s="131" t="str">
        <f t="shared" si="85"/>
        <v>IE-CN</v>
      </c>
      <c r="AB189" s="131" t="str">
        <f t="shared" si="85"/>
        <v>IE-DL</v>
      </c>
      <c r="AC189" s="131" t="str">
        <f t="shared" si="85"/>
        <v>IE-MN</v>
      </c>
    </row>
    <row r="190" spans="1:29">
      <c r="A190" s="459" t="s">
        <v>345</v>
      </c>
      <c r="B190" s="459" t="s">
        <v>531</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459" t="s">
        <v>346</v>
      </c>
      <c r="B191" s="459" t="s">
        <v>531</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459" t="s">
        <v>347</v>
      </c>
      <c r="B192" s="459" t="s">
        <v>531</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459" t="s">
        <v>348</v>
      </c>
      <c r="B193" s="459" t="s">
        <v>531</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459" t="s">
        <v>349</v>
      </c>
      <c r="B194" s="459" t="s">
        <v>531</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459" t="s">
        <v>350</v>
      </c>
      <c r="B195" s="459" t="s">
        <v>531</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459" t="s">
        <v>351</v>
      </c>
      <c r="B196" s="459" t="s">
        <v>531</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458" t="s">
        <v>16</v>
      </c>
      <c r="B197" s="458" t="s">
        <v>531</v>
      </c>
      <c r="C197" s="504">
        <f>SUM(C190:C196)</f>
        <v>67</v>
      </c>
      <c r="D197" s="504">
        <f t="shared" ref="D197:AC197" si="87">SUM(D190:D196)</f>
        <v>0</v>
      </c>
      <c r="E197" s="504">
        <f t="shared" si="87"/>
        <v>28</v>
      </c>
      <c r="F197" s="504">
        <f t="shared" si="87"/>
        <v>1</v>
      </c>
      <c r="G197" s="504">
        <f t="shared" si="87"/>
        <v>1</v>
      </c>
      <c r="H197" s="504">
        <v>0</v>
      </c>
      <c r="I197" s="504">
        <f t="shared" si="87"/>
        <v>2</v>
      </c>
      <c r="J197" s="504">
        <f t="shared" si="87"/>
        <v>1</v>
      </c>
      <c r="K197" s="504">
        <f t="shared" si="87"/>
        <v>2</v>
      </c>
      <c r="L197" s="504">
        <f t="shared" si="87"/>
        <v>3</v>
      </c>
      <c r="M197" s="504">
        <f t="shared" si="87"/>
        <v>1</v>
      </c>
      <c r="N197" s="504">
        <f t="shared" si="87"/>
        <v>3</v>
      </c>
      <c r="O197" s="504">
        <f t="shared" si="87"/>
        <v>5</v>
      </c>
      <c r="P197" s="504">
        <f t="shared" si="87"/>
        <v>1</v>
      </c>
      <c r="Q197" s="504">
        <f t="shared" si="87"/>
        <v>5</v>
      </c>
      <c r="R197" s="504">
        <f t="shared" si="87"/>
        <v>3</v>
      </c>
      <c r="S197" s="504">
        <f t="shared" si="87"/>
        <v>2</v>
      </c>
      <c r="T197" s="504">
        <f t="shared" si="87"/>
        <v>0</v>
      </c>
      <c r="U197" s="504">
        <f t="shared" si="87"/>
        <v>0</v>
      </c>
      <c r="V197" s="504">
        <f t="shared" si="87"/>
        <v>7</v>
      </c>
      <c r="W197" s="504">
        <f t="shared" si="87"/>
        <v>0</v>
      </c>
      <c r="X197" s="504">
        <f t="shared" si="87"/>
        <v>0</v>
      </c>
      <c r="Y197" s="504">
        <f t="shared" si="87"/>
        <v>0</v>
      </c>
      <c r="Z197" s="504">
        <f t="shared" si="87"/>
        <v>0</v>
      </c>
      <c r="AA197" s="504">
        <f t="shared" si="87"/>
        <v>0</v>
      </c>
      <c r="AB197" s="504">
        <f t="shared" si="87"/>
        <v>2</v>
      </c>
      <c r="AC197" s="504">
        <f t="shared" si="87"/>
        <v>0</v>
      </c>
    </row>
    <row r="198" spans="1:29">
      <c r="A198" s="459" t="s">
        <v>617</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c r="AC199" s="459"/>
    </row>
    <row r="200" spans="1:29">
      <c r="A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c r="AC200" s="459"/>
    </row>
    <row r="201" spans="1:29">
      <c r="A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c r="AC201" s="459"/>
    </row>
    <row r="202" spans="1:29" ht="15.6">
      <c r="A202" s="425" t="s">
        <v>622</v>
      </c>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row>
    <row r="203" spans="1:29">
      <c r="A203" s="131" t="s">
        <v>606</v>
      </c>
      <c r="B203" s="131" t="s">
        <v>64</v>
      </c>
      <c r="C203" s="131" t="str">
        <f>C189</f>
        <v>IE</v>
      </c>
      <c r="D203" s="131" t="str">
        <f t="shared" ref="D203:AC203" si="88">D189</f>
        <v>IE-CW</v>
      </c>
      <c r="E203" s="131" t="str">
        <f t="shared" si="88"/>
        <v>IE-D</v>
      </c>
      <c r="F203" s="131" t="str">
        <f t="shared" si="88"/>
        <v>IE-KE</v>
      </c>
      <c r="G203" s="131" t="str">
        <f t="shared" si="88"/>
        <v>IE-KK</v>
      </c>
      <c r="H203" s="131" t="str">
        <f t="shared" si="88"/>
        <v>IE-LS</v>
      </c>
      <c r="I203" s="131" t="str">
        <f t="shared" si="88"/>
        <v>IE-LD</v>
      </c>
      <c r="J203" s="131" t="str">
        <f t="shared" si="88"/>
        <v>IE-LH</v>
      </c>
      <c r="K203" s="131" t="str">
        <f t="shared" si="88"/>
        <v>IE-MH</v>
      </c>
      <c r="L203" s="131" t="str">
        <f t="shared" si="88"/>
        <v>IE-OY</v>
      </c>
      <c r="M203" s="131" t="str">
        <f t="shared" si="88"/>
        <v>IE-WH</v>
      </c>
      <c r="N203" s="131" t="str">
        <f t="shared" si="88"/>
        <v>IE-WX</v>
      </c>
      <c r="O203" s="131" t="str">
        <f t="shared" si="88"/>
        <v>IE-WW</v>
      </c>
      <c r="P203" s="131" t="str">
        <f t="shared" si="88"/>
        <v>IE-CE</v>
      </c>
      <c r="Q203" s="131" t="str">
        <f t="shared" si="88"/>
        <v>IE-CO</v>
      </c>
      <c r="R203" s="131" t="str">
        <f t="shared" si="88"/>
        <v>IE-KY</v>
      </c>
      <c r="S203" s="131" t="str">
        <f t="shared" si="88"/>
        <v>IE-LK</v>
      </c>
      <c r="T203" s="131" t="str">
        <f t="shared" si="88"/>
        <v>IE-TA</v>
      </c>
      <c r="U203" s="131" t="str">
        <f t="shared" si="88"/>
        <v>IE-WD</v>
      </c>
      <c r="V203" s="131" t="str">
        <f t="shared" si="88"/>
        <v>IE-G</v>
      </c>
      <c r="W203" s="131" t="str">
        <f t="shared" si="88"/>
        <v>IE-LM</v>
      </c>
      <c r="X203" s="131" t="str">
        <f t="shared" si="88"/>
        <v>IE-MO</v>
      </c>
      <c r="Y203" s="131" t="str">
        <f t="shared" si="88"/>
        <v>IE-RN</v>
      </c>
      <c r="Z203" s="131" t="str">
        <f t="shared" si="88"/>
        <v>IE-SO</v>
      </c>
      <c r="AA203" s="131" t="str">
        <f t="shared" si="88"/>
        <v>IE-CN</v>
      </c>
      <c r="AB203" s="131" t="str">
        <f t="shared" si="88"/>
        <v>IE-DL</v>
      </c>
      <c r="AC203" s="131" t="str">
        <f t="shared" si="88"/>
        <v>IE-MN</v>
      </c>
    </row>
    <row r="204" spans="1:29">
      <c r="A204" s="459" t="s">
        <v>345</v>
      </c>
      <c r="B204" s="507" t="s">
        <v>610</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459" t="s">
        <v>346</v>
      </c>
      <c r="B205" s="1" t="s">
        <v>610</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459" t="s">
        <v>347</v>
      </c>
      <c r="B206" s="1" t="s">
        <v>610</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459" t="s">
        <v>348</v>
      </c>
      <c r="B207" s="1" t="s">
        <v>610</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459" t="s">
        <v>349</v>
      </c>
      <c r="B208" s="1" t="s">
        <v>610</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459" t="s">
        <v>350</v>
      </c>
      <c r="B209" s="1" t="s">
        <v>610</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459" t="s">
        <v>351</v>
      </c>
      <c r="B210" s="1" t="s">
        <v>610</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458" t="s">
        <v>16</v>
      </c>
      <c r="B211" s="458" t="s">
        <v>610</v>
      </c>
      <c r="C211" s="403">
        <f t="shared" ref="C211:AC211" si="98">SUM(C204:C210)</f>
        <v>1</v>
      </c>
      <c r="D211" s="403" t="e">
        <f t="shared" si="98"/>
        <v>#DIV/0!</v>
      </c>
      <c r="E211" s="403">
        <f t="shared" si="98"/>
        <v>0.99999999999999989</v>
      </c>
      <c r="F211" s="403">
        <f t="shared" si="98"/>
        <v>1</v>
      </c>
      <c r="G211" s="403">
        <f t="shared" si="98"/>
        <v>1</v>
      </c>
      <c r="H211" s="403" t="e">
        <f t="shared" si="98"/>
        <v>#DIV/0!</v>
      </c>
      <c r="I211" s="403">
        <f t="shared" si="98"/>
        <v>1</v>
      </c>
      <c r="J211" s="403">
        <f t="shared" si="98"/>
        <v>1</v>
      </c>
      <c r="K211" s="403">
        <f t="shared" si="98"/>
        <v>1</v>
      </c>
      <c r="L211" s="403">
        <f t="shared" si="98"/>
        <v>1</v>
      </c>
      <c r="M211" s="403">
        <f t="shared" si="98"/>
        <v>1</v>
      </c>
      <c r="N211" s="403">
        <f t="shared" si="98"/>
        <v>1</v>
      </c>
      <c r="O211" s="403">
        <f t="shared" si="98"/>
        <v>1</v>
      </c>
      <c r="P211" s="403">
        <f t="shared" si="98"/>
        <v>1</v>
      </c>
      <c r="Q211" s="403">
        <f t="shared" si="98"/>
        <v>1</v>
      </c>
      <c r="R211" s="403">
        <f t="shared" si="98"/>
        <v>1</v>
      </c>
      <c r="S211" s="403">
        <f t="shared" si="98"/>
        <v>1</v>
      </c>
      <c r="T211" s="403" t="e">
        <f t="shared" si="98"/>
        <v>#DIV/0!</v>
      </c>
      <c r="U211" s="403" t="e">
        <f t="shared" si="98"/>
        <v>#DIV/0!</v>
      </c>
      <c r="V211" s="403">
        <f t="shared" si="98"/>
        <v>1</v>
      </c>
      <c r="W211" s="403" t="e">
        <f t="shared" si="98"/>
        <v>#DIV/0!</v>
      </c>
      <c r="X211" s="403" t="e">
        <f t="shared" si="98"/>
        <v>#DIV/0!</v>
      </c>
      <c r="Y211" s="403" t="e">
        <f t="shared" si="98"/>
        <v>#DIV/0!</v>
      </c>
      <c r="Z211" s="403" t="e">
        <f t="shared" si="98"/>
        <v>#DIV/0!</v>
      </c>
      <c r="AA211" s="403" t="e">
        <f t="shared" si="98"/>
        <v>#DIV/0!</v>
      </c>
      <c r="AB211" s="403">
        <f t="shared" si="98"/>
        <v>1</v>
      </c>
      <c r="AC211" s="403" t="e">
        <f t="shared" si="98"/>
        <v>#DIV/0!</v>
      </c>
    </row>
    <row r="212" spans="1:29">
      <c r="A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row>
    <row r="213" spans="1:29">
      <c r="A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row>
    <row r="214" spans="1:29">
      <c r="A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c r="AC214" s="459"/>
    </row>
    <row r="215" spans="1:29" ht="15.6">
      <c r="A215" s="425" t="s">
        <v>621</v>
      </c>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c r="AC215" s="459"/>
    </row>
    <row r="216" spans="1:29">
      <c r="A216" s="131" t="s">
        <v>606</v>
      </c>
      <c r="B216" s="131" t="s">
        <v>64</v>
      </c>
      <c r="C216" s="131" t="str">
        <f>C203</f>
        <v>IE</v>
      </c>
      <c r="D216" s="131" t="str">
        <f t="shared" ref="D216:AC216" si="99">D203</f>
        <v>IE-CW</v>
      </c>
      <c r="E216" s="131" t="str">
        <f t="shared" si="99"/>
        <v>IE-D</v>
      </c>
      <c r="F216" s="131" t="str">
        <f t="shared" si="99"/>
        <v>IE-KE</v>
      </c>
      <c r="G216" s="131" t="str">
        <f t="shared" si="99"/>
        <v>IE-KK</v>
      </c>
      <c r="H216" s="131" t="str">
        <f t="shared" si="99"/>
        <v>IE-LS</v>
      </c>
      <c r="I216" s="131" t="str">
        <f t="shared" si="99"/>
        <v>IE-LD</v>
      </c>
      <c r="J216" s="131" t="str">
        <f t="shared" si="99"/>
        <v>IE-LH</v>
      </c>
      <c r="K216" s="131" t="str">
        <f t="shared" si="99"/>
        <v>IE-MH</v>
      </c>
      <c r="L216" s="131" t="str">
        <f t="shared" si="99"/>
        <v>IE-OY</v>
      </c>
      <c r="M216" s="131" t="str">
        <f t="shared" si="99"/>
        <v>IE-WH</v>
      </c>
      <c r="N216" s="131" t="str">
        <f t="shared" si="99"/>
        <v>IE-WX</v>
      </c>
      <c r="O216" s="131" t="str">
        <f t="shared" si="99"/>
        <v>IE-WW</v>
      </c>
      <c r="P216" s="131" t="str">
        <f t="shared" si="99"/>
        <v>IE-CE</v>
      </c>
      <c r="Q216" s="131" t="str">
        <f t="shared" si="99"/>
        <v>IE-CO</v>
      </c>
      <c r="R216" s="131" t="str">
        <f t="shared" si="99"/>
        <v>IE-KY</v>
      </c>
      <c r="S216" s="131" t="str">
        <f t="shared" si="99"/>
        <v>IE-LK</v>
      </c>
      <c r="T216" s="131" t="str">
        <f t="shared" si="99"/>
        <v>IE-TA</v>
      </c>
      <c r="U216" s="131" t="str">
        <f t="shared" si="99"/>
        <v>IE-WD</v>
      </c>
      <c r="V216" s="131" t="str">
        <f t="shared" si="99"/>
        <v>IE-G</v>
      </c>
      <c r="W216" s="131" t="str">
        <f t="shared" si="99"/>
        <v>IE-LM</v>
      </c>
      <c r="X216" s="131" t="str">
        <f t="shared" si="99"/>
        <v>IE-MO</v>
      </c>
      <c r="Y216" s="131" t="str">
        <f t="shared" si="99"/>
        <v>IE-RN</v>
      </c>
      <c r="Z216" s="131" t="str">
        <f t="shared" si="99"/>
        <v>IE-SO</v>
      </c>
      <c r="AA216" s="131" t="str">
        <f t="shared" si="99"/>
        <v>IE-CN</v>
      </c>
      <c r="AB216" s="131" t="str">
        <f t="shared" si="99"/>
        <v>IE-DL</v>
      </c>
      <c r="AC216" s="131" t="str">
        <f t="shared" si="99"/>
        <v>IE-MN</v>
      </c>
    </row>
    <row r="217" spans="1:29">
      <c r="A217" s="459" t="s">
        <v>345</v>
      </c>
      <c r="B217" s="459" t="s">
        <v>611</v>
      </c>
      <c r="C217" s="505">
        <v>1.7001196099333908</v>
      </c>
      <c r="D217" s="505">
        <v>1.7001196099333908</v>
      </c>
      <c r="E217" s="505">
        <v>1.7001196099333908</v>
      </c>
      <c r="F217" s="505">
        <v>1.7001196099333908</v>
      </c>
      <c r="G217" s="505">
        <v>1.7001196099333908</v>
      </c>
      <c r="H217" s="505">
        <v>1.7001196099333908</v>
      </c>
      <c r="I217" s="505">
        <v>1.7001196099333908</v>
      </c>
      <c r="J217" s="505">
        <v>1.7001196099333908</v>
      </c>
      <c r="K217" s="505">
        <v>1.7001196099333908</v>
      </c>
      <c r="L217" s="505">
        <v>1.7001196099333908</v>
      </c>
      <c r="M217" s="505">
        <v>1.7001196099333908</v>
      </c>
      <c r="N217" s="505">
        <v>1.7001196099333908</v>
      </c>
      <c r="O217" s="505">
        <v>1.7001196099333908</v>
      </c>
      <c r="P217" s="505">
        <v>1.7001196099333908</v>
      </c>
      <c r="Q217" s="505">
        <v>1.7001196099333908</v>
      </c>
      <c r="R217" s="505">
        <v>1.7001196099333908</v>
      </c>
      <c r="S217" s="505">
        <v>1.7001196099333908</v>
      </c>
      <c r="T217" s="505">
        <v>1.7001196099333908</v>
      </c>
      <c r="U217" s="505">
        <v>1.7001196099333908</v>
      </c>
      <c r="V217" s="505">
        <v>1.7001196099333908</v>
      </c>
      <c r="W217" s="505">
        <v>1.7001196099333908</v>
      </c>
      <c r="X217" s="505">
        <v>1.7001196099333908</v>
      </c>
      <c r="Y217" s="505">
        <v>1.7001196099333908</v>
      </c>
      <c r="Z217" s="505">
        <v>1.7001196099333908</v>
      </c>
      <c r="AA217" s="505">
        <v>1.7001196099333908</v>
      </c>
      <c r="AB217" s="505">
        <v>1.7001196099333908</v>
      </c>
      <c r="AC217" s="505">
        <v>1.7001196099333908</v>
      </c>
    </row>
    <row r="218" spans="1:29">
      <c r="A218" s="459" t="s">
        <v>346</v>
      </c>
      <c r="B218" s="459" t="s">
        <v>611</v>
      </c>
      <c r="C218" s="505">
        <v>1.7309333107858809</v>
      </c>
      <c r="D218" s="505">
        <v>1.7309333107858809</v>
      </c>
      <c r="E218" s="505">
        <v>1.7309333107858809</v>
      </c>
      <c r="F218" s="505">
        <v>1.7309333107858809</v>
      </c>
      <c r="G218" s="505">
        <v>1.7309333107858809</v>
      </c>
      <c r="H218" s="505">
        <v>1.7309333107858809</v>
      </c>
      <c r="I218" s="505">
        <v>1.7309333107858809</v>
      </c>
      <c r="J218" s="505">
        <v>1.7309333107858809</v>
      </c>
      <c r="K218" s="505">
        <v>1.7309333107858809</v>
      </c>
      <c r="L218" s="505">
        <v>1.7309333107858809</v>
      </c>
      <c r="M218" s="505">
        <v>1.7309333107858809</v>
      </c>
      <c r="N218" s="505">
        <v>1.7309333107858809</v>
      </c>
      <c r="O218" s="505">
        <v>1.7309333107858809</v>
      </c>
      <c r="P218" s="505">
        <v>1.7309333107858809</v>
      </c>
      <c r="Q218" s="505">
        <v>1.7309333107858809</v>
      </c>
      <c r="R218" s="505">
        <v>1.7309333107858809</v>
      </c>
      <c r="S218" s="505">
        <v>1.7309333107858809</v>
      </c>
      <c r="T218" s="505">
        <v>1.7309333107858809</v>
      </c>
      <c r="U218" s="505">
        <v>1.7309333107858809</v>
      </c>
      <c r="V218" s="505">
        <v>1.7309333107858809</v>
      </c>
      <c r="W218" s="505">
        <v>1.7309333107858809</v>
      </c>
      <c r="X218" s="505">
        <v>1.7309333107858809</v>
      </c>
      <c r="Y218" s="505">
        <v>1.7309333107858809</v>
      </c>
      <c r="Z218" s="505">
        <v>1.7309333107858809</v>
      </c>
      <c r="AA218" s="505">
        <v>1.7309333107858809</v>
      </c>
      <c r="AB218" s="505">
        <v>1.7309333107858809</v>
      </c>
      <c r="AC218" s="505">
        <v>1.7309333107858809</v>
      </c>
    </row>
    <row r="219" spans="1:29">
      <c r="A219" s="459" t="s">
        <v>347</v>
      </c>
      <c r="B219" s="459" t="s">
        <v>611</v>
      </c>
      <c r="C219" s="505">
        <v>1.9263070883172582</v>
      </c>
      <c r="D219" s="505">
        <v>1.9263070883172582</v>
      </c>
      <c r="E219" s="505">
        <v>1.9263070883172582</v>
      </c>
      <c r="F219" s="505">
        <v>1.9263070883172582</v>
      </c>
      <c r="G219" s="505">
        <v>1.9263070883172582</v>
      </c>
      <c r="H219" s="505">
        <v>1.9263070883172582</v>
      </c>
      <c r="I219" s="505">
        <v>1.9263070883172582</v>
      </c>
      <c r="J219" s="505">
        <v>1.9263070883172582</v>
      </c>
      <c r="K219" s="505">
        <v>1.9263070883172582</v>
      </c>
      <c r="L219" s="505">
        <v>1.9263070883172582</v>
      </c>
      <c r="M219" s="505">
        <v>1.9263070883172582</v>
      </c>
      <c r="N219" s="505">
        <v>1.9263070883172582</v>
      </c>
      <c r="O219" s="505">
        <v>1.9263070883172582</v>
      </c>
      <c r="P219" s="505">
        <v>1.9263070883172582</v>
      </c>
      <c r="Q219" s="505">
        <v>1.9263070883172582</v>
      </c>
      <c r="R219" s="505">
        <v>1.9263070883172582</v>
      </c>
      <c r="S219" s="505">
        <v>1.9263070883172582</v>
      </c>
      <c r="T219" s="505">
        <v>1.9263070883172582</v>
      </c>
      <c r="U219" s="505">
        <v>1.9263070883172582</v>
      </c>
      <c r="V219" s="505">
        <v>1.9263070883172582</v>
      </c>
      <c r="W219" s="505">
        <v>1.9263070883172582</v>
      </c>
      <c r="X219" s="505">
        <v>1.9263070883172582</v>
      </c>
      <c r="Y219" s="505">
        <v>1.9263070883172582</v>
      </c>
      <c r="Z219" s="505">
        <v>1.9263070883172582</v>
      </c>
      <c r="AA219" s="505">
        <v>1.9263070883172582</v>
      </c>
      <c r="AB219" s="505">
        <v>1.9263070883172582</v>
      </c>
      <c r="AC219" s="505">
        <v>1.9263070883172582</v>
      </c>
    </row>
    <row r="220" spans="1:29">
      <c r="A220" s="459" t="s">
        <v>348</v>
      </c>
      <c r="B220" s="459" t="s">
        <v>611</v>
      </c>
      <c r="C220" s="505">
        <v>1.9413405466554232</v>
      </c>
      <c r="D220" s="505">
        <v>1.9413405466554232</v>
      </c>
      <c r="E220" s="505">
        <v>1.9413405466554232</v>
      </c>
      <c r="F220" s="505">
        <v>1.9413405466554232</v>
      </c>
      <c r="G220" s="505">
        <v>1.9413405466554232</v>
      </c>
      <c r="H220" s="505">
        <v>1.9413405466554232</v>
      </c>
      <c r="I220" s="505">
        <v>1.9413405466554232</v>
      </c>
      <c r="J220" s="505">
        <v>1.9413405466554232</v>
      </c>
      <c r="K220" s="505">
        <v>1.9413405466554232</v>
      </c>
      <c r="L220" s="505">
        <v>1.9413405466554232</v>
      </c>
      <c r="M220" s="505">
        <v>1.9413405466554232</v>
      </c>
      <c r="N220" s="505">
        <v>1.9413405466554232</v>
      </c>
      <c r="O220" s="505">
        <v>1.9413405466554232</v>
      </c>
      <c r="P220" s="505">
        <v>1.9413405466554232</v>
      </c>
      <c r="Q220" s="505">
        <v>1.9413405466554232</v>
      </c>
      <c r="R220" s="505">
        <v>1.9413405466554232</v>
      </c>
      <c r="S220" s="505">
        <v>1.9413405466554232</v>
      </c>
      <c r="T220" s="505">
        <v>1.9413405466554232</v>
      </c>
      <c r="U220" s="505">
        <v>1.9413405466554232</v>
      </c>
      <c r="V220" s="505">
        <v>1.9413405466554232</v>
      </c>
      <c r="W220" s="505">
        <v>1.9413405466554232</v>
      </c>
      <c r="X220" s="505">
        <v>1.9413405466554232</v>
      </c>
      <c r="Y220" s="505">
        <v>1.9413405466554232</v>
      </c>
      <c r="Z220" s="505">
        <v>1.9413405466554232</v>
      </c>
      <c r="AA220" s="505">
        <v>1.9413405466554232</v>
      </c>
      <c r="AB220" s="505">
        <v>1.9413405466554232</v>
      </c>
      <c r="AC220" s="505">
        <v>1.9413405466554232</v>
      </c>
    </row>
    <row r="221" spans="1:29">
      <c r="A221" s="459" t="s">
        <v>349</v>
      </c>
      <c r="B221" s="459" t="s">
        <v>611</v>
      </c>
      <c r="C221" s="505">
        <v>2.161431948665991</v>
      </c>
      <c r="D221" s="505">
        <v>2.161431948665991</v>
      </c>
      <c r="E221" s="505">
        <v>2.161431948665991</v>
      </c>
      <c r="F221" s="505">
        <v>2.161431948665991</v>
      </c>
      <c r="G221" s="505">
        <v>2.161431948665991</v>
      </c>
      <c r="H221" s="505">
        <v>2.161431948665991</v>
      </c>
      <c r="I221" s="505">
        <v>2.161431948665991</v>
      </c>
      <c r="J221" s="505">
        <v>2.161431948665991</v>
      </c>
      <c r="K221" s="505">
        <v>2.161431948665991</v>
      </c>
      <c r="L221" s="505">
        <v>2.161431948665991</v>
      </c>
      <c r="M221" s="505">
        <v>2.161431948665991</v>
      </c>
      <c r="N221" s="505">
        <v>2.161431948665991</v>
      </c>
      <c r="O221" s="505">
        <v>2.161431948665991</v>
      </c>
      <c r="P221" s="505">
        <v>2.161431948665991</v>
      </c>
      <c r="Q221" s="505">
        <v>2.161431948665991</v>
      </c>
      <c r="R221" s="505">
        <v>2.161431948665991</v>
      </c>
      <c r="S221" s="505">
        <v>2.161431948665991</v>
      </c>
      <c r="T221" s="505">
        <v>2.161431948665991</v>
      </c>
      <c r="U221" s="505">
        <v>2.161431948665991</v>
      </c>
      <c r="V221" s="505">
        <v>2.161431948665991</v>
      </c>
      <c r="W221" s="505">
        <v>2.161431948665991</v>
      </c>
      <c r="X221" s="505">
        <v>2.161431948665991</v>
      </c>
      <c r="Y221" s="505">
        <v>2.161431948665991</v>
      </c>
      <c r="Z221" s="505">
        <v>2.161431948665991</v>
      </c>
      <c r="AA221" s="505">
        <v>2.161431948665991</v>
      </c>
      <c r="AB221" s="505">
        <v>2.161431948665991</v>
      </c>
      <c r="AC221" s="505">
        <v>2.161431948665991</v>
      </c>
    </row>
    <row r="222" spans="1:29">
      <c r="A222" s="459" t="s">
        <v>350</v>
      </c>
      <c r="B222" s="459" t="s">
        <v>611</v>
      </c>
      <c r="C222" s="505">
        <v>2.1989941802073991</v>
      </c>
      <c r="D222" s="505">
        <v>2.1989941802073991</v>
      </c>
      <c r="E222" s="505">
        <v>2.1989941802073991</v>
      </c>
      <c r="F222" s="505">
        <v>2.1989941802073991</v>
      </c>
      <c r="G222" s="505">
        <v>2.1989941802073991</v>
      </c>
      <c r="H222" s="505">
        <v>2.1989941802073991</v>
      </c>
      <c r="I222" s="505">
        <v>2.1989941802073991</v>
      </c>
      <c r="J222" s="505">
        <v>2.1989941802073991</v>
      </c>
      <c r="K222" s="505">
        <v>2.1989941802073991</v>
      </c>
      <c r="L222" s="505">
        <v>2.1989941802073991</v>
      </c>
      <c r="M222" s="505">
        <v>2.1989941802073991</v>
      </c>
      <c r="N222" s="505">
        <v>2.1989941802073991</v>
      </c>
      <c r="O222" s="505">
        <v>2.1989941802073991</v>
      </c>
      <c r="P222" s="505">
        <v>2.1989941802073991</v>
      </c>
      <c r="Q222" s="505">
        <v>2.1989941802073991</v>
      </c>
      <c r="R222" s="505">
        <v>2.1989941802073991</v>
      </c>
      <c r="S222" s="505">
        <v>2.1989941802073991</v>
      </c>
      <c r="T222" s="505">
        <v>2.1989941802073991</v>
      </c>
      <c r="U222" s="505">
        <v>2.1989941802073991</v>
      </c>
      <c r="V222" s="505">
        <v>2.1989941802073991</v>
      </c>
      <c r="W222" s="505">
        <v>2.1989941802073991</v>
      </c>
      <c r="X222" s="505">
        <v>2.1989941802073991</v>
      </c>
      <c r="Y222" s="505">
        <v>2.1989941802073991</v>
      </c>
      <c r="Z222" s="505">
        <v>2.1989941802073991</v>
      </c>
      <c r="AA222" s="505">
        <v>2.1989941802073991</v>
      </c>
      <c r="AB222" s="505">
        <v>2.1989941802073991</v>
      </c>
      <c r="AC222" s="505">
        <v>2.1989941802073991</v>
      </c>
    </row>
    <row r="223" spans="1:29">
      <c r="A223" s="458" t="s">
        <v>351</v>
      </c>
      <c r="B223" s="458" t="s">
        <v>611</v>
      </c>
      <c r="C223" s="506">
        <v>2.290790924916851</v>
      </c>
      <c r="D223" s="506">
        <v>2.290790924916851</v>
      </c>
      <c r="E223" s="506">
        <v>2.290790924916851</v>
      </c>
      <c r="F223" s="506">
        <v>2.290790924916851</v>
      </c>
      <c r="G223" s="506">
        <v>2.290790924916851</v>
      </c>
      <c r="H223" s="506">
        <v>2.290790924916851</v>
      </c>
      <c r="I223" s="506">
        <v>2.290790924916851</v>
      </c>
      <c r="J223" s="506">
        <v>2.290790924916851</v>
      </c>
      <c r="K223" s="506">
        <v>2.290790924916851</v>
      </c>
      <c r="L223" s="506">
        <v>2.290790924916851</v>
      </c>
      <c r="M223" s="506">
        <v>2.290790924916851</v>
      </c>
      <c r="N223" s="506">
        <v>2.290790924916851</v>
      </c>
      <c r="O223" s="506">
        <v>2.290790924916851</v>
      </c>
      <c r="P223" s="506">
        <v>2.290790924916851</v>
      </c>
      <c r="Q223" s="506">
        <v>2.290790924916851</v>
      </c>
      <c r="R223" s="506">
        <v>2.290790924916851</v>
      </c>
      <c r="S223" s="506">
        <v>2.290790924916851</v>
      </c>
      <c r="T223" s="506">
        <v>2.290790924916851</v>
      </c>
      <c r="U223" s="506">
        <v>2.290790924916851</v>
      </c>
      <c r="V223" s="506">
        <v>2.290790924916851</v>
      </c>
      <c r="W223" s="506">
        <v>2.290790924916851</v>
      </c>
      <c r="X223" s="506">
        <v>2.290790924916851</v>
      </c>
      <c r="Y223" s="506">
        <v>2.290790924916851</v>
      </c>
      <c r="Z223" s="506">
        <v>2.290790924916851</v>
      </c>
      <c r="AA223" s="506">
        <v>2.290790924916851</v>
      </c>
      <c r="AB223" s="506">
        <v>2.290790924916851</v>
      </c>
      <c r="AC223" s="506">
        <v>2.290790924916851</v>
      </c>
    </row>
    <row r="224" spans="1:29">
      <c r="A224" s="510" t="s">
        <v>615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7" spans="1:29">
      <c r="A227" s="459"/>
    </row>
    <row r="228" spans="1:29" ht="15.6">
      <c r="A228" s="425" t="s">
        <v>621</v>
      </c>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c r="AC228" s="459"/>
    </row>
    <row r="229" spans="1:29">
      <c r="A229" s="131" t="s">
        <v>606</v>
      </c>
      <c r="B229" s="131" t="s">
        <v>64</v>
      </c>
      <c r="C229" s="131" t="str">
        <f>C216</f>
        <v>IE</v>
      </c>
      <c r="D229" s="131" t="str">
        <f t="shared" ref="D229:AC229" si="100">D216</f>
        <v>IE-CW</v>
      </c>
      <c r="E229" s="131" t="str">
        <f t="shared" si="100"/>
        <v>IE-D</v>
      </c>
      <c r="F229" s="131" t="str">
        <f t="shared" si="100"/>
        <v>IE-KE</v>
      </c>
      <c r="G229" s="131" t="str">
        <f t="shared" si="100"/>
        <v>IE-KK</v>
      </c>
      <c r="H229" s="131" t="str">
        <f t="shared" si="100"/>
        <v>IE-LS</v>
      </c>
      <c r="I229" s="131" t="str">
        <f t="shared" si="100"/>
        <v>IE-LD</v>
      </c>
      <c r="J229" s="131" t="str">
        <f t="shared" si="100"/>
        <v>IE-LH</v>
      </c>
      <c r="K229" s="131" t="str">
        <f t="shared" si="100"/>
        <v>IE-MH</v>
      </c>
      <c r="L229" s="131" t="str">
        <f t="shared" si="100"/>
        <v>IE-OY</v>
      </c>
      <c r="M229" s="131" t="str">
        <f t="shared" si="100"/>
        <v>IE-WH</v>
      </c>
      <c r="N229" s="131" t="str">
        <f t="shared" si="100"/>
        <v>IE-WX</v>
      </c>
      <c r="O229" s="131" t="str">
        <f t="shared" si="100"/>
        <v>IE-WW</v>
      </c>
      <c r="P229" s="131" t="str">
        <f t="shared" si="100"/>
        <v>IE-CE</v>
      </c>
      <c r="Q229" s="131" t="str">
        <f t="shared" si="100"/>
        <v>IE-CO</v>
      </c>
      <c r="R229" s="131" t="str">
        <f t="shared" si="100"/>
        <v>IE-KY</v>
      </c>
      <c r="S229" s="131" t="str">
        <f t="shared" si="100"/>
        <v>IE-LK</v>
      </c>
      <c r="T229" s="131" t="str">
        <f t="shared" si="100"/>
        <v>IE-TA</v>
      </c>
      <c r="U229" s="131" t="str">
        <f t="shared" si="100"/>
        <v>IE-WD</v>
      </c>
      <c r="V229" s="131" t="str">
        <f t="shared" si="100"/>
        <v>IE-G</v>
      </c>
      <c r="W229" s="131" t="str">
        <f t="shared" si="100"/>
        <v>IE-LM</v>
      </c>
      <c r="X229" s="131" t="str">
        <f t="shared" si="100"/>
        <v>IE-MO</v>
      </c>
      <c r="Y229" s="131" t="str">
        <f t="shared" si="100"/>
        <v>IE-RN</v>
      </c>
      <c r="Z229" s="131" t="str">
        <f t="shared" si="100"/>
        <v>IE-SO</v>
      </c>
      <c r="AA229" s="131" t="str">
        <f t="shared" si="100"/>
        <v>IE-CN</v>
      </c>
      <c r="AB229" s="131" t="str">
        <f t="shared" si="100"/>
        <v>IE-DL</v>
      </c>
      <c r="AC229" s="131" t="str">
        <f t="shared" si="100"/>
        <v>IE-MN</v>
      </c>
    </row>
    <row r="230" spans="1:29">
      <c r="A230" s="459" t="s">
        <v>627</v>
      </c>
      <c r="B230" s="459" t="s">
        <v>611</v>
      </c>
      <c r="C230" s="505">
        <f>SUMPRODUCT(C204:C210,C217:C223)</f>
        <v>1.9907750239914981</v>
      </c>
      <c r="D230" s="505">
        <f>IF(D197&gt;1,SUMPRODUCT(D204:D210,D217:D223),$C$230)</f>
        <v>1.9907750239914981</v>
      </c>
      <c r="E230" s="505">
        <f t="shared" ref="E230:AC230" si="101">IF(E197&gt;1,SUMPRODUCT(E204:E210,E217:E223),$C$230)</f>
        <v>1.9322339095618617</v>
      </c>
      <c r="F230" s="505">
        <f t="shared" si="101"/>
        <v>1.9907750239914981</v>
      </c>
      <c r="G230" s="505">
        <f t="shared" si="101"/>
        <v>1.9907750239914981</v>
      </c>
      <c r="H230" s="505">
        <f t="shared" si="101"/>
        <v>1.9907750239914981</v>
      </c>
      <c r="I230" s="505">
        <f t="shared" si="101"/>
        <v>2.1989941802073991</v>
      </c>
      <c r="J230" s="505">
        <f t="shared" si="101"/>
        <v>1.9907750239914981</v>
      </c>
      <c r="K230" s="505">
        <f t="shared" si="101"/>
        <v>2.1802130644366953</v>
      </c>
      <c r="L230" s="505">
        <f t="shared" si="101"/>
        <v>2.1005888918429378</v>
      </c>
      <c r="M230" s="505">
        <f t="shared" si="101"/>
        <v>1.9907750239914981</v>
      </c>
      <c r="N230" s="505">
        <f t="shared" si="101"/>
        <v>2.2476712661665643</v>
      </c>
      <c r="O230" s="505">
        <f t="shared" si="101"/>
        <v>1.8903695153417397</v>
      </c>
      <c r="P230" s="505">
        <f t="shared" si="101"/>
        <v>1.9907750239914981</v>
      </c>
      <c r="Q230" s="505">
        <f t="shared" si="101"/>
        <v>2.041395308408581</v>
      </c>
      <c r="R230" s="505">
        <f t="shared" si="101"/>
        <v>1.9468181122654045</v>
      </c>
      <c r="S230" s="505">
        <f t="shared" si="101"/>
        <v>1.9338238174863407</v>
      </c>
      <c r="T230" s="505">
        <f t="shared" si="101"/>
        <v>1.9907750239914981</v>
      </c>
      <c r="U230" s="505">
        <f t="shared" si="101"/>
        <v>1.9907750239914981</v>
      </c>
      <c r="V230" s="505">
        <f t="shared" si="101"/>
        <v>1.9983046136198885</v>
      </c>
      <c r="W230" s="505">
        <f t="shared" si="101"/>
        <v>1.9907750239914981</v>
      </c>
      <c r="X230" s="505">
        <f t="shared" si="101"/>
        <v>1.9907750239914981</v>
      </c>
      <c r="Y230" s="505">
        <f t="shared" si="101"/>
        <v>1.9907750239914981</v>
      </c>
      <c r="Z230" s="505">
        <f t="shared" si="101"/>
        <v>1.9907750239914981</v>
      </c>
      <c r="AA230" s="505">
        <f t="shared" si="101"/>
        <v>1.9907750239914981</v>
      </c>
      <c r="AB230" s="505">
        <f t="shared" si="101"/>
        <v>1.949556895070395</v>
      </c>
      <c r="AC230" s="505">
        <f t="shared" si="101"/>
        <v>1.9907750239914981</v>
      </c>
    </row>
    <row r="231" spans="1:29">
      <c r="A231" s="458"/>
      <c r="B231" s="458" t="s">
        <v>599</v>
      </c>
      <c r="C231" s="508">
        <f>1000/C230</f>
        <v>502.31693081772892</v>
      </c>
      <c r="D231" s="508">
        <f>1000/D230</f>
        <v>502.31693081772892</v>
      </c>
      <c r="E231" s="508">
        <f>1000/E230</f>
        <v>517.53568501794496</v>
      </c>
      <c r="F231" s="508">
        <f>1000/F230</f>
        <v>502.31693081772892</v>
      </c>
      <c r="G231" s="508">
        <f t="shared" ref="G231" si="102">1000/G230</f>
        <v>502.31693081772892</v>
      </c>
      <c r="H231" s="508">
        <f t="shared" ref="H231" si="103">1000/H230</f>
        <v>502.31693081772892</v>
      </c>
      <c r="I231" s="508">
        <f t="shared" ref="I231" si="104">1000/I230</f>
        <v>454.7533636063032</v>
      </c>
      <c r="J231" s="508">
        <f t="shared" ref="J231" si="105">1000/J230</f>
        <v>502.31693081772892</v>
      </c>
      <c r="K231" s="508">
        <f t="shared" ref="K231" si="106">1000/K230</f>
        <v>458.67076769323523</v>
      </c>
      <c r="L231" s="508">
        <f t="shared" ref="L231" si="107">1000/L230</f>
        <v>476.05697806135527</v>
      </c>
      <c r="M231" s="508">
        <f t="shared" ref="M231" si="108">1000/M230</f>
        <v>502.31693081772892</v>
      </c>
      <c r="N231" s="508">
        <f t="shared" ref="N231" si="109">1000/N230</f>
        <v>444.9049178377025</v>
      </c>
      <c r="O231" s="508">
        <f t="shared" ref="O231" si="110">1000/O230</f>
        <v>528.99710447310122</v>
      </c>
      <c r="P231" s="508">
        <f t="shared" ref="P231" si="111">1000/P230</f>
        <v>502.31693081772892</v>
      </c>
      <c r="Q231" s="508">
        <f t="shared" ref="Q231" si="112">1000/Q230</f>
        <v>489.86102587821375</v>
      </c>
      <c r="R231" s="508">
        <f t="shared" ref="R231" si="113">1000/R230</f>
        <v>513.65866882980424</v>
      </c>
      <c r="S231" s="508">
        <f t="shared" ref="S231" si="114">1000/S230</f>
        <v>517.11018912769362</v>
      </c>
      <c r="T231" s="508">
        <f t="shared" ref="T231" si="115">1000/T230</f>
        <v>502.31693081772892</v>
      </c>
      <c r="U231" s="508">
        <f t="shared" ref="U231" si="116">1000/U230</f>
        <v>502.31693081772892</v>
      </c>
      <c r="V231" s="508">
        <f t="shared" ref="V231" si="117">1000/V230</f>
        <v>500.42420619172776</v>
      </c>
      <c r="W231" s="508">
        <f t="shared" ref="W231" si="118">1000/W230</f>
        <v>502.31693081772892</v>
      </c>
      <c r="X231" s="508">
        <f t="shared" ref="X231" si="119">1000/X230</f>
        <v>502.31693081772892</v>
      </c>
      <c r="Y231" s="508">
        <f t="shared" ref="Y231" si="120">1000/Y230</f>
        <v>502.31693081772892</v>
      </c>
      <c r="Z231" s="508">
        <f t="shared" ref="Z231" si="121">1000/Z230</f>
        <v>502.31693081772892</v>
      </c>
      <c r="AA231" s="508">
        <f t="shared" ref="AA231" si="122">1000/AA230</f>
        <v>502.31693081772892</v>
      </c>
      <c r="AB231" s="508">
        <f t="shared" ref="AB231" si="123">1000/AB230</f>
        <v>512.93706920202078</v>
      </c>
      <c r="AC231" s="508">
        <f t="shared" ref="AC231" si="124">1000/AC230</f>
        <v>502.31693081772892</v>
      </c>
    </row>
    <row r="232" spans="1:29">
      <c r="A232" s="21" t="s">
        <v>616</v>
      </c>
    </row>
    <row r="234" spans="1:29" s="459" customFormat="1"/>
    <row r="236" spans="1:29">
      <c r="A236" s="511"/>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row>
    <row r="237" spans="1:29" ht="15.6">
      <c r="A237" s="401" t="s">
        <v>620</v>
      </c>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c r="AC237" s="459"/>
    </row>
    <row r="238" spans="1:29">
      <c r="A238" s="131" t="s">
        <v>606</v>
      </c>
      <c r="B238" s="131" t="s">
        <v>64</v>
      </c>
      <c r="C238" s="131" t="str">
        <f>C229</f>
        <v>IE</v>
      </c>
      <c r="D238" s="131" t="str">
        <f t="shared" ref="D238:AC238" si="125">D229</f>
        <v>IE-CW</v>
      </c>
      <c r="E238" s="131" t="str">
        <f t="shared" si="125"/>
        <v>IE-D</v>
      </c>
      <c r="F238" s="131" t="str">
        <f t="shared" si="125"/>
        <v>IE-KE</v>
      </c>
      <c r="G238" s="131" t="str">
        <f t="shared" si="125"/>
        <v>IE-KK</v>
      </c>
      <c r="H238" s="131" t="str">
        <f t="shared" si="125"/>
        <v>IE-LS</v>
      </c>
      <c r="I238" s="131" t="str">
        <f t="shared" si="125"/>
        <v>IE-LD</v>
      </c>
      <c r="J238" s="131" t="str">
        <f t="shared" si="125"/>
        <v>IE-LH</v>
      </c>
      <c r="K238" s="131" t="str">
        <f t="shared" si="125"/>
        <v>IE-MH</v>
      </c>
      <c r="L238" s="131" t="str">
        <f t="shared" si="125"/>
        <v>IE-OY</v>
      </c>
      <c r="M238" s="131" t="str">
        <f t="shared" si="125"/>
        <v>IE-WH</v>
      </c>
      <c r="N238" s="131" t="str">
        <f t="shared" si="125"/>
        <v>IE-WX</v>
      </c>
      <c r="O238" s="131" t="str">
        <f t="shared" si="125"/>
        <v>IE-WW</v>
      </c>
      <c r="P238" s="131" t="str">
        <f t="shared" si="125"/>
        <v>IE-CE</v>
      </c>
      <c r="Q238" s="131" t="str">
        <f t="shared" si="125"/>
        <v>IE-CO</v>
      </c>
      <c r="R238" s="131" t="str">
        <f t="shared" si="125"/>
        <v>IE-KY</v>
      </c>
      <c r="S238" s="131" t="str">
        <f t="shared" si="125"/>
        <v>IE-LK</v>
      </c>
      <c r="T238" s="131" t="str">
        <f t="shared" si="125"/>
        <v>IE-TA</v>
      </c>
      <c r="U238" s="131" t="str">
        <f t="shared" si="125"/>
        <v>IE-WD</v>
      </c>
      <c r="V238" s="131" t="str">
        <f t="shared" si="125"/>
        <v>IE-G</v>
      </c>
      <c r="W238" s="131" t="str">
        <f t="shared" si="125"/>
        <v>IE-LM</v>
      </c>
      <c r="X238" s="131" t="str">
        <f t="shared" si="125"/>
        <v>IE-MO</v>
      </c>
      <c r="Y238" s="131" t="str">
        <f t="shared" si="125"/>
        <v>IE-RN</v>
      </c>
      <c r="Z238" s="131" t="str">
        <f t="shared" si="125"/>
        <v>IE-SO</v>
      </c>
      <c r="AA238" s="131" t="str">
        <f t="shared" si="125"/>
        <v>IE-CN</v>
      </c>
      <c r="AB238" s="131" t="str">
        <f t="shared" si="125"/>
        <v>IE-DL</v>
      </c>
      <c r="AC238" s="131" t="str">
        <f t="shared" si="125"/>
        <v>IE-MN</v>
      </c>
    </row>
    <row r="239" spans="1:29">
      <c r="A239" s="459" t="s">
        <v>345</v>
      </c>
      <c r="B239" s="459" t="s">
        <v>531</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459" t="s">
        <v>346</v>
      </c>
      <c r="B240" s="459" t="s">
        <v>531</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459" t="s">
        <v>347</v>
      </c>
      <c r="B241" s="459" t="s">
        <v>531</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459" t="s">
        <v>348</v>
      </c>
      <c r="B242" s="459" t="s">
        <v>531</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459" t="s">
        <v>349</v>
      </c>
      <c r="B243" s="459" t="s">
        <v>531</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459" t="s">
        <v>350</v>
      </c>
      <c r="B244" s="459" t="s">
        <v>531</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459" t="s">
        <v>351</v>
      </c>
      <c r="B245" s="459" t="s">
        <v>531</v>
      </c>
      <c r="C245" s="9">
        <f t="shared" si="126"/>
        <v>0</v>
      </c>
      <c r="D245" s="396">
        <v>0</v>
      </c>
      <c r="E245" s="396">
        <v>0</v>
      </c>
      <c r="F245" s="396">
        <v>0</v>
      </c>
      <c r="G245" s="396">
        <v>0</v>
      </c>
      <c r="H245" s="396">
        <v>0</v>
      </c>
      <c r="I245" s="396">
        <v>0</v>
      </c>
      <c r="J245" s="396">
        <v>0</v>
      </c>
      <c r="K245" s="396">
        <v>0</v>
      </c>
      <c r="L245" s="396">
        <v>0</v>
      </c>
      <c r="M245" s="396">
        <v>0</v>
      </c>
      <c r="N245" s="396">
        <v>0</v>
      </c>
      <c r="O245" s="396">
        <v>0</v>
      </c>
      <c r="P245" s="396">
        <v>0</v>
      </c>
      <c r="Q245" s="396">
        <v>0</v>
      </c>
      <c r="R245" s="396">
        <v>0</v>
      </c>
      <c r="S245" s="396">
        <v>0</v>
      </c>
      <c r="T245" s="396">
        <v>0</v>
      </c>
      <c r="U245" s="396">
        <v>0</v>
      </c>
      <c r="V245" s="396">
        <v>0</v>
      </c>
      <c r="W245" s="396">
        <v>0</v>
      </c>
      <c r="X245" s="396">
        <v>0</v>
      </c>
      <c r="Y245" s="396">
        <v>0</v>
      </c>
      <c r="Z245" s="396">
        <v>0</v>
      </c>
      <c r="AA245" s="396">
        <v>0</v>
      </c>
      <c r="AB245" s="396">
        <v>0</v>
      </c>
      <c r="AC245" s="396">
        <v>0</v>
      </c>
    </row>
    <row r="246" spans="1:29">
      <c r="A246" s="458" t="s">
        <v>16</v>
      </c>
      <c r="B246" s="458" t="s">
        <v>531</v>
      </c>
      <c r="C246" s="504">
        <f>SUM(C239:C245)</f>
        <v>8529</v>
      </c>
      <c r="D246" s="504">
        <f t="shared" ref="D246:AC246" si="127">SUM(D239:D245)</f>
        <v>98</v>
      </c>
      <c r="E246" s="504">
        <f t="shared" si="127"/>
        <v>265</v>
      </c>
      <c r="F246" s="504">
        <f t="shared" si="127"/>
        <v>281</v>
      </c>
      <c r="G246" s="504">
        <f t="shared" si="127"/>
        <v>574</v>
      </c>
      <c r="H246" s="504">
        <f t="shared" si="127"/>
        <v>124</v>
      </c>
      <c r="I246" s="504">
        <f t="shared" si="127"/>
        <v>316</v>
      </c>
      <c r="J246" s="504">
        <f t="shared" si="127"/>
        <v>41</v>
      </c>
      <c r="K246" s="504">
        <f t="shared" si="127"/>
        <v>83</v>
      </c>
      <c r="L246" s="504">
        <f t="shared" si="127"/>
        <v>53</v>
      </c>
      <c r="M246" s="504">
        <f t="shared" si="127"/>
        <v>260</v>
      </c>
      <c r="N246" s="504">
        <f t="shared" si="127"/>
        <v>177</v>
      </c>
      <c r="O246" s="504">
        <f t="shared" si="127"/>
        <v>315</v>
      </c>
      <c r="P246" s="504">
        <f t="shared" si="127"/>
        <v>205</v>
      </c>
      <c r="Q246" s="504">
        <f t="shared" si="127"/>
        <v>1162</v>
      </c>
      <c r="R246" s="504">
        <f t="shared" si="127"/>
        <v>350</v>
      </c>
      <c r="S246" s="504">
        <f t="shared" si="127"/>
        <v>33</v>
      </c>
      <c r="T246" s="504">
        <f t="shared" si="127"/>
        <v>75</v>
      </c>
      <c r="U246" s="504">
        <f t="shared" si="127"/>
        <v>229</v>
      </c>
      <c r="V246" s="504">
        <f t="shared" si="127"/>
        <v>2626</v>
      </c>
      <c r="W246" s="504">
        <f t="shared" si="127"/>
        <v>107</v>
      </c>
      <c r="X246" s="504">
        <f t="shared" si="127"/>
        <v>247</v>
      </c>
      <c r="Y246" s="504">
        <f t="shared" si="127"/>
        <v>85</v>
      </c>
      <c r="Z246" s="504">
        <f t="shared" si="127"/>
        <v>75</v>
      </c>
      <c r="AA246" s="504">
        <f t="shared" si="127"/>
        <v>91</v>
      </c>
      <c r="AB246" s="504">
        <f t="shared" si="127"/>
        <v>185</v>
      </c>
      <c r="AC246" s="504">
        <f t="shared" si="127"/>
        <v>472</v>
      </c>
    </row>
    <row r="247" spans="1:29">
      <c r="A247" s="459" t="s">
        <v>617</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51" spans="1:29" ht="15.6">
      <c r="A251" s="425" t="s">
        <v>618</v>
      </c>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c r="AC251" s="459"/>
    </row>
    <row r="252" spans="1:29">
      <c r="A252" s="131" t="s">
        <v>606</v>
      </c>
      <c r="B252" s="131" t="s">
        <v>64</v>
      </c>
      <c r="C252" s="131" t="str">
        <f>C238</f>
        <v>IE</v>
      </c>
      <c r="D252" s="131" t="str">
        <f t="shared" ref="D252:AC252" si="128">D238</f>
        <v>IE-CW</v>
      </c>
      <c r="E252" s="131" t="str">
        <f t="shared" si="128"/>
        <v>IE-D</v>
      </c>
      <c r="F252" s="131" t="str">
        <f t="shared" si="128"/>
        <v>IE-KE</v>
      </c>
      <c r="G252" s="131" t="str">
        <f t="shared" si="128"/>
        <v>IE-KK</v>
      </c>
      <c r="H252" s="131" t="str">
        <f t="shared" si="128"/>
        <v>IE-LS</v>
      </c>
      <c r="I252" s="131" t="str">
        <f t="shared" si="128"/>
        <v>IE-LD</v>
      </c>
      <c r="J252" s="131" t="str">
        <f t="shared" si="128"/>
        <v>IE-LH</v>
      </c>
      <c r="K252" s="131" t="str">
        <f t="shared" si="128"/>
        <v>IE-MH</v>
      </c>
      <c r="L252" s="131" t="str">
        <f t="shared" si="128"/>
        <v>IE-OY</v>
      </c>
      <c r="M252" s="131" t="str">
        <f t="shared" si="128"/>
        <v>IE-WH</v>
      </c>
      <c r="N252" s="131" t="str">
        <f t="shared" si="128"/>
        <v>IE-WX</v>
      </c>
      <c r="O252" s="131" t="str">
        <f t="shared" si="128"/>
        <v>IE-WW</v>
      </c>
      <c r="P252" s="131" t="str">
        <f t="shared" si="128"/>
        <v>IE-CE</v>
      </c>
      <c r="Q252" s="131" t="str">
        <f t="shared" si="128"/>
        <v>IE-CO</v>
      </c>
      <c r="R252" s="131" t="str">
        <f t="shared" si="128"/>
        <v>IE-KY</v>
      </c>
      <c r="S252" s="131" t="str">
        <f t="shared" si="128"/>
        <v>IE-LK</v>
      </c>
      <c r="T252" s="131" t="str">
        <f t="shared" si="128"/>
        <v>IE-TA</v>
      </c>
      <c r="U252" s="131" t="str">
        <f t="shared" si="128"/>
        <v>IE-WD</v>
      </c>
      <c r="V252" s="131" t="str">
        <f t="shared" si="128"/>
        <v>IE-G</v>
      </c>
      <c r="W252" s="131" t="str">
        <f t="shared" si="128"/>
        <v>IE-LM</v>
      </c>
      <c r="X252" s="131" t="str">
        <f t="shared" si="128"/>
        <v>IE-MO</v>
      </c>
      <c r="Y252" s="131" t="str">
        <f t="shared" si="128"/>
        <v>IE-RN</v>
      </c>
      <c r="Z252" s="131" t="str">
        <f t="shared" si="128"/>
        <v>IE-SO</v>
      </c>
      <c r="AA252" s="131" t="str">
        <f t="shared" si="128"/>
        <v>IE-CN</v>
      </c>
      <c r="AB252" s="131" t="str">
        <f t="shared" si="128"/>
        <v>IE-DL</v>
      </c>
      <c r="AC252" s="131" t="str">
        <f t="shared" si="128"/>
        <v>IE-MN</v>
      </c>
    </row>
    <row r="253" spans="1:29">
      <c r="A253" s="459" t="s">
        <v>345</v>
      </c>
      <c r="B253" s="507" t="s">
        <v>610</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459" t="s">
        <v>346</v>
      </c>
      <c r="B254" s="1" t="s">
        <v>610</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459" t="s">
        <v>347</v>
      </c>
      <c r="B255" s="1" t="s">
        <v>610</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459" t="s">
        <v>348</v>
      </c>
      <c r="B256" s="1" t="s">
        <v>610</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459" t="s">
        <v>349</v>
      </c>
      <c r="B257" s="1" t="s">
        <v>610</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459" t="s">
        <v>350</v>
      </c>
      <c r="B258" s="1" t="s">
        <v>610</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459" t="s">
        <v>351</v>
      </c>
      <c r="B259" s="1" t="s">
        <v>610</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458" t="s">
        <v>16</v>
      </c>
      <c r="B260" s="458" t="s">
        <v>610</v>
      </c>
      <c r="C260" s="403">
        <f t="shared" ref="C260:AC260" si="131">SUM(C253:C259)</f>
        <v>1</v>
      </c>
      <c r="D260" s="403">
        <f t="shared" si="131"/>
        <v>1</v>
      </c>
      <c r="E260" s="403">
        <f t="shared" si="131"/>
        <v>1</v>
      </c>
      <c r="F260" s="403">
        <f t="shared" si="131"/>
        <v>1</v>
      </c>
      <c r="G260" s="403">
        <f t="shared" si="131"/>
        <v>1</v>
      </c>
      <c r="H260" s="403">
        <f t="shared" si="131"/>
        <v>1</v>
      </c>
      <c r="I260" s="403">
        <f t="shared" si="131"/>
        <v>1</v>
      </c>
      <c r="J260" s="403">
        <f t="shared" si="131"/>
        <v>1</v>
      </c>
      <c r="K260" s="403">
        <f t="shared" si="131"/>
        <v>1</v>
      </c>
      <c r="L260" s="403">
        <f t="shared" si="131"/>
        <v>1</v>
      </c>
      <c r="M260" s="403">
        <f t="shared" si="131"/>
        <v>0.99999999999999989</v>
      </c>
      <c r="N260" s="403">
        <f t="shared" si="131"/>
        <v>1</v>
      </c>
      <c r="O260" s="403">
        <f t="shared" si="131"/>
        <v>1</v>
      </c>
      <c r="P260" s="403">
        <f t="shared" si="131"/>
        <v>0.99999999999999989</v>
      </c>
      <c r="Q260" s="403">
        <f t="shared" si="131"/>
        <v>1</v>
      </c>
      <c r="R260" s="403">
        <f t="shared" si="131"/>
        <v>1</v>
      </c>
      <c r="S260" s="403">
        <f t="shared" si="131"/>
        <v>1</v>
      </c>
      <c r="T260" s="403">
        <f t="shared" si="131"/>
        <v>1</v>
      </c>
      <c r="U260" s="403">
        <f t="shared" si="131"/>
        <v>1</v>
      </c>
      <c r="V260" s="403">
        <f t="shared" si="131"/>
        <v>0.99999999999999989</v>
      </c>
      <c r="W260" s="403">
        <f t="shared" si="131"/>
        <v>1</v>
      </c>
      <c r="X260" s="403">
        <f t="shared" si="131"/>
        <v>1</v>
      </c>
      <c r="Y260" s="403">
        <f t="shared" si="131"/>
        <v>1</v>
      </c>
      <c r="Z260" s="403">
        <f t="shared" si="131"/>
        <v>1</v>
      </c>
      <c r="AA260" s="403">
        <f t="shared" si="131"/>
        <v>0.99999999999999989</v>
      </c>
      <c r="AB260" s="403">
        <f t="shared" si="131"/>
        <v>1</v>
      </c>
      <c r="AC260" s="403">
        <f t="shared" si="131"/>
        <v>0.99999999999999989</v>
      </c>
    </row>
    <row r="264" spans="1:29" ht="15.6">
      <c r="A264" s="425" t="s">
        <v>619</v>
      </c>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c r="AC264" s="459"/>
    </row>
    <row r="265" spans="1:29">
      <c r="A265" s="131" t="s">
        <v>606</v>
      </c>
      <c r="B265" s="131" t="s">
        <v>64</v>
      </c>
      <c r="C265" s="131" t="str">
        <f>C252</f>
        <v>IE</v>
      </c>
      <c r="D265" s="131" t="str">
        <f t="shared" ref="D265:AC265" si="132">D252</f>
        <v>IE-CW</v>
      </c>
      <c r="E265" s="131" t="str">
        <f t="shared" si="132"/>
        <v>IE-D</v>
      </c>
      <c r="F265" s="131" t="str">
        <f t="shared" si="132"/>
        <v>IE-KE</v>
      </c>
      <c r="G265" s="131" t="str">
        <f t="shared" si="132"/>
        <v>IE-KK</v>
      </c>
      <c r="H265" s="131" t="str">
        <f t="shared" si="132"/>
        <v>IE-LS</v>
      </c>
      <c r="I265" s="131" t="str">
        <f t="shared" si="132"/>
        <v>IE-LD</v>
      </c>
      <c r="J265" s="131" t="str">
        <f t="shared" si="132"/>
        <v>IE-LH</v>
      </c>
      <c r="K265" s="131" t="str">
        <f t="shared" si="132"/>
        <v>IE-MH</v>
      </c>
      <c r="L265" s="131" t="str">
        <f t="shared" si="132"/>
        <v>IE-OY</v>
      </c>
      <c r="M265" s="131" t="str">
        <f t="shared" si="132"/>
        <v>IE-WH</v>
      </c>
      <c r="N265" s="131" t="str">
        <f t="shared" si="132"/>
        <v>IE-WX</v>
      </c>
      <c r="O265" s="131" t="str">
        <f t="shared" si="132"/>
        <v>IE-WW</v>
      </c>
      <c r="P265" s="131" t="str">
        <f t="shared" si="132"/>
        <v>IE-CE</v>
      </c>
      <c r="Q265" s="131" t="str">
        <f t="shared" si="132"/>
        <v>IE-CO</v>
      </c>
      <c r="R265" s="131" t="str">
        <f t="shared" si="132"/>
        <v>IE-KY</v>
      </c>
      <c r="S265" s="131" t="str">
        <f t="shared" si="132"/>
        <v>IE-LK</v>
      </c>
      <c r="T265" s="131" t="str">
        <f t="shared" si="132"/>
        <v>IE-TA</v>
      </c>
      <c r="U265" s="131" t="str">
        <f t="shared" si="132"/>
        <v>IE-WD</v>
      </c>
      <c r="V265" s="131" t="str">
        <f t="shared" si="132"/>
        <v>IE-G</v>
      </c>
      <c r="W265" s="131" t="str">
        <f t="shared" si="132"/>
        <v>IE-LM</v>
      </c>
      <c r="X265" s="131" t="str">
        <f t="shared" si="132"/>
        <v>IE-MO</v>
      </c>
      <c r="Y265" s="131" t="str">
        <f t="shared" si="132"/>
        <v>IE-RN</v>
      </c>
      <c r="Z265" s="131" t="str">
        <f t="shared" si="132"/>
        <v>IE-SO</v>
      </c>
      <c r="AA265" s="131" t="str">
        <f t="shared" si="132"/>
        <v>IE-CN</v>
      </c>
      <c r="AB265" s="131" t="str">
        <f t="shared" si="132"/>
        <v>IE-DL</v>
      </c>
      <c r="AC265" s="131" t="str">
        <f t="shared" si="132"/>
        <v>IE-MN</v>
      </c>
    </row>
    <row r="266" spans="1:29">
      <c r="A266" s="459" t="s">
        <v>345</v>
      </c>
      <c r="B266" s="459" t="s">
        <v>611</v>
      </c>
      <c r="C266" s="505">
        <v>1.5410369892896236</v>
      </c>
      <c r="D266" s="505">
        <v>1.5410369892896236</v>
      </c>
      <c r="E266" s="505">
        <v>1.5410369892896236</v>
      </c>
      <c r="F266" s="505">
        <v>1.5410369892896236</v>
      </c>
      <c r="G266" s="505">
        <v>1.5410369892896236</v>
      </c>
      <c r="H266" s="505">
        <v>1.5410369892896236</v>
      </c>
      <c r="I266" s="505">
        <v>1.5410369892896236</v>
      </c>
      <c r="J266" s="505">
        <v>1.5410369892896236</v>
      </c>
      <c r="K266" s="505">
        <v>1.5410369892896236</v>
      </c>
      <c r="L266" s="505">
        <v>1.5410369892896236</v>
      </c>
      <c r="M266" s="505">
        <v>1.5410369892896236</v>
      </c>
      <c r="N266" s="505">
        <v>1.5410369892896236</v>
      </c>
      <c r="O266" s="505">
        <v>1.5410369892896236</v>
      </c>
      <c r="P266" s="505">
        <v>1.5410369892896236</v>
      </c>
      <c r="Q266" s="505">
        <v>1.5410369892896236</v>
      </c>
      <c r="R266" s="505">
        <v>1.5410369892896236</v>
      </c>
      <c r="S266" s="505">
        <v>1.5410369892896236</v>
      </c>
      <c r="T266" s="505">
        <v>1.5410369892896236</v>
      </c>
      <c r="U266" s="505">
        <v>1.5410369892896236</v>
      </c>
      <c r="V266" s="505">
        <v>1.5410369892896236</v>
      </c>
      <c r="W266" s="505">
        <v>1.5410369892896236</v>
      </c>
      <c r="X266" s="505">
        <v>1.5410369892896236</v>
      </c>
      <c r="Y266" s="505">
        <v>1.5410369892896236</v>
      </c>
      <c r="Z266" s="505">
        <v>1.5410369892896236</v>
      </c>
      <c r="AA266" s="505">
        <v>1.5410369892896236</v>
      </c>
      <c r="AB266" s="505">
        <v>1.5410369892896236</v>
      </c>
      <c r="AC266" s="505">
        <v>1.5410369892896236</v>
      </c>
    </row>
    <row r="267" spans="1:29">
      <c r="A267" s="459" t="s">
        <v>346</v>
      </c>
      <c r="B267" s="459" t="s">
        <v>611</v>
      </c>
      <c r="C267" s="505">
        <v>1.5689674081337737</v>
      </c>
      <c r="D267" s="505">
        <v>1.5689674081337737</v>
      </c>
      <c r="E267" s="505">
        <v>1.5689674081337737</v>
      </c>
      <c r="F267" s="505">
        <v>1.5689674081337737</v>
      </c>
      <c r="G267" s="505">
        <v>1.5689674081337737</v>
      </c>
      <c r="H267" s="505">
        <v>1.5689674081337737</v>
      </c>
      <c r="I267" s="505">
        <v>1.5689674081337737</v>
      </c>
      <c r="J267" s="505">
        <v>1.5689674081337737</v>
      </c>
      <c r="K267" s="505">
        <v>1.5689674081337737</v>
      </c>
      <c r="L267" s="505">
        <v>1.5689674081337737</v>
      </c>
      <c r="M267" s="505">
        <v>1.5689674081337737</v>
      </c>
      <c r="N267" s="505">
        <v>1.5689674081337737</v>
      </c>
      <c r="O267" s="505">
        <v>1.5689674081337737</v>
      </c>
      <c r="P267" s="505">
        <v>1.5689674081337737</v>
      </c>
      <c r="Q267" s="505">
        <v>1.5689674081337737</v>
      </c>
      <c r="R267" s="505">
        <v>1.5689674081337737</v>
      </c>
      <c r="S267" s="505">
        <v>1.5689674081337737</v>
      </c>
      <c r="T267" s="505">
        <v>1.5689674081337737</v>
      </c>
      <c r="U267" s="505">
        <v>1.5689674081337737</v>
      </c>
      <c r="V267" s="505">
        <v>1.5689674081337737</v>
      </c>
      <c r="W267" s="505">
        <v>1.5689674081337737</v>
      </c>
      <c r="X267" s="505">
        <v>1.5689674081337737</v>
      </c>
      <c r="Y267" s="505">
        <v>1.5689674081337737</v>
      </c>
      <c r="Z267" s="505">
        <v>1.5689674081337737</v>
      </c>
      <c r="AA267" s="505">
        <v>1.5689674081337737</v>
      </c>
      <c r="AB267" s="505">
        <v>1.5689674081337737</v>
      </c>
      <c r="AC267" s="505">
        <v>1.5689674081337737</v>
      </c>
    </row>
    <row r="268" spans="1:29">
      <c r="A268" s="459" t="s">
        <v>347</v>
      </c>
      <c r="B268" s="459" t="s">
        <v>611</v>
      </c>
      <c r="C268" s="505">
        <v>1.7415357309829498</v>
      </c>
      <c r="D268" s="505">
        <v>1.7415357309829498</v>
      </c>
      <c r="E268" s="505">
        <v>1.7415357309829498</v>
      </c>
      <c r="F268" s="505">
        <v>1.7415357309829498</v>
      </c>
      <c r="G268" s="505">
        <v>1.7415357309829498</v>
      </c>
      <c r="H268" s="505">
        <v>1.7415357309829498</v>
      </c>
      <c r="I268" s="505">
        <v>1.7415357309829498</v>
      </c>
      <c r="J268" s="505">
        <v>1.7415357309829498</v>
      </c>
      <c r="K268" s="505">
        <v>1.7415357309829498</v>
      </c>
      <c r="L268" s="505">
        <v>1.7415357309829498</v>
      </c>
      <c r="M268" s="505">
        <v>1.7415357309829498</v>
      </c>
      <c r="N268" s="505">
        <v>1.7415357309829498</v>
      </c>
      <c r="O268" s="505">
        <v>1.7415357309829498</v>
      </c>
      <c r="P268" s="505">
        <v>1.7415357309829498</v>
      </c>
      <c r="Q268" s="505">
        <v>1.7415357309829498</v>
      </c>
      <c r="R268" s="505">
        <v>1.7415357309829498</v>
      </c>
      <c r="S268" s="505">
        <v>1.7415357309829498</v>
      </c>
      <c r="T268" s="505">
        <v>1.7415357309829498</v>
      </c>
      <c r="U268" s="505">
        <v>1.7415357309829498</v>
      </c>
      <c r="V268" s="505">
        <v>1.7415357309829498</v>
      </c>
      <c r="W268" s="505">
        <v>1.7415357309829498</v>
      </c>
      <c r="X268" s="505">
        <v>1.7415357309829498</v>
      </c>
      <c r="Y268" s="505">
        <v>1.7415357309829498</v>
      </c>
      <c r="Z268" s="505">
        <v>1.7415357309829498</v>
      </c>
      <c r="AA268" s="505">
        <v>1.7415357309829498</v>
      </c>
      <c r="AB268" s="505">
        <v>1.7415357309829498</v>
      </c>
      <c r="AC268" s="505">
        <v>1.7415357309829498</v>
      </c>
    </row>
    <row r="269" spans="1:29">
      <c r="A269" s="459" t="s">
        <v>348</v>
      </c>
      <c r="B269" s="459" t="s">
        <v>611</v>
      </c>
      <c r="C269" s="505">
        <v>1.7596865383612372</v>
      </c>
      <c r="D269" s="505">
        <v>1.7596865383612372</v>
      </c>
      <c r="E269" s="505">
        <v>1.7596865383612372</v>
      </c>
      <c r="F269" s="505">
        <v>1.7596865383612372</v>
      </c>
      <c r="G269" s="505">
        <v>1.7596865383612372</v>
      </c>
      <c r="H269" s="505">
        <v>1.7596865383612372</v>
      </c>
      <c r="I269" s="505">
        <v>1.7596865383612372</v>
      </c>
      <c r="J269" s="505">
        <v>1.7596865383612372</v>
      </c>
      <c r="K269" s="505">
        <v>1.7596865383612372</v>
      </c>
      <c r="L269" s="505">
        <v>1.7596865383612372</v>
      </c>
      <c r="M269" s="505">
        <v>1.7596865383612372</v>
      </c>
      <c r="N269" s="505">
        <v>1.7596865383612372</v>
      </c>
      <c r="O269" s="505">
        <v>1.7596865383612372</v>
      </c>
      <c r="P269" s="505">
        <v>1.7596865383612372</v>
      </c>
      <c r="Q269" s="505">
        <v>1.7596865383612372</v>
      </c>
      <c r="R269" s="505">
        <v>1.7596865383612372</v>
      </c>
      <c r="S269" s="505">
        <v>1.7596865383612372</v>
      </c>
      <c r="T269" s="505">
        <v>1.7596865383612372</v>
      </c>
      <c r="U269" s="505">
        <v>1.7596865383612372</v>
      </c>
      <c r="V269" s="505">
        <v>1.7596865383612372</v>
      </c>
      <c r="W269" s="505">
        <v>1.7596865383612372</v>
      </c>
      <c r="X269" s="505">
        <v>1.7596865383612372</v>
      </c>
      <c r="Y269" s="505">
        <v>1.7596865383612372</v>
      </c>
      <c r="Z269" s="505">
        <v>1.7596865383612372</v>
      </c>
      <c r="AA269" s="505">
        <v>1.7596865383612372</v>
      </c>
      <c r="AB269" s="505">
        <v>1.7596865383612372</v>
      </c>
      <c r="AC269" s="505">
        <v>1.7596865383612372</v>
      </c>
    </row>
    <row r="270" spans="1:29">
      <c r="A270" s="459" t="s">
        <v>349</v>
      </c>
      <c r="B270" s="459" t="s">
        <v>611</v>
      </c>
      <c r="C270" s="505">
        <v>1.8433586255014824</v>
      </c>
      <c r="D270" s="505">
        <v>1.8433586255014824</v>
      </c>
      <c r="E270" s="505">
        <v>1.8433586255014824</v>
      </c>
      <c r="F270" s="505">
        <v>1.8433586255014824</v>
      </c>
      <c r="G270" s="505">
        <v>1.8433586255014824</v>
      </c>
      <c r="H270" s="505">
        <v>1.8433586255014824</v>
      </c>
      <c r="I270" s="505">
        <v>1.8433586255014824</v>
      </c>
      <c r="J270" s="505">
        <v>1.8433586255014824</v>
      </c>
      <c r="K270" s="505">
        <v>1.8433586255014824</v>
      </c>
      <c r="L270" s="505">
        <v>1.8433586255014824</v>
      </c>
      <c r="M270" s="505">
        <v>1.8433586255014824</v>
      </c>
      <c r="N270" s="505">
        <v>1.8433586255014824</v>
      </c>
      <c r="O270" s="505">
        <v>1.8433586255014824</v>
      </c>
      <c r="P270" s="505">
        <v>1.8433586255014824</v>
      </c>
      <c r="Q270" s="505">
        <v>1.8433586255014824</v>
      </c>
      <c r="R270" s="505">
        <v>1.8433586255014824</v>
      </c>
      <c r="S270" s="505">
        <v>1.8433586255014824</v>
      </c>
      <c r="T270" s="505">
        <v>1.8433586255014824</v>
      </c>
      <c r="U270" s="505">
        <v>1.8433586255014824</v>
      </c>
      <c r="V270" s="505">
        <v>1.8433586255014824</v>
      </c>
      <c r="W270" s="505">
        <v>1.8433586255014824</v>
      </c>
      <c r="X270" s="505">
        <v>1.8433586255014824</v>
      </c>
      <c r="Y270" s="505">
        <v>1.8433586255014824</v>
      </c>
      <c r="Z270" s="505">
        <v>1.8433586255014824</v>
      </c>
      <c r="AA270" s="505">
        <v>1.8433586255014824</v>
      </c>
      <c r="AB270" s="505">
        <v>1.8433586255014824</v>
      </c>
      <c r="AC270" s="505">
        <v>1.8433586255014824</v>
      </c>
    </row>
    <row r="271" spans="1:29">
      <c r="A271" s="459" t="s">
        <v>350</v>
      </c>
      <c r="B271" s="459" t="s">
        <v>611</v>
      </c>
      <c r="C271" s="505">
        <v>1.8529030871906271</v>
      </c>
      <c r="D271" s="505">
        <v>1.8529030871906271</v>
      </c>
      <c r="E271" s="505">
        <v>1.8529030871906271</v>
      </c>
      <c r="F271" s="505">
        <v>1.8529030871906271</v>
      </c>
      <c r="G271" s="505">
        <v>1.8529030871906271</v>
      </c>
      <c r="H271" s="505">
        <v>1.8529030871906271</v>
      </c>
      <c r="I271" s="505">
        <v>1.8529030871906271</v>
      </c>
      <c r="J271" s="505">
        <v>1.8529030871906271</v>
      </c>
      <c r="K271" s="505">
        <v>1.8529030871906271</v>
      </c>
      <c r="L271" s="505">
        <v>1.8529030871906271</v>
      </c>
      <c r="M271" s="505">
        <v>1.8529030871906271</v>
      </c>
      <c r="N271" s="505">
        <v>1.8529030871906271</v>
      </c>
      <c r="O271" s="505">
        <v>1.8529030871906271</v>
      </c>
      <c r="P271" s="505">
        <v>1.8529030871906271</v>
      </c>
      <c r="Q271" s="505">
        <v>1.8529030871906271</v>
      </c>
      <c r="R271" s="505">
        <v>1.8529030871906271</v>
      </c>
      <c r="S271" s="505">
        <v>1.8529030871906271</v>
      </c>
      <c r="T271" s="505">
        <v>1.8529030871906271</v>
      </c>
      <c r="U271" s="505">
        <v>1.8529030871906271</v>
      </c>
      <c r="V271" s="505">
        <v>1.8529030871906271</v>
      </c>
      <c r="W271" s="505">
        <v>1.8529030871906271</v>
      </c>
      <c r="X271" s="505">
        <v>1.8529030871906271</v>
      </c>
      <c r="Y271" s="505">
        <v>1.8529030871906271</v>
      </c>
      <c r="Z271" s="505">
        <v>1.8529030871906271</v>
      </c>
      <c r="AA271" s="505">
        <v>1.8529030871906271</v>
      </c>
      <c r="AB271" s="505">
        <v>1.8529030871906271</v>
      </c>
      <c r="AC271" s="505">
        <v>1.8529030871906271</v>
      </c>
    </row>
    <row r="272" spans="1:29">
      <c r="A272" s="458" t="s">
        <v>351</v>
      </c>
      <c r="B272" s="458" t="s">
        <v>611</v>
      </c>
      <c r="C272" s="506">
        <v>2.076438345513917</v>
      </c>
      <c r="D272" s="506">
        <v>2.076438345513917</v>
      </c>
      <c r="E272" s="506">
        <v>2.076438345513917</v>
      </c>
      <c r="F272" s="506">
        <v>2.076438345513917</v>
      </c>
      <c r="G272" s="506">
        <v>2.076438345513917</v>
      </c>
      <c r="H272" s="506">
        <v>2.076438345513917</v>
      </c>
      <c r="I272" s="506">
        <v>2.076438345513917</v>
      </c>
      <c r="J272" s="506">
        <v>2.076438345513917</v>
      </c>
      <c r="K272" s="506">
        <v>2.076438345513917</v>
      </c>
      <c r="L272" s="506">
        <v>2.076438345513917</v>
      </c>
      <c r="M272" s="506">
        <v>2.076438345513917</v>
      </c>
      <c r="N272" s="506">
        <v>2.076438345513917</v>
      </c>
      <c r="O272" s="506">
        <v>2.076438345513917</v>
      </c>
      <c r="P272" s="506">
        <v>2.076438345513917</v>
      </c>
      <c r="Q272" s="506">
        <v>2.076438345513917</v>
      </c>
      <c r="R272" s="506">
        <v>2.076438345513917</v>
      </c>
      <c r="S272" s="506">
        <v>2.076438345513917</v>
      </c>
      <c r="T272" s="506">
        <v>2.076438345513917</v>
      </c>
      <c r="U272" s="506">
        <v>2.076438345513917</v>
      </c>
      <c r="V272" s="506">
        <v>2.076438345513917</v>
      </c>
      <c r="W272" s="506">
        <v>2.076438345513917</v>
      </c>
      <c r="X272" s="506">
        <v>2.076438345513917</v>
      </c>
      <c r="Y272" s="506">
        <v>2.076438345513917</v>
      </c>
      <c r="Z272" s="506">
        <v>2.076438345513917</v>
      </c>
      <c r="AA272" s="506">
        <v>2.076438345513917</v>
      </c>
      <c r="AB272" s="506">
        <v>2.076438345513917</v>
      </c>
      <c r="AC272" s="506">
        <v>2.076438345513917</v>
      </c>
    </row>
    <row r="273" spans="1:29">
      <c r="A273" s="510" t="s">
        <v>615</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6" spans="1:29">
      <c r="A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c r="AC276" s="459"/>
    </row>
    <row r="277" spans="1:29" ht="15.6">
      <c r="A277" s="425" t="s">
        <v>619</v>
      </c>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c r="AC277" s="459"/>
    </row>
    <row r="278" spans="1:29">
      <c r="A278" s="131" t="s">
        <v>606</v>
      </c>
      <c r="B278" s="131" t="s">
        <v>64</v>
      </c>
      <c r="C278" s="131" t="str">
        <f>C265</f>
        <v>IE</v>
      </c>
      <c r="D278" s="131" t="str">
        <f t="shared" ref="D278:AC278" si="133">D265</f>
        <v>IE-CW</v>
      </c>
      <c r="E278" s="131" t="str">
        <f t="shared" si="133"/>
        <v>IE-D</v>
      </c>
      <c r="F278" s="131" t="str">
        <f t="shared" si="133"/>
        <v>IE-KE</v>
      </c>
      <c r="G278" s="131" t="str">
        <f t="shared" si="133"/>
        <v>IE-KK</v>
      </c>
      <c r="H278" s="131" t="str">
        <f t="shared" si="133"/>
        <v>IE-LS</v>
      </c>
      <c r="I278" s="131" t="str">
        <f t="shared" si="133"/>
        <v>IE-LD</v>
      </c>
      <c r="J278" s="131" t="str">
        <f t="shared" si="133"/>
        <v>IE-LH</v>
      </c>
      <c r="K278" s="131" t="str">
        <f t="shared" si="133"/>
        <v>IE-MH</v>
      </c>
      <c r="L278" s="131" t="str">
        <f t="shared" si="133"/>
        <v>IE-OY</v>
      </c>
      <c r="M278" s="131" t="str">
        <f t="shared" si="133"/>
        <v>IE-WH</v>
      </c>
      <c r="N278" s="131" t="str">
        <f t="shared" si="133"/>
        <v>IE-WX</v>
      </c>
      <c r="O278" s="131" t="str">
        <f t="shared" si="133"/>
        <v>IE-WW</v>
      </c>
      <c r="P278" s="131" t="str">
        <f t="shared" si="133"/>
        <v>IE-CE</v>
      </c>
      <c r="Q278" s="131" t="str">
        <f t="shared" si="133"/>
        <v>IE-CO</v>
      </c>
      <c r="R278" s="131" t="str">
        <f t="shared" si="133"/>
        <v>IE-KY</v>
      </c>
      <c r="S278" s="131" t="str">
        <f t="shared" si="133"/>
        <v>IE-LK</v>
      </c>
      <c r="T278" s="131" t="str">
        <f t="shared" si="133"/>
        <v>IE-TA</v>
      </c>
      <c r="U278" s="131" t="str">
        <f t="shared" si="133"/>
        <v>IE-WD</v>
      </c>
      <c r="V278" s="131" t="str">
        <f t="shared" si="133"/>
        <v>IE-G</v>
      </c>
      <c r="W278" s="131" t="str">
        <f t="shared" si="133"/>
        <v>IE-LM</v>
      </c>
      <c r="X278" s="131" t="str">
        <f t="shared" si="133"/>
        <v>IE-MO</v>
      </c>
      <c r="Y278" s="131" t="str">
        <f t="shared" si="133"/>
        <v>IE-RN</v>
      </c>
      <c r="Z278" s="131" t="str">
        <f t="shared" si="133"/>
        <v>IE-SO</v>
      </c>
      <c r="AA278" s="131" t="str">
        <f t="shared" si="133"/>
        <v>IE-CN</v>
      </c>
      <c r="AB278" s="131" t="str">
        <f t="shared" si="133"/>
        <v>IE-DL</v>
      </c>
      <c r="AC278" s="131" t="str">
        <f t="shared" si="133"/>
        <v>IE-MN</v>
      </c>
    </row>
    <row r="279" spans="1:29">
      <c r="A279" s="459" t="s">
        <v>627</v>
      </c>
      <c r="B279" s="459" t="s">
        <v>611</v>
      </c>
      <c r="C279" s="505">
        <f>SUMPRODUCT(C253:C259,C266:C272)</f>
        <v>1.6619529898518981</v>
      </c>
      <c r="D279" s="505">
        <f>IF(D246&gt;1,SUMPRODUCT(D253:D259,D266:D272),$C$230)</f>
        <v>1.6415930285036124</v>
      </c>
      <c r="E279" s="505">
        <f t="shared" ref="E279:AC279" si="134">IF(E246&gt;1,SUMPRODUCT(E253:E259,E266:E272),$C$230)</f>
        <v>1.6824155298383927</v>
      </c>
      <c r="F279" s="505">
        <f t="shared" si="134"/>
        <v>1.6382873945238248</v>
      </c>
      <c r="G279" s="505">
        <f t="shared" si="134"/>
        <v>1.6440804897009154</v>
      </c>
      <c r="H279" s="505">
        <f t="shared" si="134"/>
        <v>1.6514759468771643</v>
      </c>
      <c r="I279" s="505">
        <f t="shared" si="134"/>
        <v>1.6575815691238844</v>
      </c>
      <c r="J279" s="505">
        <f t="shared" si="134"/>
        <v>1.6291996265803439</v>
      </c>
      <c r="K279" s="505">
        <f t="shared" si="134"/>
        <v>1.7027258992750904</v>
      </c>
      <c r="L279" s="505">
        <f t="shared" si="134"/>
        <v>1.6219999252187001</v>
      </c>
      <c r="M279" s="505">
        <f t="shared" si="134"/>
        <v>1.6525696047253173</v>
      </c>
      <c r="N279" s="505">
        <f t="shared" si="134"/>
        <v>1.6163910938385573</v>
      </c>
      <c r="O279" s="505">
        <f t="shared" si="134"/>
        <v>1.6246637483235278</v>
      </c>
      <c r="P279" s="505">
        <f t="shared" si="134"/>
        <v>1.6510454202444789</v>
      </c>
      <c r="Q279" s="505">
        <f t="shared" si="134"/>
        <v>1.6540545361617276</v>
      </c>
      <c r="R279" s="505">
        <f t="shared" si="134"/>
        <v>1.6764124580787587</v>
      </c>
      <c r="S279" s="505">
        <f t="shared" si="134"/>
        <v>1.6372218478027598</v>
      </c>
      <c r="T279" s="505">
        <f t="shared" si="134"/>
        <v>1.6208233994883556</v>
      </c>
      <c r="U279" s="505">
        <f t="shared" si="134"/>
        <v>1.6526445307491071</v>
      </c>
      <c r="V279" s="505">
        <f t="shared" si="134"/>
        <v>1.6961438929638242</v>
      </c>
      <c r="W279" s="505">
        <f t="shared" si="134"/>
        <v>1.6413951213872302</v>
      </c>
      <c r="X279" s="505">
        <f t="shared" si="134"/>
        <v>1.6281630287089306</v>
      </c>
      <c r="Y279" s="505">
        <f t="shared" si="134"/>
        <v>1.636222953125988</v>
      </c>
      <c r="Z279" s="505">
        <f t="shared" si="134"/>
        <v>1.6286495365749154</v>
      </c>
      <c r="AA279" s="505">
        <f t="shared" si="134"/>
        <v>1.618155975530319</v>
      </c>
      <c r="AB279" s="505">
        <f t="shared" si="134"/>
        <v>1.6292238892424922</v>
      </c>
      <c r="AC279" s="505">
        <f t="shared" si="134"/>
        <v>1.6330547237118052</v>
      </c>
    </row>
    <row r="280" spans="1:29">
      <c r="A280" s="458"/>
      <c r="B280" s="458" t="s">
        <v>599</v>
      </c>
      <c r="C280" s="508">
        <f>1000/C279</f>
        <v>601.70173651488972</v>
      </c>
      <c r="D280" s="508">
        <f>1000/D279</f>
        <v>609.16438035287342</v>
      </c>
      <c r="E280" s="508">
        <f>1000/E279</f>
        <v>594.38348152674075</v>
      </c>
      <c r="F280" s="508">
        <f>1000/F279</f>
        <v>610.39351419208981</v>
      </c>
      <c r="G280" s="508">
        <f t="shared" ref="G280" si="135">1000/G279</f>
        <v>608.24272671827407</v>
      </c>
      <c r="H280" s="508">
        <f t="shared" ref="H280" si="136">1000/H279</f>
        <v>605.51896132119646</v>
      </c>
      <c r="I280" s="508">
        <f t="shared" ref="I280" si="137">1000/I279</f>
        <v>603.28856125526931</v>
      </c>
      <c r="J280" s="508">
        <f t="shared" ref="J280" si="138">1000/J279</f>
        <v>613.79832384259703</v>
      </c>
      <c r="K280" s="508">
        <f t="shared" ref="K280" si="139">1000/K279</f>
        <v>587.29358637566668</v>
      </c>
      <c r="L280" s="508">
        <f t="shared" ref="L280" si="140">1000/L279</f>
        <v>616.52283976842136</v>
      </c>
      <c r="M280" s="508">
        <f t="shared" ref="M280" si="141">1000/M279</f>
        <v>605.11823353196394</v>
      </c>
      <c r="N280" s="508">
        <f t="shared" ref="N280" si="142">1000/N279</f>
        <v>618.66215658565022</v>
      </c>
      <c r="O280" s="508">
        <f t="shared" ref="O280" si="143">1000/O279</f>
        <v>615.51197965233655</v>
      </c>
      <c r="P280" s="508">
        <f t="shared" ref="P280" si="144">1000/P279</f>
        <v>605.67685645615052</v>
      </c>
      <c r="Q280" s="508">
        <f t="shared" ref="Q280" si="145">1000/Q279</f>
        <v>604.57498718302452</v>
      </c>
      <c r="R280" s="508">
        <f t="shared" ref="R280" si="146">1000/R279</f>
        <v>596.51191160082601</v>
      </c>
      <c r="S280" s="508">
        <f t="shared" ref="S280" si="147">1000/S279</f>
        <v>610.79077422650698</v>
      </c>
      <c r="T280" s="508">
        <f t="shared" ref="T280" si="148">1000/T279</f>
        <v>616.9703622958981</v>
      </c>
      <c r="U280" s="508">
        <f t="shared" ref="U280" si="149">1000/U279</f>
        <v>605.09079925779452</v>
      </c>
      <c r="V280" s="508">
        <f t="shared" ref="V280" si="150">1000/V279</f>
        <v>589.57262066522571</v>
      </c>
      <c r="W280" s="508">
        <f t="shared" ref="W280" si="151">1000/W279</f>
        <v>609.23782882627734</v>
      </c>
      <c r="X280" s="508">
        <f t="shared" ref="X280" si="152">1000/X279</f>
        <v>614.18910905559676</v>
      </c>
      <c r="Y280" s="508">
        <f t="shared" ref="Y280" si="153">1000/Y279</f>
        <v>611.16365473880546</v>
      </c>
      <c r="Z280" s="508">
        <f t="shared" ref="Z280" si="154">1000/Z279</f>
        <v>614.00563936119818</v>
      </c>
      <c r="AA280" s="508">
        <f t="shared" ref="AA280" si="155">1000/AA279</f>
        <v>617.98739745856051</v>
      </c>
      <c r="AB280" s="508">
        <f t="shared" ref="AB280" si="156">1000/AB279</f>
        <v>613.78918306000912</v>
      </c>
      <c r="AC280" s="508">
        <f t="shared" ref="AC280" si="157">1000/AC279</f>
        <v>612.34935086993198</v>
      </c>
    </row>
    <row r="284" spans="1:29">
      <c r="A284" s="511"/>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row>
    <row r="285" spans="1:29" ht="15.6">
      <c r="A285" s="401" t="s">
        <v>626</v>
      </c>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c r="AC285" s="459"/>
    </row>
    <row r="286" spans="1:29">
      <c r="A286" s="131" t="s">
        <v>606</v>
      </c>
      <c r="B286" s="131" t="s">
        <v>64</v>
      </c>
      <c r="C286" s="131" t="str">
        <f t="shared" ref="C286:AC286" si="158">C278</f>
        <v>IE</v>
      </c>
      <c r="D286" s="131" t="str">
        <f t="shared" si="158"/>
        <v>IE-CW</v>
      </c>
      <c r="E286" s="131" t="str">
        <f t="shared" si="158"/>
        <v>IE-D</v>
      </c>
      <c r="F286" s="131" t="str">
        <f t="shared" si="158"/>
        <v>IE-KE</v>
      </c>
      <c r="G286" s="131" t="str">
        <f t="shared" si="158"/>
        <v>IE-KK</v>
      </c>
      <c r="H286" s="131" t="str">
        <f t="shared" si="158"/>
        <v>IE-LS</v>
      </c>
      <c r="I286" s="131" t="str">
        <f t="shared" si="158"/>
        <v>IE-LD</v>
      </c>
      <c r="J286" s="131" t="str">
        <f t="shared" si="158"/>
        <v>IE-LH</v>
      </c>
      <c r="K286" s="131" t="str">
        <f t="shared" si="158"/>
        <v>IE-MH</v>
      </c>
      <c r="L286" s="131" t="str">
        <f t="shared" si="158"/>
        <v>IE-OY</v>
      </c>
      <c r="M286" s="131" t="str">
        <f t="shared" si="158"/>
        <v>IE-WH</v>
      </c>
      <c r="N286" s="131" t="str">
        <f t="shared" si="158"/>
        <v>IE-WX</v>
      </c>
      <c r="O286" s="131" t="str">
        <f t="shared" si="158"/>
        <v>IE-WW</v>
      </c>
      <c r="P286" s="131" t="str">
        <f t="shared" si="158"/>
        <v>IE-CE</v>
      </c>
      <c r="Q286" s="131" t="str">
        <f t="shared" si="158"/>
        <v>IE-CO</v>
      </c>
      <c r="R286" s="131" t="str">
        <f t="shared" si="158"/>
        <v>IE-KY</v>
      </c>
      <c r="S286" s="131" t="str">
        <f t="shared" si="158"/>
        <v>IE-LK</v>
      </c>
      <c r="T286" s="131" t="str">
        <f t="shared" si="158"/>
        <v>IE-TA</v>
      </c>
      <c r="U286" s="131" t="str">
        <f t="shared" si="158"/>
        <v>IE-WD</v>
      </c>
      <c r="V286" s="131" t="str">
        <f t="shared" si="158"/>
        <v>IE-G</v>
      </c>
      <c r="W286" s="131" t="str">
        <f t="shared" si="158"/>
        <v>IE-LM</v>
      </c>
      <c r="X286" s="131" t="str">
        <f t="shared" si="158"/>
        <v>IE-MO</v>
      </c>
      <c r="Y286" s="131" t="str">
        <f t="shared" si="158"/>
        <v>IE-RN</v>
      </c>
      <c r="Z286" s="131" t="str">
        <f t="shared" si="158"/>
        <v>IE-SO</v>
      </c>
      <c r="AA286" s="131" t="str">
        <f t="shared" si="158"/>
        <v>IE-CN</v>
      </c>
      <c r="AB286" s="131" t="str">
        <f t="shared" si="158"/>
        <v>IE-DL</v>
      </c>
      <c r="AC286" s="131" t="str">
        <f t="shared" si="158"/>
        <v>IE-MN</v>
      </c>
    </row>
    <row r="287" spans="1:29">
      <c r="A287" s="459" t="s">
        <v>345</v>
      </c>
      <c r="B287" s="459" t="s">
        <v>531</v>
      </c>
      <c r="C287" s="9">
        <f>SUM(D287:AC287)</f>
        <v>2</v>
      </c>
      <c r="D287" s="512">
        <v>0</v>
      </c>
      <c r="E287" s="512">
        <v>0</v>
      </c>
      <c r="F287" s="512">
        <v>0</v>
      </c>
      <c r="G287" s="512">
        <v>0</v>
      </c>
      <c r="H287" s="512">
        <v>0</v>
      </c>
      <c r="I287" s="512">
        <v>0</v>
      </c>
      <c r="J287" s="512">
        <v>0</v>
      </c>
      <c r="K287" s="512">
        <v>0</v>
      </c>
      <c r="L287" s="512">
        <v>0</v>
      </c>
      <c r="M287" s="512">
        <v>0</v>
      </c>
      <c r="N287" s="512">
        <v>0</v>
      </c>
      <c r="O287" s="512">
        <v>0</v>
      </c>
      <c r="P287" s="512">
        <v>0</v>
      </c>
      <c r="Q287" s="512">
        <v>0</v>
      </c>
      <c r="R287" s="512">
        <v>1</v>
      </c>
      <c r="S287" s="512">
        <v>0</v>
      </c>
      <c r="T287" s="512">
        <v>0</v>
      </c>
      <c r="U287" s="512">
        <v>0</v>
      </c>
      <c r="V287" s="512">
        <v>1</v>
      </c>
      <c r="W287" s="512">
        <v>0</v>
      </c>
      <c r="X287" s="512">
        <v>0</v>
      </c>
      <c r="Y287" s="512">
        <v>0</v>
      </c>
      <c r="Z287" s="512">
        <v>0</v>
      </c>
      <c r="AA287" s="512">
        <v>0</v>
      </c>
      <c r="AB287" s="512">
        <v>0</v>
      </c>
      <c r="AC287" s="512">
        <v>0</v>
      </c>
    </row>
    <row r="288" spans="1:29">
      <c r="A288" s="459" t="s">
        <v>346</v>
      </c>
      <c r="B288" s="459" t="s">
        <v>531</v>
      </c>
      <c r="C288" s="9">
        <f t="shared" ref="C288:C293" si="159">SUM(D288:AC288)</f>
        <v>0</v>
      </c>
      <c r="D288" s="512">
        <v>0</v>
      </c>
      <c r="E288" s="512">
        <v>0</v>
      </c>
      <c r="F288" s="512">
        <v>0</v>
      </c>
      <c r="G288" s="512">
        <v>0</v>
      </c>
      <c r="H288" s="512">
        <v>0</v>
      </c>
      <c r="I288" s="512">
        <v>0</v>
      </c>
      <c r="J288" s="512">
        <v>0</v>
      </c>
      <c r="K288" s="512">
        <v>0</v>
      </c>
      <c r="L288" s="512">
        <v>0</v>
      </c>
      <c r="M288" s="512">
        <v>0</v>
      </c>
      <c r="N288" s="512">
        <v>0</v>
      </c>
      <c r="O288" s="512">
        <v>0</v>
      </c>
      <c r="P288" s="512">
        <v>0</v>
      </c>
      <c r="Q288" s="512">
        <v>0</v>
      </c>
      <c r="R288" s="512">
        <v>0</v>
      </c>
      <c r="S288" s="512">
        <v>0</v>
      </c>
      <c r="T288" s="512">
        <v>0</v>
      </c>
      <c r="U288" s="512">
        <v>0</v>
      </c>
      <c r="V288" s="512">
        <v>0</v>
      </c>
      <c r="W288" s="512">
        <v>0</v>
      </c>
      <c r="X288" s="512">
        <v>0</v>
      </c>
      <c r="Y288" s="512">
        <v>0</v>
      </c>
      <c r="Z288" s="512">
        <v>0</v>
      </c>
      <c r="AA288" s="512">
        <v>0</v>
      </c>
      <c r="AB288" s="512">
        <v>0</v>
      </c>
      <c r="AC288" s="512">
        <v>0</v>
      </c>
    </row>
    <row r="289" spans="1:29">
      <c r="A289" s="459" t="s">
        <v>347</v>
      </c>
      <c r="B289" s="459" t="s">
        <v>531</v>
      </c>
      <c r="C289" s="9">
        <f t="shared" si="159"/>
        <v>3181</v>
      </c>
      <c r="D289" s="512">
        <v>26</v>
      </c>
      <c r="E289" s="512">
        <v>122</v>
      </c>
      <c r="F289" s="512">
        <v>40</v>
      </c>
      <c r="G289" s="512">
        <v>187</v>
      </c>
      <c r="H289" s="512">
        <v>39</v>
      </c>
      <c r="I289" s="512">
        <v>75</v>
      </c>
      <c r="J289" s="512">
        <v>10</v>
      </c>
      <c r="K289" s="512">
        <v>35</v>
      </c>
      <c r="L289" s="512">
        <v>11</v>
      </c>
      <c r="M289" s="512">
        <v>50</v>
      </c>
      <c r="N289" s="512">
        <v>31</v>
      </c>
      <c r="O289" s="512">
        <v>67</v>
      </c>
      <c r="P289" s="512">
        <v>52</v>
      </c>
      <c r="Q289" s="512">
        <v>216</v>
      </c>
      <c r="R289" s="512">
        <v>109</v>
      </c>
      <c r="S289" s="512">
        <v>9</v>
      </c>
      <c r="T289" s="512">
        <v>16</v>
      </c>
      <c r="U289" s="512">
        <v>70</v>
      </c>
      <c r="V289" s="512">
        <v>1666</v>
      </c>
      <c r="W289" s="512">
        <v>55</v>
      </c>
      <c r="X289" s="512">
        <v>58</v>
      </c>
      <c r="Y289" s="512">
        <v>35</v>
      </c>
      <c r="Z289" s="512">
        <v>18</v>
      </c>
      <c r="AA289" s="512">
        <v>23</v>
      </c>
      <c r="AB289" s="512">
        <v>20</v>
      </c>
      <c r="AC289" s="512">
        <v>141</v>
      </c>
    </row>
    <row r="290" spans="1:29">
      <c r="A290" s="459" t="s">
        <v>348</v>
      </c>
      <c r="B290" s="459" t="s">
        <v>531</v>
      </c>
      <c r="C290" s="9">
        <f t="shared" si="159"/>
        <v>7669</v>
      </c>
      <c r="D290" s="512">
        <v>57</v>
      </c>
      <c r="E290" s="512">
        <v>320</v>
      </c>
      <c r="F290" s="512">
        <v>170</v>
      </c>
      <c r="G290" s="512">
        <v>357</v>
      </c>
      <c r="H290" s="512">
        <v>118</v>
      </c>
      <c r="I290" s="512">
        <v>219</v>
      </c>
      <c r="J290" s="512">
        <v>38</v>
      </c>
      <c r="K290" s="512">
        <v>107</v>
      </c>
      <c r="L290" s="512">
        <v>49</v>
      </c>
      <c r="M290" s="512">
        <v>134</v>
      </c>
      <c r="N290" s="512">
        <v>157</v>
      </c>
      <c r="O290" s="512">
        <v>177</v>
      </c>
      <c r="P290" s="512">
        <v>151</v>
      </c>
      <c r="Q290" s="512">
        <v>702</v>
      </c>
      <c r="R290" s="512">
        <v>406</v>
      </c>
      <c r="S290" s="512">
        <v>25</v>
      </c>
      <c r="T290" s="512">
        <v>107</v>
      </c>
      <c r="U290" s="512">
        <v>155</v>
      </c>
      <c r="V290" s="512">
        <v>3249</v>
      </c>
      <c r="W290" s="512">
        <v>89</v>
      </c>
      <c r="X290" s="512">
        <v>187</v>
      </c>
      <c r="Y290" s="512">
        <v>117</v>
      </c>
      <c r="Z290" s="512">
        <v>58</v>
      </c>
      <c r="AA290" s="512">
        <v>74</v>
      </c>
      <c r="AB290" s="512">
        <v>189</v>
      </c>
      <c r="AC290" s="512">
        <v>257</v>
      </c>
    </row>
    <row r="291" spans="1:29">
      <c r="A291" s="459" t="s">
        <v>349</v>
      </c>
      <c r="B291" s="459" t="s">
        <v>531</v>
      </c>
      <c r="C291" s="9">
        <f t="shared" si="159"/>
        <v>12248</v>
      </c>
      <c r="D291" s="512">
        <v>75</v>
      </c>
      <c r="E291" s="512">
        <v>421</v>
      </c>
      <c r="F291" s="512">
        <v>250</v>
      </c>
      <c r="G291" s="512">
        <v>607</v>
      </c>
      <c r="H291" s="512">
        <v>153</v>
      </c>
      <c r="I291" s="512">
        <v>381</v>
      </c>
      <c r="J291" s="512">
        <v>81</v>
      </c>
      <c r="K291" s="512">
        <v>212</v>
      </c>
      <c r="L291" s="512">
        <v>69</v>
      </c>
      <c r="M291" s="512">
        <v>152</v>
      </c>
      <c r="N291" s="512">
        <v>221</v>
      </c>
      <c r="O291" s="512">
        <v>279</v>
      </c>
      <c r="P291" s="512">
        <v>197</v>
      </c>
      <c r="Q291" s="512">
        <v>1273</v>
      </c>
      <c r="R291" s="512">
        <v>710</v>
      </c>
      <c r="S291" s="512">
        <v>39</v>
      </c>
      <c r="T291" s="512">
        <v>121</v>
      </c>
      <c r="U291" s="512">
        <v>239</v>
      </c>
      <c r="V291" s="512">
        <v>5301</v>
      </c>
      <c r="W291" s="512">
        <v>121</v>
      </c>
      <c r="X291" s="512">
        <v>252</v>
      </c>
      <c r="Y291" s="512">
        <v>133</v>
      </c>
      <c r="Z291" s="512">
        <v>124</v>
      </c>
      <c r="AA291" s="512">
        <v>107</v>
      </c>
      <c r="AB291" s="512">
        <v>278</v>
      </c>
      <c r="AC291" s="512">
        <v>452</v>
      </c>
    </row>
    <row r="292" spans="1:29">
      <c r="A292" s="459" t="s">
        <v>350</v>
      </c>
      <c r="B292" s="459" t="s">
        <v>531</v>
      </c>
      <c r="C292" s="9">
        <f t="shared" si="159"/>
        <v>157</v>
      </c>
      <c r="D292" s="512">
        <v>1</v>
      </c>
      <c r="E292" s="512">
        <v>8</v>
      </c>
      <c r="F292" s="512">
        <v>4</v>
      </c>
      <c r="G292" s="512">
        <v>8</v>
      </c>
      <c r="H292" s="512">
        <v>0</v>
      </c>
      <c r="I292" s="512">
        <v>4</v>
      </c>
      <c r="J292" s="512">
        <v>0</v>
      </c>
      <c r="K292" s="512">
        <v>1</v>
      </c>
      <c r="L292" s="512">
        <v>1</v>
      </c>
      <c r="M292" s="512">
        <v>4</v>
      </c>
      <c r="N292" s="512">
        <v>2</v>
      </c>
      <c r="O292" s="512">
        <v>1</v>
      </c>
      <c r="P292" s="512">
        <v>1</v>
      </c>
      <c r="Q292" s="512">
        <v>14</v>
      </c>
      <c r="R292" s="512">
        <v>11</v>
      </c>
      <c r="S292" s="512">
        <v>0</v>
      </c>
      <c r="T292" s="512">
        <v>1</v>
      </c>
      <c r="U292" s="512">
        <v>3</v>
      </c>
      <c r="V292" s="512">
        <v>81</v>
      </c>
      <c r="W292" s="512">
        <v>1</v>
      </c>
      <c r="X292" s="512">
        <v>2</v>
      </c>
      <c r="Y292" s="512">
        <v>1</v>
      </c>
      <c r="Z292" s="512">
        <v>2</v>
      </c>
      <c r="AA292" s="512">
        <v>0</v>
      </c>
      <c r="AB292" s="512">
        <v>2</v>
      </c>
      <c r="AC292" s="512">
        <v>4</v>
      </c>
    </row>
    <row r="293" spans="1:29">
      <c r="A293" s="459" t="s">
        <v>351</v>
      </c>
      <c r="B293" s="459" t="s">
        <v>531</v>
      </c>
      <c r="C293" s="9">
        <f t="shared" si="159"/>
        <v>6543</v>
      </c>
      <c r="D293" s="512">
        <v>46</v>
      </c>
      <c r="E293" s="512">
        <v>238</v>
      </c>
      <c r="F293" s="512">
        <v>108</v>
      </c>
      <c r="G293" s="512">
        <v>269</v>
      </c>
      <c r="H293" s="512">
        <v>55</v>
      </c>
      <c r="I293" s="512">
        <v>126</v>
      </c>
      <c r="J293" s="512">
        <v>30</v>
      </c>
      <c r="K293" s="512">
        <v>102</v>
      </c>
      <c r="L293" s="512">
        <v>31</v>
      </c>
      <c r="M293" s="512">
        <v>78</v>
      </c>
      <c r="N293" s="512">
        <v>77</v>
      </c>
      <c r="O293" s="512">
        <v>92</v>
      </c>
      <c r="P293" s="512">
        <v>91</v>
      </c>
      <c r="Q293" s="512">
        <v>724</v>
      </c>
      <c r="R293" s="512">
        <v>426</v>
      </c>
      <c r="S293" s="512">
        <v>17</v>
      </c>
      <c r="T293" s="512">
        <v>28</v>
      </c>
      <c r="U293" s="512">
        <v>98</v>
      </c>
      <c r="V293" s="512">
        <v>3271</v>
      </c>
      <c r="W293" s="512">
        <v>41</v>
      </c>
      <c r="X293" s="512">
        <v>84</v>
      </c>
      <c r="Y293" s="512">
        <v>61</v>
      </c>
      <c r="Z293" s="512">
        <v>63</v>
      </c>
      <c r="AA293" s="512">
        <v>52</v>
      </c>
      <c r="AB293" s="512">
        <v>84</v>
      </c>
      <c r="AC293" s="512">
        <v>251</v>
      </c>
    </row>
    <row r="294" spans="1:29">
      <c r="A294" s="458" t="s">
        <v>16</v>
      </c>
      <c r="B294" s="458" t="s">
        <v>531</v>
      </c>
      <c r="C294" s="504">
        <f>SUM(C287:C293)</f>
        <v>29800</v>
      </c>
      <c r="D294" s="504">
        <f>SUM(D287:D293)</f>
        <v>205</v>
      </c>
      <c r="E294" s="504">
        <f t="shared" ref="E294" si="160">SUM(E287:E293)</f>
        <v>1109</v>
      </c>
      <c r="F294" s="504">
        <f t="shared" ref="F294" si="161">SUM(F287:F293)</f>
        <v>572</v>
      </c>
      <c r="G294" s="504">
        <f t="shared" ref="G294" si="162">SUM(G287:G293)</f>
        <v>1428</v>
      </c>
      <c r="H294" s="504">
        <f t="shared" ref="H294" si="163">SUM(H287:H293)</f>
        <v>365</v>
      </c>
      <c r="I294" s="504">
        <f t="shared" ref="I294" si="164">SUM(I287:I293)</f>
        <v>805</v>
      </c>
      <c r="J294" s="504">
        <f t="shared" ref="J294" si="165">SUM(J287:J293)</f>
        <v>159</v>
      </c>
      <c r="K294" s="504">
        <f t="shared" ref="K294" si="166">SUM(K287:K293)</f>
        <v>457</v>
      </c>
      <c r="L294" s="504">
        <f t="shared" ref="L294" si="167">SUM(L287:L293)</f>
        <v>161</v>
      </c>
      <c r="M294" s="504">
        <f t="shared" ref="M294" si="168">SUM(M287:M293)</f>
        <v>418</v>
      </c>
      <c r="N294" s="504">
        <f t="shared" ref="N294" si="169">SUM(N287:N293)</f>
        <v>488</v>
      </c>
      <c r="O294" s="504">
        <f t="shared" ref="O294" si="170">SUM(O287:O293)</f>
        <v>616</v>
      </c>
      <c r="P294" s="504">
        <f t="shared" ref="P294" si="171">SUM(P287:P293)</f>
        <v>492</v>
      </c>
      <c r="Q294" s="504">
        <f t="shared" ref="Q294" si="172">SUM(Q287:Q293)</f>
        <v>2929</v>
      </c>
      <c r="R294" s="504">
        <f t="shared" ref="R294" si="173">SUM(R287:R293)</f>
        <v>1663</v>
      </c>
      <c r="S294" s="504">
        <f t="shared" ref="S294" si="174">SUM(S287:S293)</f>
        <v>90</v>
      </c>
      <c r="T294" s="504">
        <f t="shared" ref="T294" si="175">SUM(T287:T293)</f>
        <v>273</v>
      </c>
      <c r="U294" s="504">
        <f t="shared" ref="U294" si="176">SUM(U287:U293)</f>
        <v>565</v>
      </c>
      <c r="V294" s="504">
        <f t="shared" ref="V294" si="177">SUM(V287:V293)</f>
        <v>13569</v>
      </c>
      <c r="W294" s="504">
        <f t="shared" ref="W294" si="178">SUM(W287:W293)</f>
        <v>307</v>
      </c>
      <c r="X294" s="504">
        <f t="shared" ref="X294" si="179">SUM(X287:X293)</f>
        <v>583</v>
      </c>
      <c r="Y294" s="504">
        <f t="shared" ref="Y294" si="180">SUM(Y287:Y293)</f>
        <v>347</v>
      </c>
      <c r="Z294" s="504">
        <f t="shared" ref="Z294" si="181">SUM(Z287:Z293)</f>
        <v>265</v>
      </c>
      <c r="AA294" s="504">
        <f t="shared" ref="AA294" si="182">SUM(AA287:AA293)</f>
        <v>256</v>
      </c>
      <c r="AB294" s="504">
        <f t="shared" ref="AB294" si="183">SUM(AB287:AB293)</f>
        <v>573</v>
      </c>
      <c r="AC294" s="504">
        <f t="shared" ref="AC294" si="184">SUM(AC287:AC293)</f>
        <v>1105</v>
      </c>
    </row>
    <row r="295" spans="1:29">
      <c r="A295" s="459" t="s">
        <v>617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9" spans="1:29" ht="15.6">
      <c r="A299" s="401" t="s">
        <v>625</v>
      </c>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c r="AC299" s="459"/>
    </row>
    <row r="300" spans="1:29">
      <c r="A300" s="131" t="s">
        <v>606</v>
      </c>
      <c r="B300" s="131" t="s">
        <v>64</v>
      </c>
      <c r="C300" s="131" t="str">
        <f>C286</f>
        <v>IE</v>
      </c>
      <c r="D300" s="131" t="str">
        <f t="shared" ref="D300:AC300" si="185">D286</f>
        <v>IE-CW</v>
      </c>
      <c r="E300" s="131" t="str">
        <f t="shared" si="185"/>
        <v>IE-D</v>
      </c>
      <c r="F300" s="131" t="str">
        <f t="shared" si="185"/>
        <v>IE-KE</v>
      </c>
      <c r="G300" s="131" t="str">
        <f t="shared" si="185"/>
        <v>IE-KK</v>
      </c>
      <c r="H300" s="131" t="str">
        <f t="shared" si="185"/>
        <v>IE-LS</v>
      </c>
      <c r="I300" s="131" t="str">
        <f t="shared" si="185"/>
        <v>IE-LD</v>
      </c>
      <c r="J300" s="131" t="str">
        <f t="shared" si="185"/>
        <v>IE-LH</v>
      </c>
      <c r="K300" s="131" t="str">
        <f t="shared" si="185"/>
        <v>IE-MH</v>
      </c>
      <c r="L300" s="131" t="str">
        <f t="shared" si="185"/>
        <v>IE-OY</v>
      </c>
      <c r="M300" s="131" t="str">
        <f t="shared" si="185"/>
        <v>IE-WH</v>
      </c>
      <c r="N300" s="131" t="str">
        <f t="shared" si="185"/>
        <v>IE-WX</v>
      </c>
      <c r="O300" s="131" t="str">
        <f t="shared" si="185"/>
        <v>IE-WW</v>
      </c>
      <c r="P300" s="131" t="str">
        <f t="shared" si="185"/>
        <v>IE-CE</v>
      </c>
      <c r="Q300" s="131" t="str">
        <f t="shared" si="185"/>
        <v>IE-CO</v>
      </c>
      <c r="R300" s="131" t="str">
        <f t="shared" si="185"/>
        <v>IE-KY</v>
      </c>
      <c r="S300" s="131" t="str">
        <f t="shared" si="185"/>
        <v>IE-LK</v>
      </c>
      <c r="T300" s="131" t="str">
        <f t="shared" si="185"/>
        <v>IE-TA</v>
      </c>
      <c r="U300" s="131" t="str">
        <f t="shared" si="185"/>
        <v>IE-WD</v>
      </c>
      <c r="V300" s="131" t="str">
        <f t="shared" si="185"/>
        <v>IE-G</v>
      </c>
      <c r="W300" s="131" t="str">
        <f t="shared" si="185"/>
        <v>IE-LM</v>
      </c>
      <c r="X300" s="131" t="str">
        <f t="shared" si="185"/>
        <v>IE-MO</v>
      </c>
      <c r="Y300" s="131" t="str">
        <f t="shared" si="185"/>
        <v>IE-RN</v>
      </c>
      <c r="Z300" s="131" t="str">
        <f t="shared" si="185"/>
        <v>IE-SO</v>
      </c>
      <c r="AA300" s="131" t="str">
        <f t="shared" si="185"/>
        <v>IE-CN</v>
      </c>
      <c r="AB300" s="131" t="str">
        <f t="shared" si="185"/>
        <v>IE-DL</v>
      </c>
      <c r="AC300" s="131" t="str">
        <f t="shared" si="185"/>
        <v>IE-MN</v>
      </c>
    </row>
    <row r="301" spans="1:29">
      <c r="A301" s="459" t="s">
        <v>345</v>
      </c>
      <c r="B301" s="507" t="s">
        <v>610</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459" t="s">
        <v>346</v>
      </c>
      <c r="B302" s="1" t="s">
        <v>610</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459" t="s">
        <v>347</v>
      </c>
      <c r="B303" s="1" t="s">
        <v>610</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459" t="s">
        <v>348</v>
      </c>
      <c r="B304" s="1" t="s">
        <v>610</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459" t="s">
        <v>349</v>
      </c>
      <c r="B305" s="1" t="s">
        <v>610</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459" t="s">
        <v>350</v>
      </c>
      <c r="B306" s="1" t="s">
        <v>610</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459" t="s">
        <v>351</v>
      </c>
      <c r="B307" s="1" t="s">
        <v>610</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458" t="s">
        <v>16</v>
      </c>
      <c r="B308" s="458" t="s">
        <v>610</v>
      </c>
      <c r="C308" s="403">
        <f t="shared" ref="C308:AC308" si="195">SUM(C301:C307)</f>
        <v>1</v>
      </c>
      <c r="D308" s="403">
        <f t="shared" si="195"/>
        <v>1</v>
      </c>
      <c r="E308" s="403">
        <f t="shared" si="195"/>
        <v>1</v>
      </c>
      <c r="F308" s="403">
        <f t="shared" si="195"/>
        <v>1</v>
      </c>
      <c r="G308" s="403">
        <f t="shared" si="195"/>
        <v>1</v>
      </c>
      <c r="H308" s="403">
        <f t="shared" si="195"/>
        <v>1</v>
      </c>
      <c r="I308" s="403">
        <f t="shared" si="195"/>
        <v>1</v>
      </c>
      <c r="J308" s="403">
        <f t="shared" si="195"/>
        <v>1</v>
      </c>
      <c r="K308" s="403">
        <f t="shared" si="195"/>
        <v>0.99999999999999989</v>
      </c>
      <c r="L308" s="403">
        <f t="shared" si="195"/>
        <v>1</v>
      </c>
      <c r="M308" s="403">
        <f t="shared" si="195"/>
        <v>1</v>
      </c>
      <c r="N308" s="403">
        <f t="shared" si="195"/>
        <v>1</v>
      </c>
      <c r="O308" s="403">
        <f t="shared" si="195"/>
        <v>1</v>
      </c>
      <c r="P308" s="403">
        <f t="shared" si="195"/>
        <v>1</v>
      </c>
      <c r="Q308" s="403">
        <f t="shared" si="195"/>
        <v>1</v>
      </c>
      <c r="R308" s="403">
        <f t="shared" si="195"/>
        <v>1</v>
      </c>
      <c r="S308" s="403">
        <f t="shared" si="195"/>
        <v>1</v>
      </c>
      <c r="T308" s="403">
        <f t="shared" si="195"/>
        <v>0.99999999999999989</v>
      </c>
      <c r="U308" s="403">
        <f t="shared" si="195"/>
        <v>1</v>
      </c>
      <c r="V308" s="403">
        <f t="shared" si="195"/>
        <v>1</v>
      </c>
      <c r="W308" s="403">
        <f t="shared" si="195"/>
        <v>1</v>
      </c>
      <c r="X308" s="403">
        <f t="shared" si="195"/>
        <v>1</v>
      </c>
      <c r="Y308" s="403">
        <f t="shared" si="195"/>
        <v>1</v>
      </c>
      <c r="Z308" s="403">
        <f t="shared" si="195"/>
        <v>1</v>
      </c>
      <c r="AA308" s="403">
        <f t="shared" si="195"/>
        <v>1</v>
      </c>
      <c r="AB308" s="403">
        <f t="shared" si="195"/>
        <v>1</v>
      </c>
      <c r="AC308" s="403">
        <f t="shared" si="195"/>
        <v>0.99999999999999989</v>
      </c>
    </row>
    <row r="312" spans="1:29" ht="15.6">
      <c r="A312" s="425" t="s">
        <v>624</v>
      </c>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c r="AC312" s="459"/>
    </row>
    <row r="313" spans="1:29">
      <c r="A313" s="131" t="s">
        <v>606</v>
      </c>
      <c r="B313" s="131" t="s">
        <v>64</v>
      </c>
      <c r="C313" s="131" t="str">
        <f>C300</f>
        <v>IE</v>
      </c>
      <c r="D313" s="131" t="str">
        <f t="shared" ref="D313:AC313" si="196">D300</f>
        <v>IE-CW</v>
      </c>
      <c r="E313" s="131" t="str">
        <f t="shared" si="196"/>
        <v>IE-D</v>
      </c>
      <c r="F313" s="131" t="str">
        <f t="shared" si="196"/>
        <v>IE-KE</v>
      </c>
      <c r="G313" s="131" t="str">
        <f t="shared" si="196"/>
        <v>IE-KK</v>
      </c>
      <c r="H313" s="131" t="str">
        <f t="shared" si="196"/>
        <v>IE-LS</v>
      </c>
      <c r="I313" s="131" t="str">
        <f t="shared" si="196"/>
        <v>IE-LD</v>
      </c>
      <c r="J313" s="131" t="str">
        <f t="shared" si="196"/>
        <v>IE-LH</v>
      </c>
      <c r="K313" s="131" t="str">
        <f t="shared" si="196"/>
        <v>IE-MH</v>
      </c>
      <c r="L313" s="131" t="str">
        <f t="shared" si="196"/>
        <v>IE-OY</v>
      </c>
      <c r="M313" s="131" t="str">
        <f t="shared" si="196"/>
        <v>IE-WH</v>
      </c>
      <c r="N313" s="131" t="str">
        <f t="shared" si="196"/>
        <v>IE-WX</v>
      </c>
      <c r="O313" s="131" t="str">
        <f t="shared" si="196"/>
        <v>IE-WW</v>
      </c>
      <c r="P313" s="131" t="str">
        <f t="shared" si="196"/>
        <v>IE-CE</v>
      </c>
      <c r="Q313" s="131" t="str">
        <f t="shared" si="196"/>
        <v>IE-CO</v>
      </c>
      <c r="R313" s="131" t="str">
        <f t="shared" si="196"/>
        <v>IE-KY</v>
      </c>
      <c r="S313" s="131" t="str">
        <f t="shared" si="196"/>
        <v>IE-LK</v>
      </c>
      <c r="T313" s="131" t="str">
        <f t="shared" si="196"/>
        <v>IE-TA</v>
      </c>
      <c r="U313" s="131" t="str">
        <f t="shared" si="196"/>
        <v>IE-WD</v>
      </c>
      <c r="V313" s="131" t="str">
        <f t="shared" si="196"/>
        <v>IE-G</v>
      </c>
      <c r="W313" s="131" t="str">
        <f t="shared" si="196"/>
        <v>IE-LM</v>
      </c>
      <c r="X313" s="131" t="str">
        <f t="shared" si="196"/>
        <v>IE-MO</v>
      </c>
      <c r="Y313" s="131" t="str">
        <f t="shared" si="196"/>
        <v>IE-RN</v>
      </c>
      <c r="Z313" s="131" t="str">
        <f t="shared" si="196"/>
        <v>IE-SO</v>
      </c>
      <c r="AA313" s="131" t="str">
        <f t="shared" si="196"/>
        <v>IE-CN</v>
      </c>
      <c r="AB313" s="131" t="str">
        <f t="shared" si="196"/>
        <v>IE-DL</v>
      </c>
      <c r="AC313" s="131" t="str">
        <f t="shared" si="196"/>
        <v>IE-MN</v>
      </c>
    </row>
    <row r="314" spans="1:29">
      <c r="A314" s="459" t="s">
        <v>345</v>
      </c>
      <c r="B314" s="459" t="s">
        <v>611</v>
      </c>
      <c r="C314" s="505">
        <v>1.171188111860114</v>
      </c>
      <c r="D314" s="505">
        <v>1.171188111860114</v>
      </c>
      <c r="E314" s="505">
        <v>1.171188111860114</v>
      </c>
      <c r="F314" s="505">
        <v>1.171188111860114</v>
      </c>
      <c r="G314" s="505">
        <v>1.171188111860114</v>
      </c>
      <c r="H314" s="505">
        <v>1.171188111860114</v>
      </c>
      <c r="I314" s="505">
        <v>1.171188111860114</v>
      </c>
      <c r="J314" s="505">
        <v>1.171188111860114</v>
      </c>
      <c r="K314" s="505">
        <v>1.171188111860114</v>
      </c>
      <c r="L314" s="505">
        <v>1.171188111860114</v>
      </c>
      <c r="M314" s="505">
        <v>1.171188111860114</v>
      </c>
      <c r="N314" s="505">
        <v>1.171188111860114</v>
      </c>
      <c r="O314" s="505">
        <v>1.171188111860114</v>
      </c>
      <c r="P314" s="505">
        <v>1.171188111860114</v>
      </c>
      <c r="Q314" s="505">
        <v>1.171188111860114</v>
      </c>
      <c r="R314" s="505">
        <v>1.171188111860114</v>
      </c>
      <c r="S314" s="505">
        <v>1.171188111860114</v>
      </c>
      <c r="T314" s="505">
        <v>1.171188111860114</v>
      </c>
      <c r="U314" s="505">
        <v>1.171188111860114</v>
      </c>
      <c r="V314" s="505">
        <v>1.171188111860114</v>
      </c>
      <c r="W314" s="505">
        <v>1.171188111860114</v>
      </c>
      <c r="X314" s="505">
        <v>1.171188111860114</v>
      </c>
      <c r="Y314" s="505">
        <v>1.171188111860114</v>
      </c>
      <c r="Z314" s="505">
        <v>1.171188111860114</v>
      </c>
      <c r="AA314" s="505">
        <v>1.171188111860114</v>
      </c>
      <c r="AB314" s="505">
        <v>1.171188111860114</v>
      </c>
      <c r="AC314" s="505">
        <v>1.171188111860114</v>
      </c>
    </row>
    <row r="315" spans="1:29">
      <c r="A315" s="459" t="s">
        <v>346</v>
      </c>
      <c r="B315" s="459" t="s">
        <v>611</v>
      </c>
      <c r="C315" s="505">
        <v>1.192415230181668</v>
      </c>
      <c r="D315" s="505">
        <v>1.192415230181668</v>
      </c>
      <c r="E315" s="505">
        <v>1.192415230181668</v>
      </c>
      <c r="F315" s="505">
        <v>1.192415230181668</v>
      </c>
      <c r="G315" s="505">
        <v>1.192415230181668</v>
      </c>
      <c r="H315" s="505">
        <v>1.192415230181668</v>
      </c>
      <c r="I315" s="505">
        <v>1.192415230181668</v>
      </c>
      <c r="J315" s="505">
        <v>1.192415230181668</v>
      </c>
      <c r="K315" s="505">
        <v>1.192415230181668</v>
      </c>
      <c r="L315" s="505">
        <v>1.192415230181668</v>
      </c>
      <c r="M315" s="505">
        <v>1.192415230181668</v>
      </c>
      <c r="N315" s="505">
        <v>1.192415230181668</v>
      </c>
      <c r="O315" s="505">
        <v>1.192415230181668</v>
      </c>
      <c r="P315" s="505">
        <v>1.192415230181668</v>
      </c>
      <c r="Q315" s="505">
        <v>1.192415230181668</v>
      </c>
      <c r="R315" s="505">
        <v>1.192415230181668</v>
      </c>
      <c r="S315" s="505">
        <v>1.192415230181668</v>
      </c>
      <c r="T315" s="505">
        <v>1.192415230181668</v>
      </c>
      <c r="U315" s="505">
        <v>1.192415230181668</v>
      </c>
      <c r="V315" s="505">
        <v>1.192415230181668</v>
      </c>
      <c r="W315" s="505">
        <v>1.192415230181668</v>
      </c>
      <c r="X315" s="505">
        <v>1.192415230181668</v>
      </c>
      <c r="Y315" s="505">
        <v>1.192415230181668</v>
      </c>
      <c r="Z315" s="505">
        <v>1.192415230181668</v>
      </c>
      <c r="AA315" s="505">
        <v>1.192415230181668</v>
      </c>
      <c r="AB315" s="505">
        <v>1.192415230181668</v>
      </c>
      <c r="AC315" s="505">
        <v>1.192415230181668</v>
      </c>
    </row>
    <row r="316" spans="1:29">
      <c r="A316" s="459" t="s">
        <v>347</v>
      </c>
      <c r="B316" s="459" t="s">
        <v>611</v>
      </c>
      <c r="C316" s="505">
        <v>1.3235671555470419</v>
      </c>
      <c r="D316" s="505">
        <v>1.3235671555470419</v>
      </c>
      <c r="E316" s="505">
        <v>1.3235671555470419</v>
      </c>
      <c r="F316" s="505">
        <v>1.3235671555470419</v>
      </c>
      <c r="G316" s="505">
        <v>1.3235671555470419</v>
      </c>
      <c r="H316" s="505">
        <v>1.3235671555470419</v>
      </c>
      <c r="I316" s="505">
        <v>1.3235671555470419</v>
      </c>
      <c r="J316" s="505">
        <v>1.3235671555470419</v>
      </c>
      <c r="K316" s="505">
        <v>1.3235671555470419</v>
      </c>
      <c r="L316" s="505">
        <v>1.3235671555470419</v>
      </c>
      <c r="M316" s="505">
        <v>1.3235671555470419</v>
      </c>
      <c r="N316" s="505">
        <v>1.3235671555470419</v>
      </c>
      <c r="O316" s="505">
        <v>1.3235671555470419</v>
      </c>
      <c r="P316" s="505">
        <v>1.3235671555470419</v>
      </c>
      <c r="Q316" s="505">
        <v>1.3235671555470419</v>
      </c>
      <c r="R316" s="505">
        <v>1.3235671555470419</v>
      </c>
      <c r="S316" s="505">
        <v>1.3235671555470419</v>
      </c>
      <c r="T316" s="505">
        <v>1.3235671555470419</v>
      </c>
      <c r="U316" s="505">
        <v>1.3235671555470419</v>
      </c>
      <c r="V316" s="505">
        <v>1.3235671555470419</v>
      </c>
      <c r="W316" s="505">
        <v>1.3235671555470419</v>
      </c>
      <c r="X316" s="505">
        <v>1.3235671555470419</v>
      </c>
      <c r="Y316" s="505">
        <v>1.3235671555470419</v>
      </c>
      <c r="Z316" s="505">
        <v>1.3235671555470419</v>
      </c>
      <c r="AA316" s="505">
        <v>1.3235671555470419</v>
      </c>
      <c r="AB316" s="505">
        <v>1.3235671555470419</v>
      </c>
      <c r="AC316" s="505">
        <v>1.3235671555470419</v>
      </c>
    </row>
    <row r="317" spans="1:29">
      <c r="A317" s="459" t="s">
        <v>348</v>
      </c>
      <c r="B317" s="459" t="s">
        <v>611</v>
      </c>
      <c r="C317" s="505">
        <v>1.3373617691545401</v>
      </c>
      <c r="D317" s="505">
        <v>1.3373617691545401</v>
      </c>
      <c r="E317" s="505">
        <v>1.3373617691545401</v>
      </c>
      <c r="F317" s="505">
        <v>1.3373617691545401</v>
      </c>
      <c r="G317" s="505">
        <v>1.3373617691545401</v>
      </c>
      <c r="H317" s="505">
        <v>1.3373617691545401</v>
      </c>
      <c r="I317" s="505">
        <v>1.3373617691545401</v>
      </c>
      <c r="J317" s="505">
        <v>1.3373617691545401</v>
      </c>
      <c r="K317" s="505">
        <v>1.3373617691545401</v>
      </c>
      <c r="L317" s="505">
        <v>1.3373617691545401</v>
      </c>
      <c r="M317" s="505">
        <v>1.3373617691545401</v>
      </c>
      <c r="N317" s="505">
        <v>1.3373617691545401</v>
      </c>
      <c r="O317" s="505">
        <v>1.3373617691545401</v>
      </c>
      <c r="P317" s="505">
        <v>1.3373617691545401</v>
      </c>
      <c r="Q317" s="505">
        <v>1.3373617691545401</v>
      </c>
      <c r="R317" s="505">
        <v>1.3373617691545401</v>
      </c>
      <c r="S317" s="505">
        <v>1.3373617691545401</v>
      </c>
      <c r="T317" s="505">
        <v>1.3373617691545401</v>
      </c>
      <c r="U317" s="505">
        <v>1.3373617691545401</v>
      </c>
      <c r="V317" s="505">
        <v>1.3373617691545401</v>
      </c>
      <c r="W317" s="505">
        <v>1.3373617691545401</v>
      </c>
      <c r="X317" s="505">
        <v>1.3373617691545401</v>
      </c>
      <c r="Y317" s="505">
        <v>1.3373617691545401</v>
      </c>
      <c r="Z317" s="505">
        <v>1.3373617691545401</v>
      </c>
      <c r="AA317" s="505">
        <v>1.3373617691545401</v>
      </c>
      <c r="AB317" s="505">
        <v>1.3373617691545401</v>
      </c>
      <c r="AC317" s="505">
        <v>1.3373617691545401</v>
      </c>
    </row>
    <row r="318" spans="1:29">
      <c r="A318" s="459" t="s">
        <v>349</v>
      </c>
      <c r="B318" s="459" t="s">
        <v>611</v>
      </c>
      <c r="C318" s="505">
        <v>1.4009525553811268</v>
      </c>
      <c r="D318" s="505">
        <v>1.4009525553811268</v>
      </c>
      <c r="E318" s="505">
        <v>1.4009525553811268</v>
      </c>
      <c r="F318" s="505">
        <v>1.4009525553811268</v>
      </c>
      <c r="G318" s="505">
        <v>1.4009525553811268</v>
      </c>
      <c r="H318" s="505">
        <v>1.4009525553811268</v>
      </c>
      <c r="I318" s="505">
        <v>1.4009525553811268</v>
      </c>
      <c r="J318" s="505">
        <v>1.4009525553811268</v>
      </c>
      <c r="K318" s="505">
        <v>1.4009525553811268</v>
      </c>
      <c r="L318" s="505">
        <v>1.4009525553811268</v>
      </c>
      <c r="M318" s="505">
        <v>1.4009525553811268</v>
      </c>
      <c r="N318" s="505">
        <v>1.4009525553811268</v>
      </c>
      <c r="O318" s="505">
        <v>1.4009525553811268</v>
      </c>
      <c r="P318" s="505">
        <v>1.4009525553811268</v>
      </c>
      <c r="Q318" s="505">
        <v>1.4009525553811268</v>
      </c>
      <c r="R318" s="505">
        <v>1.4009525553811268</v>
      </c>
      <c r="S318" s="505">
        <v>1.4009525553811268</v>
      </c>
      <c r="T318" s="505">
        <v>1.4009525553811268</v>
      </c>
      <c r="U318" s="505">
        <v>1.4009525553811268</v>
      </c>
      <c r="V318" s="505">
        <v>1.4009525553811268</v>
      </c>
      <c r="W318" s="505">
        <v>1.4009525553811268</v>
      </c>
      <c r="X318" s="505">
        <v>1.4009525553811268</v>
      </c>
      <c r="Y318" s="505">
        <v>1.4009525553811268</v>
      </c>
      <c r="Z318" s="505">
        <v>1.4009525553811268</v>
      </c>
      <c r="AA318" s="505">
        <v>1.4009525553811268</v>
      </c>
      <c r="AB318" s="505">
        <v>1.4009525553811268</v>
      </c>
      <c r="AC318" s="505">
        <v>1.4009525553811268</v>
      </c>
    </row>
    <row r="319" spans="1:29">
      <c r="A319" s="459" t="s">
        <v>350</v>
      </c>
      <c r="B319" s="459" t="s">
        <v>611</v>
      </c>
      <c r="C319" s="505">
        <v>1.4082063462648766</v>
      </c>
      <c r="D319" s="505">
        <v>1.4082063462648766</v>
      </c>
      <c r="E319" s="505">
        <v>1.4082063462648766</v>
      </c>
      <c r="F319" s="505">
        <v>1.4082063462648766</v>
      </c>
      <c r="G319" s="505">
        <v>1.4082063462648766</v>
      </c>
      <c r="H319" s="505">
        <v>1.4082063462648766</v>
      </c>
      <c r="I319" s="505">
        <v>1.4082063462648766</v>
      </c>
      <c r="J319" s="505">
        <v>1.4082063462648766</v>
      </c>
      <c r="K319" s="505">
        <v>1.4082063462648766</v>
      </c>
      <c r="L319" s="505">
        <v>1.4082063462648766</v>
      </c>
      <c r="M319" s="505">
        <v>1.4082063462648766</v>
      </c>
      <c r="N319" s="505">
        <v>1.4082063462648766</v>
      </c>
      <c r="O319" s="505">
        <v>1.4082063462648766</v>
      </c>
      <c r="P319" s="505">
        <v>1.4082063462648766</v>
      </c>
      <c r="Q319" s="505">
        <v>1.4082063462648766</v>
      </c>
      <c r="R319" s="505">
        <v>1.4082063462648766</v>
      </c>
      <c r="S319" s="505">
        <v>1.4082063462648766</v>
      </c>
      <c r="T319" s="505">
        <v>1.4082063462648766</v>
      </c>
      <c r="U319" s="505">
        <v>1.4082063462648766</v>
      </c>
      <c r="V319" s="505">
        <v>1.4082063462648766</v>
      </c>
      <c r="W319" s="505">
        <v>1.4082063462648766</v>
      </c>
      <c r="X319" s="505">
        <v>1.4082063462648766</v>
      </c>
      <c r="Y319" s="505">
        <v>1.4082063462648766</v>
      </c>
      <c r="Z319" s="505">
        <v>1.4082063462648766</v>
      </c>
      <c r="AA319" s="505">
        <v>1.4082063462648766</v>
      </c>
      <c r="AB319" s="505">
        <v>1.4082063462648766</v>
      </c>
      <c r="AC319" s="505">
        <v>1.4082063462648766</v>
      </c>
    </row>
    <row r="320" spans="1:29">
      <c r="A320" s="458" t="s">
        <v>351</v>
      </c>
      <c r="B320" s="458" t="s">
        <v>611</v>
      </c>
      <c r="C320" s="506">
        <v>1.5780931425905766</v>
      </c>
      <c r="D320" s="506">
        <v>1.5780931425905766</v>
      </c>
      <c r="E320" s="506">
        <v>1.5780931425905766</v>
      </c>
      <c r="F320" s="506">
        <v>1.5780931425905766</v>
      </c>
      <c r="G320" s="506">
        <v>1.5780931425905766</v>
      </c>
      <c r="H320" s="506">
        <v>1.5780931425905766</v>
      </c>
      <c r="I320" s="506">
        <v>1.5780931425905766</v>
      </c>
      <c r="J320" s="506">
        <v>1.5780931425905766</v>
      </c>
      <c r="K320" s="506">
        <v>1.5780931425905766</v>
      </c>
      <c r="L320" s="506">
        <v>1.5780931425905766</v>
      </c>
      <c r="M320" s="506">
        <v>1.5780931425905766</v>
      </c>
      <c r="N320" s="506">
        <v>1.5780931425905766</v>
      </c>
      <c r="O320" s="506">
        <v>1.5780931425905766</v>
      </c>
      <c r="P320" s="506">
        <v>1.5780931425905766</v>
      </c>
      <c r="Q320" s="506">
        <v>1.5780931425905766</v>
      </c>
      <c r="R320" s="506">
        <v>1.5780931425905766</v>
      </c>
      <c r="S320" s="506">
        <v>1.5780931425905766</v>
      </c>
      <c r="T320" s="506">
        <v>1.5780931425905766</v>
      </c>
      <c r="U320" s="506">
        <v>1.5780931425905766</v>
      </c>
      <c r="V320" s="506">
        <v>1.5780931425905766</v>
      </c>
      <c r="W320" s="506">
        <v>1.5780931425905766</v>
      </c>
      <c r="X320" s="506">
        <v>1.5780931425905766</v>
      </c>
      <c r="Y320" s="506">
        <v>1.5780931425905766</v>
      </c>
      <c r="Z320" s="506">
        <v>1.5780931425905766</v>
      </c>
      <c r="AA320" s="506">
        <v>1.5780931425905766</v>
      </c>
      <c r="AB320" s="506">
        <v>1.5780931425905766</v>
      </c>
      <c r="AC320" s="506">
        <v>1.5780931425905766</v>
      </c>
    </row>
    <row r="321" spans="1:29">
      <c r="A321" s="510" t="s">
        <v>615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5" spans="1:29" ht="15.6">
      <c r="A325" s="425" t="s">
        <v>624</v>
      </c>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c r="AC325" s="459"/>
    </row>
    <row r="326" spans="1:29">
      <c r="A326" s="131" t="s">
        <v>606</v>
      </c>
      <c r="B326" s="131" t="s">
        <v>64</v>
      </c>
      <c r="C326" s="131" t="str">
        <f>C313</f>
        <v>IE</v>
      </c>
      <c r="D326" s="131" t="str">
        <f t="shared" ref="D326:AC326" si="197">D313</f>
        <v>IE-CW</v>
      </c>
      <c r="E326" s="131" t="str">
        <f t="shared" si="197"/>
        <v>IE-D</v>
      </c>
      <c r="F326" s="131" t="str">
        <f t="shared" si="197"/>
        <v>IE-KE</v>
      </c>
      <c r="G326" s="131" t="str">
        <f t="shared" si="197"/>
        <v>IE-KK</v>
      </c>
      <c r="H326" s="131" t="str">
        <f t="shared" si="197"/>
        <v>IE-LS</v>
      </c>
      <c r="I326" s="131" t="str">
        <f t="shared" si="197"/>
        <v>IE-LD</v>
      </c>
      <c r="J326" s="131" t="str">
        <f t="shared" si="197"/>
        <v>IE-LH</v>
      </c>
      <c r="K326" s="131" t="str">
        <f t="shared" si="197"/>
        <v>IE-MH</v>
      </c>
      <c r="L326" s="131" t="str">
        <f t="shared" si="197"/>
        <v>IE-OY</v>
      </c>
      <c r="M326" s="131" t="str">
        <f t="shared" si="197"/>
        <v>IE-WH</v>
      </c>
      <c r="N326" s="131" t="str">
        <f t="shared" si="197"/>
        <v>IE-WX</v>
      </c>
      <c r="O326" s="131" t="str">
        <f t="shared" si="197"/>
        <v>IE-WW</v>
      </c>
      <c r="P326" s="131" t="str">
        <f t="shared" si="197"/>
        <v>IE-CE</v>
      </c>
      <c r="Q326" s="131" t="str">
        <f t="shared" si="197"/>
        <v>IE-CO</v>
      </c>
      <c r="R326" s="131" t="str">
        <f t="shared" si="197"/>
        <v>IE-KY</v>
      </c>
      <c r="S326" s="131" t="str">
        <f t="shared" si="197"/>
        <v>IE-LK</v>
      </c>
      <c r="T326" s="131" t="str">
        <f t="shared" si="197"/>
        <v>IE-TA</v>
      </c>
      <c r="U326" s="131" t="str">
        <f t="shared" si="197"/>
        <v>IE-WD</v>
      </c>
      <c r="V326" s="131" t="str">
        <f t="shared" si="197"/>
        <v>IE-G</v>
      </c>
      <c r="W326" s="131" t="str">
        <f t="shared" si="197"/>
        <v>IE-LM</v>
      </c>
      <c r="X326" s="131" t="str">
        <f t="shared" si="197"/>
        <v>IE-MO</v>
      </c>
      <c r="Y326" s="131" t="str">
        <f t="shared" si="197"/>
        <v>IE-RN</v>
      </c>
      <c r="Z326" s="131" t="str">
        <f t="shared" si="197"/>
        <v>IE-SO</v>
      </c>
      <c r="AA326" s="131" t="str">
        <f t="shared" si="197"/>
        <v>IE-CN</v>
      </c>
      <c r="AB326" s="131" t="str">
        <f t="shared" si="197"/>
        <v>IE-DL</v>
      </c>
      <c r="AC326" s="131" t="str">
        <f t="shared" si="197"/>
        <v>IE-MN</v>
      </c>
    </row>
    <row r="327" spans="1:29">
      <c r="A327" s="459" t="s">
        <v>627</v>
      </c>
      <c r="B327" s="459" t="s">
        <v>611</v>
      </c>
      <c r="C327" s="505">
        <f>SUMPRODUCT(C301:C307,C314:C320)</f>
        <v>1.415243477594188</v>
      </c>
      <c r="D327" s="505">
        <f>IF(D294&gt;1,SUMPRODUCT(D301:D307,D314:D320),$C$230)</f>
        <v>1.4132404850977942</v>
      </c>
      <c r="E327" s="505">
        <f t="shared" ref="E327:AC327" si="198">IF(E294&gt;1,SUMPRODUCT(E301:E307,E314:E320),$C$230)</f>
        <v>1.4121585244619679</v>
      </c>
      <c r="F327" s="505">
        <f t="shared" si="198"/>
        <v>1.4101384800844001</v>
      </c>
      <c r="G327" s="505">
        <f t="shared" si="198"/>
        <v>1.4083306140887928</v>
      </c>
      <c r="H327" s="505">
        <f t="shared" si="198"/>
        <v>1.3988182784722314</v>
      </c>
      <c r="I327" s="505">
        <f t="shared" si="198"/>
        <v>1.4042052783385763</v>
      </c>
      <c r="J327" s="505">
        <f t="shared" si="198"/>
        <v>1.4143105034398209</v>
      </c>
      <c r="K327" s="505">
        <f t="shared" si="198"/>
        <v>1.4196897338621113</v>
      </c>
      <c r="L327" s="505">
        <f t="shared" si="198"/>
        <v>1.4104645061332943</v>
      </c>
      <c r="M327" s="505">
        <f t="shared" si="198"/>
        <v>1.404434721935685</v>
      </c>
      <c r="N327" s="505">
        <f t="shared" si="198"/>
        <v>1.4035583585869964</v>
      </c>
      <c r="O327" s="505">
        <f t="shared" si="198"/>
        <v>1.400731446392756</v>
      </c>
      <c r="P327" s="505">
        <f t="shared" si="198"/>
        <v>1.4060354775668111</v>
      </c>
      <c r="Q327" s="505">
        <f t="shared" si="198"/>
        <v>1.4238256724575309</v>
      </c>
      <c r="R327" s="505">
        <f t="shared" si="198"/>
        <v>1.4256423025955085</v>
      </c>
      <c r="S327" s="505">
        <f t="shared" si="198"/>
        <v>1.4090097968076738</v>
      </c>
      <c r="T327" s="505">
        <f t="shared" si="198"/>
        <v>1.3896881220813402</v>
      </c>
      <c r="U327" s="505">
        <f t="shared" si="198"/>
        <v>1.4046835094796584</v>
      </c>
      <c r="V327" s="505">
        <f t="shared" si="198"/>
        <v>1.4189534480634474</v>
      </c>
      <c r="W327" s="505">
        <f t="shared" si="198"/>
        <v>1.3923344475681962</v>
      </c>
      <c r="X327" s="505">
        <f t="shared" si="198"/>
        <v>1.3984045051111655</v>
      </c>
      <c r="Y327" s="505">
        <f t="shared" si="198"/>
        <v>1.4028667301014628</v>
      </c>
      <c r="Z327" s="505">
        <f t="shared" si="198"/>
        <v>1.4239456186936073</v>
      </c>
      <c r="AA327" s="505">
        <f t="shared" si="198"/>
        <v>1.4115999309980802</v>
      </c>
      <c r="AB327" s="505">
        <f t="shared" si="198"/>
        <v>1.4032700951958821</v>
      </c>
      <c r="AC327" s="505">
        <f t="shared" si="198"/>
        <v>1.4165517672510526</v>
      </c>
    </row>
    <row r="328" spans="1:29">
      <c r="A328" s="458"/>
      <c r="B328" s="458" t="s">
        <v>599</v>
      </c>
      <c r="C328" s="508">
        <f>1000/C327</f>
        <v>706.59219832613394</v>
      </c>
      <c r="D328" s="508">
        <f>1000/D327</f>
        <v>707.59365482711985</v>
      </c>
      <c r="E328" s="508">
        <f>1000/E327</f>
        <v>708.13579543486435</v>
      </c>
      <c r="F328" s="508">
        <f>1000/F327</f>
        <v>709.15021050992641</v>
      </c>
      <c r="G328" s="508">
        <f t="shared" ref="G328" si="199">1000/G327</f>
        <v>710.06054259994357</v>
      </c>
      <c r="H328" s="508">
        <f t="shared" ref="H328" si="200">1000/H327</f>
        <v>714.88914277856395</v>
      </c>
      <c r="I328" s="508">
        <f t="shared" ref="I328" si="201">1000/I327</f>
        <v>712.14658955218943</v>
      </c>
      <c r="J328" s="508">
        <f t="shared" ref="J328" si="202">1000/J327</f>
        <v>707.0583139754998</v>
      </c>
      <c r="K328" s="508">
        <f t="shared" ref="K328" si="203">1000/K327</f>
        <v>704.37925706457634</v>
      </c>
      <c r="L328" s="508">
        <f t="shared" ref="L328" si="204">1000/L327</f>
        <v>708.98629185745438</v>
      </c>
      <c r="M328" s="508">
        <f t="shared" ref="M328" si="205">1000/M327</f>
        <v>712.03024560780852</v>
      </c>
      <c r="N328" s="508">
        <f t="shared" ref="N328" si="206">1000/N327</f>
        <v>712.47482791291236</v>
      </c>
      <c r="O328" s="508">
        <f t="shared" ref="O328" si="207">1000/O327</f>
        <v>713.91272222470434</v>
      </c>
      <c r="P328" s="508">
        <f t="shared" ref="P328" si="208">1000/P327</f>
        <v>711.21960715424598</v>
      </c>
      <c r="Q328" s="508">
        <f t="shared" ref="Q328" si="209">1000/Q327</f>
        <v>702.33317135938034</v>
      </c>
      <c r="R328" s="508">
        <f t="shared" ref="R328" si="210">1000/R327</f>
        <v>701.43822063880339</v>
      </c>
      <c r="S328" s="508">
        <f t="shared" ref="S328" si="211">1000/S327</f>
        <v>709.71827326229538</v>
      </c>
      <c r="T328" s="508">
        <f t="shared" ref="T328" si="212">1000/T327</f>
        <v>719.58591579691779</v>
      </c>
      <c r="U328" s="508">
        <f t="shared" ref="U328" si="213">1000/U327</f>
        <v>711.90413587928674</v>
      </c>
      <c r="V328" s="508">
        <f t="shared" ref="V328" si="214">1000/V327</f>
        <v>704.74475492115357</v>
      </c>
      <c r="W328" s="508">
        <f t="shared" ref="W328" si="215">1000/W327</f>
        <v>718.2182425684905</v>
      </c>
      <c r="X328" s="508">
        <f t="shared" ref="X328" si="216">1000/X327</f>
        <v>715.10067104689813</v>
      </c>
      <c r="Y328" s="508">
        <f t="shared" ref="Y328" si="217">1000/Y327</f>
        <v>712.8260857164064</v>
      </c>
      <c r="Z328" s="508">
        <f t="shared" ref="Z328" si="218">1000/Z327</f>
        <v>702.27401023744551</v>
      </c>
      <c r="AA328" s="508">
        <f t="shared" ref="AA328" si="219">1000/AA327</f>
        <v>708.41601649338702</v>
      </c>
      <c r="AB328" s="508">
        <f t="shared" ref="AB328" si="220">1000/AB327</f>
        <v>712.62118634432261</v>
      </c>
      <c r="AC328" s="508">
        <f t="shared" ref="AC328" si="221">1000/AC327</f>
        <v>705.93960850480664</v>
      </c>
    </row>
    <row r="332" spans="1:29">
      <c r="A332" s="511"/>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row>
    <row r="333" spans="1:29" ht="15.6">
      <c r="A333" s="401" t="s">
        <v>628</v>
      </c>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c r="AC333" s="459"/>
    </row>
    <row r="334" spans="1:29">
      <c r="A334" s="131" t="s">
        <v>606</v>
      </c>
      <c r="B334" s="131" t="s">
        <v>64</v>
      </c>
      <c r="C334" s="131" t="str">
        <f t="shared" ref="C334:AC334" si="222">C326</f>
        <v>IE</v>
      </c>
      <c r="D334" s="131" t="str">
        <f t="shared" si="222"/>
        <v>IE-CW</v>
      </c>
      <c r="E334" s="131" t="str">
        <f t="shared" si="222"/>
        <v>IE-D</v>
      </c>
      <c r="F334" s="131" t="str">
        <f t="shared" si="222"/>
        <v>IE-KE</v>
      </c>
      <c r="G334" s="131" t="str">
        <f t="shared" si="222"/>
        <v>IE-KK</v>
      </c>
      <c r="H334" s="131" t="str">
        <f t="shared" si="222"/>
        <v>IE-LS</v>
      </c>
      <c r="I334" s="131" t="str">
        <f t="shared" si="222"/>
        <v>IE-LD</v>
      </c>
      <c r="J334" s="131" t="str">
        <f t="shared" si="222"/>
        <v>IE-LH</v>
      </c>
      <c r="K334" s="131" t="str">
        <f t="shared" si="222"/>
        <v>IE-MH</v>
      </c>
      <c r="L334" s="131" t="str">
        <f t="shared" si="222"/>
        <v>IE-OY</v>
      </c>
      <c r="M334" s="131" t="str">
        <f t="shared" si="222"/>
        <v>IE-WH</v>
      </c>
      <c r="N334" s="131" t="str">
        <f t="shared" si="222"/>
        <v>IE-WX</v>
      </c>
      <c r="O334" s="131" t="str">
        <f t="shared" si="222"/>
        <v>IE-WW</v>
      </c>
      <c r="P334" s="131" t="str">
        <f t="shared" si="222"/>
        <v>IE-CE</v>
      </c>
      <c r="Q334" s="131" t="str">
        <f t="shared" si="222"/>
        <v>IE-CO</v>
      </c>
      <c r="R334" s="131" t="str">
        <f t="shared" si="222"/>
        <v>IE-KY</v>
      </c>
      <c r="S334" s="131" t="str">
        <f t="shared" si="222"/>
        <v>IE-LK</v>
      </c>
      <c r="T334" s="131" t="str">
        <f t="shared" si="222"/>
        <v>IE-TA</v>
      </c>
      <c r="U334" s="131" t="str">
        <f t="shared" si="222"/>
        <v>IE-WD</v>
      </c>
      <c r="V334" s="131" t="str">
        <f t="shared" si="222"/>
        <v>IE-G</v>
      </c>
      <c r="W334" s="131" t="str">
        <f t="shared" si="222"/>
        <v>IE-LM</v>
      </c>
      <c r="X334" s="131" t="str">
        <f t="shared" si="222"/>
        <v>IE-MO</v>
      </c>
      <c r="Y334" s="131" t="str">
        <f t="shared" si="222"/>
        <v>IE-RN</v>
      </c>
      <c r="Z334" s="131" t="str">
        <f t="shared" si="222"/>
        <v>IE-SO</v>
      </c>
      <c r="AA334" s="131" t="str">
        <f t="shared" si="222"/>
        <v>IE-CN</v>
      </c>
      <c r="AB334" s="131" t="str">
        <f t="shared" si="222"/>
        <v>IE-DL</v>
      </c>
      <c r="AC334" s="131" t="str">
        <f t="shared" si="222"/>
        <v>IE-MN</v>
      </c>
    </row>
    <row r="335" spans="1:29">
      <c r="A335" s="459" t="s">
        <v>345</v>
      </c>
      <c r="B335" s="459" t="s">
        <v>531</v>
      </c>
      <c r="C335" s="463">
        <f>SUM(D335:AC335)</f>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346</v>
      </c>
      <c r="B336" s="459" t="s">
        <v>531</v>
      </c>
      <c r="C336" s="463">
        <f t="shared" ref="C336:C341" si="223">SUM(D336:AC336)</f>
        <v>0</v>
      </c>
      <c r="D336" s="513">
        <v>0</v>
      </c>
      <c r="E336" s="513">
        <v>0</v>
      </c>
      <c r="F336" s="513">
        <v>0</v>
      </c>
      <c r="G336" s="513">
        <v>0</v>
      </c>
      <c r="H336" s="513">
        <v>0</v>
      </c>
      <c r="I336" s="513">
        <v>0</v>
      </c>
      <c r="J336" s="513">
        <v>0</v>
      </c>
      <c r="K336" s="513">
        <v>0</v>
      </c>
      <c r="L336" s="513">
        <v>0</v>
      </c>
      <c r="M336" s="513">
        <v>0</v>
      </c>
      <c r="N336" s="513">
        <v>0</v>
      </c>
      <c r="O336" s="513">
        <v>0</v>
      </c>
      <c r="P336" s="513">
        <v>0</v>
      </c>
      <c r="Q336" s="513">
        <v>0</v>
      </c>
      <c r="R336" s="513">
        <v>0</v>
      </c>
      <c r="S336" s="513">
        <v>0</v>
      </c>
      <c r="T336" s="513">
        <v>0</v>
      </c>
      <c r="U336" s="513">
        <v>0</v>
      </c>
      <c r="V336" s="513">
        <v>0</v>
      </c>
      <c r="W336" s="513">
        <v>0</v>
      </c>
      <c r="X336" s="513">
        <v>0</v>
      </c>
      <c r="Y336" s="513">
        <v>0</v>
      </c>
      <c r="Z336" s="513">
        <v>0</v>
      </c>
      <c r="AA336" s="513">
        <v>0</v>
      </c>
      <c r="AB336" s="513">
        <v>0</v>
      </c>
      <c r="AC336" s="513">
        <v>0</v>
      </c>
    </row>
    <row r="337" spans="1:29">
      <c r="A337" s="459" t="s">
        <v>347</v>
      </c>
      <c r="B337" s="459" t="s">
        <v>531</v>
      </c>
      <c r="C337" s="463">
        <f t="shared" si="223"/>
        <v>1</v>
      </c>
      <c r="D337" s="513">
        <v>0</v>
      </c>
      <c r="E337" s="513">
        <v>0</v>
      </c>
      <c r="F337" s="513">
        <v>0</v>
      </c>
      <c r="G337" s="513">
        <v>0</v>
      </c>
      <c r="H337" s="513">
        <v>0</v>
      </c>
      <c r="I337" s="513">
        <v>0</v>
      </c>
      <c r="J337" s="513">
        <v>0</v>
      </c>
      <c r="K337" s="513">
        <v>0</v>
      </c>
      <c r="L337" s="513">
        <v>0</v>
      </c>
      <c r="M337" s="513">
        <v>1</v>
      </c>
      <c r="N337" s="513">
        <v>0</v>
      </c>
      <c r="O337" s="513">
        <v>0</v>
      </c>
      <c r="P337" s="513">
        <v>0</v>
      </c>
      <c r="Q337" s="513">
        <v>0</v>
      </c>
      <c r="R337" s="513">
        <v>0</v>
      </c>
      <c r="S337" s="513">
        <v>0</v>
      </c>
      <c r="T337" s="513">
        <v>0</v>
      </c>
      <c r="U337" s="513">
        <v>0</v>
      </c>
      <c r="V337" s="513">
        <v>0</v>
      </c>
      <c r="W337" s="513">
        <v>0</v>
      </c>
      <c r="X337" s="513">
        <v>0</v>
      </c>
      <c r="Y337" s="513">
        <v>0</v>
      </c>
      <c r="Z337" s="513">
        <v>0</v>
      </c>
      <c r="AA337" s="513">
        <v>0</v>
      </c>
      <c r="AB337" s="513">
        <v>0</v>
      </c>
      <c r="AC337" s="513">
        <v>0</v>
      </c>
    </row>
    <row r="338" spans="1:29">
      <c r="A338" s="459" t="s">
        <v>348</v>
      </c>
      <c r="B338" s="459" t="s">
        <v>531</v>
      </c>
      <c r="C338" s="463">
        <f t="shared" si="223"/>
        <v>4</v>
      </c>
      <c r="D338" s="513">
        <v>0</v>
      </c>
      <c r="E338" s="513">
        <v>0</v>
      </c>
      <c r="F338" s="513">
        <v>1</v>
      </c>
      <c r="G338" s="513">
        <v>0</v>
      </c>
      <c r="H338" s="513">
        <v>0</v>
      </c>
      <c r="I338" s="513">
        <v>0</v>
      </c>
      <c r="J338" s="513">
        <v>0</v>
      </c>
      <c r="K338" s="513">
        <v>0</v>
      </c>
      <c r="L338" s="513">
        <v>0</v>
      </c>
      <c r="M338" s="513">
        <v>0</v>
      </c>
      <c r="N338" s="513">
        <v>0</v>
      </c>
      <c r="O338" s="513">
        <v>0</v>
      </c>
      <c r="P338" s="513">
        <v>0</v>
      </c>
      <c r="Q338" s="513">
        <v>0</v>
      </c>
      <c r="R338" s="513">
        <v>0</v>
      </c>
      <c r="S338" s="513">
        <v>0</v>
      </c>
      <c r="T338" s="513">
        <v>0</v>
      </c>
      <c r="U338" s="513">
        <v>0</v>
      </c>
      <c r="V338" s="513">
        <v>0</v>
      </c>
      <c r="W338" s="513">
        <v>0</v>
      </c>
      <c r="X338" s="513">
        <v>0</v>
      </c>
      <c r="Y338" s="513">
        <v>0</v>
      </c>
      <c r="Z338" s="513">
        <v>1</v>
      </c>
      <c r="AA338" s="513">
        <v>1</v>
      </c>
      <c r="AB338" s="513">
        <v>1</v>
      </c>
      <c r="AC338" s="513">
        <v>0</v>
      </c>
    </row>
    <row r="339" spans="1:29">
      <c r="A339" s="459" t="s">
        <v>349</v>
      </c>
      <c r="B339" s="459" t="s">
        <v>531</v>
      </c>
      <c r="C339" s="463">
        <f t="shared" si="223"/>
        <v>0</v>
      </c>
      <c r="D339" s="513">
        <v>0</v>
      </c>
      <c r="E339" s="513">
        <v>0</v>
      </c>
      <c r="F339" s="513">
        <v>0</v>
      </c>
      <c r="G339" s="513">
        <v>0</v>
      </c>
      <c r="H339" s="513">
        <v>0</v>
      </c>
      <c r="I339" s="513">
        <v>0</v>
      </c>
      <c r="J339" s="513">
        <v>0</v>
      </c>
      <c r="K339" s="513">
        <v>0</v>
      </c>
      <c r="L339" s="513">
        <v>0</v>
      </c>
      <c r="M339" s="513">
        <v>0</v>
      </c>
      <c r="N339" s="513">
        <v>0</v>
      </c>
      <c r="O339" s="513">
        <v>0</v>
      </c>
      <c r="P339" s="513">
        <v>0</v>
      </c>
      <c r="Q339" s="513">
        <v>0</v>
      </c>
      <c r="R339" s="513">
        <v>0</v>
      </c>
      <c r="S339" s="513">
        <v>0</v>
      </c>
      <c r="T339" s="513">
        <v>0</v>
      </c>
      <c r="U339" s="513">
        <v>0</v>
      </c>
      <c r="V339" s="513">
        <v>0</v>
      </c>
      <c r="W339" s="513">
        <v>0</v>
      </c>
      <c r="X339" s="513">
        <v>0</v>
      </c>
      <c r="Y339" s="513">
        <v>0</v>
      </c>
      <c r="Z339" s="513">
        <v>0</v>
      </c>
      <c r="AA339" s="513">
        <v>0</v>
      </c>
      <c r="AB339" s="513">
        <v>0</v>
      </c>
      <c r="AC339" s="513">
        <v>0</v>
      </c>
    </row>
    <row r="340" spans="1:29">
      <c r="A340" s="459" t="s">
        <v>350</v>
      </c>
      <c r="B340" s="459" t="s">
        <v>531</v>
      </c>
      <c r="C340" s="463">
        <f t="shared" si="223"/>
        <v>110</v>
      </c>
      <c r="D340" s="513">
        <v>2</v>
      </c>
      <c r="E340" s="513">
        <v>5</v>
      </c>
      <c r="F340" s="513">
        <v>3</v>
      </c>
      <c r="G340" s="513">
        <v>8</v>
      </c>
      <c r="H340" s="513">
        <v>2</v>
      </c>
      <c r="I340" s="513">
        <v>1</v>
      </c>
      <c r="J340" s="513">
        <v>1</v>
      </c>
      <c r="K340" s="513">
        <v>1</v>
      </c>
      <c r="L340" s="513">
        <v>0</v>
      </c>
      <c r="M340" s="513">
        <v>5</v>
      </c>
      <c r="N340" s="513">
        <v>3</v>
      </c>
      <c r="O340" s="513">
        <v>1</v>
      </c>
      <c r="P340" s="513">
        <v>3</v>
      </c>
      <c r="Q340" s="513">
        <v>15</v>
      </c>
      <c r="R340" s="513">
        <v>2</v>
      </c>
      <c r="S340" s="513">
        <v>0</v>
      </c>
      <c r="T340" s="513">
        <v>1</v>
      </c>
      <c r="U340" s="513">
        <v>3</v>
      </c>
      <c r="V340" s="513">
        <v>35</v>
      </c>
      <c r="W340" s="513">
        <v>1</v>
      </c>
      <c r="X340" s="513">
        <v>0</v>
      </c>
      <c r="Y340" s="513">
        <v>3</v>
      </c>
      <c r="Z340" s="513">
        <v>0</v>
      </c>
      <c r="AA340" s="513">
        <v>3</v>
      </c>
      <c r="AB340" s="513">
        <v>6</v>
      </c>
      <c r="AC340" s="513">
        <v>6</v>
      </c>
    </row>
    <row r="341" spans="1:29">
      <c r="A341" s="459" t="s">
        <v>351</v>
      </c>
      <c r="B341" s="459" t="s">
        <v>531</v>
      </c>
      <c r="C341" s="463">
        <f t="shared" si="223"/>
        <v>658</v>
      </c>
      <c r="D341" s="513">
        <v>12</v>
      </c>
      <c r="E341" s="513">
        <v>28</v>
      </c>
      <c r="F341" s="513">
        <v>15</v>
      </c>
      <c r="G341" s="513">
        <v>35</v>
      </c>
      <c r="H341" s="513">
        <v>14</v>
      </c>
      <c r="I341" s="513">
        <v>23</v>
      </c>
      <c r="J341" s="513">
        <v>7</v>
      </c>
      <c r="K341" s="513">
        <v>12</v>
      </c>
      <c r="L341" s="513">
        <v>10</v>
      </c>
      <c r="M341" s="513">
        <v>17</v>
      </c>
      <c r="N341" s="513">
        <v>13</v>
      </c>
      <c r="O341" s="513">
        <v>16</v>
      </c>
      <c r="P341" s="513">
        <v>10</v>
      </c>
      <c r="Q341" s="513">
        <v>56</v>
      </c>
      <c r="R341" s="513">
        <v>30</v>
      </c>
      <c r="S341" s="513">
        <v>2</v>
      </c>
      <c r="T341" s="513">
        <v>3</v>
      </c>
      <c r="U341" s="513">
        <v>10</v>
      </c>
      <c r="V341" s="513">
        <v>252</v>
      </c>
      <c r="W341" s="513">
        <v>15</v>
      </c>
      <c r="X341" s="513">
        <v>17</v>
      </c>
      <c r="Y341" s="513">
        <v>8</v>
      </c>
      <c r="Z341" s="513">
        <v>4</v>
      </c>
      <c r="AA341" s="513">
        <v>12</v>
      </c>
      <c r="AB341" s="513">
        <v>5</v>
      </c>
      <c r="AC341" s="513">
        <v>32</v>
      </c>
    </row>
    <row r="342" spans="1:29">
      <c r="A342" s="458" t="s">
        <v>16</v>
      </c>
      <c r="B342" s="458" t="s">
        <v>531</v>
      </c>
      <c r="C342" s="504">
        <f>SUM(C335:C341)</f>
        <v>773</v>
      </c>
      <c r="D342" s="504">
        <f>SUM(D335:D341)</f>
        <v>14</v>
      </c>
      <c r="E342" s="504">
        <f t="shared" ref="E342:AC342" si="224">SUM(E335:E341)</f>
        <v>33</v>
      </c>
      <c r="F342" s="504">
        <f t="shared" si="224"/>
        <v>19</v>
      </c>
      <c r="G342" s="504">
        <f t="shared" si="224"/>
        <v>43</v>
      </c>
      <c r="H342" s="504">
        <f t="shared" si="224"/>
        <v>16</v>
      </c>
      <c r="I342" s="504">
        <f t="shared" si="224"/>
        <v>24</v>
      </c>
      <c r="J342" s="504">
        <f t="shared" si="224"/>
        <v>8</v>
      </c>
      <c r="K342" s="504">
        <f t="shared" si="224"/>
        <v>13</v>
      </c>
      <c r="L342" s="504">
        <f t="shared" si="224"/>
        <v>10</v>
      </c>
      <c r="M342" s="504">
        <f t="shared" si="224"/>
        <v>23</v>
      </c>
      <c r="N342" s="504">
        <f t="shared" si="224"/>
        <v>16</v>
      </c>
      <c r="O342" s="504">
        <f t="shared" si="224"/>
        <v>17</v>
      </c>
      <c r="P342" s="504">
        <f t="shared" si="224"/>
        <v>13</v>
      </c>
      <c r="Q342" s="504">
        <f t="shared" si="224"/>
        <v>71</v>
      </c>
      <c r="R342" s="504">
        <f t="shared" si="224"/>
        <v>32</v>
      </c>
      <c r="S342" s="504">
        <f t="shared" si="224"/>
        <v>2</v>
      </c>
      <c r="T342" s="504">
        <f t="shared" si="224"/>
        <v>4</v>
      </c>
      <c r="U342" s="504">
        <f t="shared" si="224"/>
        <v>13</v>
      </c>
      <c r="V342" s="504">
        <f t="shared" si="224"/>
        <v>287</v>
      </c>
      <c r="W342" s="504">
        <f t="shared" si="224"/>
        <v>16</v>
      </c>
      <c r="X342" s="504">
        <f t="shared" si="224"/>
        <v>17</v>
      </c>
      <c r="Y342" s="504">
        <f t="shared" si="224"/>
        <v>11</v>
      </c>
      <c r="Z342" s="504">
        <f t="shared" si="224"/>
        <v>5</v>
      </c>
      <c r="AA342" s="504">
        <f t="shared" si="224"/>
        <v>16</v>
      </c>
      <c r="AB342" s="504">
        <f t="shared" si="224"/>
        <v>12</v>
      </c>
      <c r="AC342" s="504">
        <f t="shared" si="224"/>
        <v>38</v>
      </c>
    </row>
    <row r="343" spans="1:29">
      <c r="A343" s="459" t="s">
        <v>617</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c r="AC344" s="459"/>
    </row>
    <row r="345" spans="1:29">
      <c r="A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c r="AC345" s="459"/>
    </row>
    <row r="346" spans="1:29">
      <c r="A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c r="AC346" s="459"/>
    </row>
    <row r="347" spans="1:29" ht="15.6">
      <c r="A347" s="401" t="s">
        <v>629</v>
      </c>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c r="AC347" s="459"/>
    </row>
    <row r="348" spans="1:29">
      <c r="A348" s="131" t="s">
        <v>606</v>
      </c>
      <c r="B348" s="131" t="s">
        <v>64</v>
      </c>
      <c r="C348" s="131" t="str">
        <f>C334</f>
        <v>IE</v>
      </c>
      <c r="D348" s="131" t="str">
        <f t="shared" ref="D348:AC348" si="225">D334</f>
        <v>IE-CW</v>
      </c>
      <c r="E348" s="131" t="str">
        <f t="shared" si="225"/>
        <v>IE-D</v>
      </c>
      <c r="F348" s="131" t="str">
        <f t="shared" si="225"/>
        <v>IE-KE</v>
      </c>
      <c r="G348" s="131" t="str">
        <f t="shared" si="225"/>
        <v>IE-KK</v>
      </c>
      <c r="H348" s="131" t="str">
        <f t="shared" si="225"/>
        <v>IE-LS</v>
      </c>
      <c r="I348" s="131" t="str">
        <f t="shared" si="225"/>
        <v>IE-LD</v>
      </c>
      <c r="J348" s="131" t="str">
        <f t="shared" si="225"/>
        <v>IE-LH</v>
      </c>
      <c r="K348" s="131" t="str">
        <f t="shared" si="225"/>
        <v>IE-MH</v>
      </c>
      <c r="L348" s="131" t="str">
        <f t="shared" si="225"/>
        <v>IE-OY</v>
      </c>
      <c r="M348" s="131" t="str">
        <f t="shared" si="225"/>
        <v>IE-WH</v>
      </c>
      <c r="N348" s="131" t="str">
        <f t="shared" si="225"/>
        <v>IE-WX</v>
      </c>
      <c r="O348" s="131" t="str">
        <f t="shared" si="225"/>
        <v>IE-WW</v>
      </c>
      <c r="P348" s="131" t="str">
        <f t="shared" si="225"/>
        <v>IE-CE</v>
      </c>
      <c r="Q348" s="131" t="str">
        <f t="shared" si="225"/>
        <v>IE-CO</v>
      </c>
      <c r="R348" s="131" t="str">
        <f t="shared" si="225"/>
        <v>IE-KY</v>
      </c>
      <c r="S348" s="131" t="str">
        <f t="shared" si="225"/>
        <v>IE-LK</v>
      </c>
      <c r="T348" s="131" t="str">
        <f t="shared" si="225"/>
        <v>IE-TA</v>
      </c>
      <c r="U348" s="131" t="str">
        <f t="shared" si="225"/>
        <v>IE-WD</v>
      </c>
      <c r="V348" s="131" t="str">
        <f t="shared" si="225"/>
        <v>IE-G</v>
      </c>
      <c r="W348" s="131" t="str">
        <f t="shared" si="225"/>
        <v>IE-LM</v>
      </c>
      <c r="X348" s="131" t="str">
        <f t="shared" si="225"/>
        <v>IE-MO</v>
      </c>
      <c r="Y348" s="131" t="str">
        <f t="shared" si="225"/>
        <v>IE-RN</v>
      </c>
      <c r="Z348" s="131" t="str">
        <f t="shared" si="225"/>
        <v>IE-SO</v>
      </c>
      <c r="AA348" s="131" t="str">
        <f t="shared" si="225"/>
        <v>IE-CN</v>
      </c>
      <c r="AB348" s="131" t="str">
        <f t="shared" si="225"/>
        <v>IE-DL</v>
      </c>
      <c r="AC348" s="131" t="str">
        <f t="shared" si="225"/>
        <v>IE-MN</v>
      </c>
    </row>
    <row r="349" spans="1:29">
      <c r="A349" s="459" t="s">
        <v>345</v>
      </c>
      <c r="B349" s="507" t="s">
        <v>610</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459" t="s">
        <v>346</v>
      </c>
      <c r="B350" s="1" t="s">
        <v>610</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459" t="s">
        <v>347</v>
      </c>
      <c r="B351" s="1" t="s">
        <v>610</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459" t="s">
        <v>348</v>
      </c>
      <c r="B352" s="1" t="s">
        <v>610</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459" t="s">
        <v>349</v>
      </c>
      <c r="B353" s="1" t="s">
        <v>610</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459" t="s">
        <v>350</v>
      </c>
      <c r="B354" s="1" t="s">
        <v>610</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459" t="s">
        <v>351</v>
      </c>
      <c r="B355" s="1" t="s">
        <v>610</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458" t="s">
        <v>16</v>
      </c>
      <c r="B356" s="458" t="s">
        <v>610</v>
      </c>
      <c r="C356" s="403">
        <f t="shared" ref="C356:AC356" si="228">SUM(C349:C355)</f>
        <v>1</v>
      </c>
      <c r="D356" s="403">
        <f t="shared" si="228"/>
        <v>1</v>
      </c>
      <c r="E356" s="403">
        <f t="shared" si="228"/>
        <v>1</v>
      </c>
      <c r="F356" s="403">
        <f t="shared" si="228"/>
        <v>1</v>
      </c>
      <c r="G356" s="403">
        <f t="shared" si="228"/>
        <v>1</v>
      </c>
      <c r="H356" s="403">
        <f t="shared" si="228"/>
        <v>1</v>
      </c>
      <c r="I356" s="403">
        <f t="shared" si="228"/>
        <v>1</v>
      </c>
      <c r="J356" s="403">
        <f t="shared" si="228"/>
        <v>1</v>
      </c>
      <c r="K356" s="403">
        <f t="shared" si="228"/>
        <v>1</v>
      </c>
      <c r="L356" s="403">
        <f t="shared" si="228"/>
        <v>1</v>
      </c>
      <c r="M356" s="403">
        <f t="shared" si="228"/>
        <v>1</v>
      </c>
      <c r="N356" s="403">
        <f t="shared" si="228"/>
        <v>1</v>
      </c>
      <c r="O356" s="403">
        <f t="shared" si="228"/>
        <v>1</v>
      </c>
      <c r="P356" s="403">
        <f t="shared" si="228"/>
        <v>1</v>
      </c>
      <c r="Q356" s="403">
        <f t="shared" si="228"/>
        <v>1</v>
      </c>
      <c r="R356" s="403">
        <f t="shared" si="228"/>
        <v>1</v>
      </c>
      <c r="S356" s="403">
        <f t="shared" si="228"/>
        <v>1</v>
      </c>
      <c r="T356" s="403">
        <f t="shared" si="228"/>
        <v>1</v>
      </c>
      <c r="U356" s="403">
        <f t="shared" si="228"/>
        <v>1</v>
      </c>
      <c r="V356" s="403">
        <f t="shared" si="228"/>
        <v>1</v>
      </c>
      <c r="W356" s="403">
        <f t="shared" si="228"/>
        <v>1</v>
      </c>
      <c r="X356" s="403">
        <f t="shared" si="228"/>
        <v>1</v>
      </c>
      <c r="Y356" s="403">
        <f t="shared" si="228"/>
        <v>1</v>
      </c>
      <c r="Z356" s="403">
        <f t="shared" si="228"/>
        <v>1</v>
      </c>
      <c r="AA356" s="403">
        <f t="shared" si="228"/>
        <v>1</v>
      </c>
      <c r="AB356" s="403">
        <f t="shared" si="228"/>
        <v>1</v>
      </c>
      <c r="AC356" s="403">
        <f t="shared" si="228"/>
        <v>1</v>
      </c>
    </row>
    <row r="357" spans="1:29">
      <c r="A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c r="AC357" s="459"/>
    </row>
    <row r="358" spans="1:29">
      <c r="A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c r="AC358" s="459"/>
    </row>
    <row r="359" spans="1:29">
      <c r="A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c r="AC359" s="459"/>
    </row>
    <row r="360" spans="1:29" ht="15.6">
      <c r="A360" s="425" t="s">
        <v>630</v>
      </c>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c r="AC360" s="459"/>
    </row>
    <row r="361" spans="1:29">
      <c r="A361" s="131" t="s">
        <v>606</v>
      </c>
      <c r="B361" s="131" t="s">
        <v>64</v>
      </c>
      <c r="C361" s="131" t="str">
        <f>C348</f>
        <v>IE</v>
      </c>
      <c r="D361" s="131" t="str">
        <f t="shared" ref="D361:AC361" si="229">D348</f>
        <v>IE-CW</v>
      </c>
      <c r="E361" s="131" t="str">
        <f t="shared" si="229"/>
        <v>IE-D</v>
      </c>
      <c r="F361" s="131" t="str">
        <f t="shared" si="229"/>
        <v>IE-KE</v>
      </c>
      <c r="G361" s="131" t="str">
        <f t="shared" si="229"/>
        <v>IE-KK</v>
      </c>
      <c r="H361" s="131" t="str">
        <f t="shared" si="229"/>
        <v>IE-LS</v>
      </c>
      <c r="I361" s="131" t="str">
        <f t="shared" si="229"/>
        <v>IE-LD</v>
      </c>
      <c r="J361" s="131" t="str">
        <f t="shared" si="229"/>
        <v>IE-LH</v>
      </c>
      <c r="K361" s="131" t="str">
        <f t="shared" si="229"/>
        <v>IE-MH</v>
      </c>
      <c r="L361" s="131" t="str">
        <f t="shared" si="229"/>
        <v>IE-OY</v>
      </c>
      <c r="M361" s="131" t="str">
        <f t="shared" si="229"/>
        <v>IE-WH</v>
      </c>
      <c r="N361" s="131" t="str">
        <f t="shared" si="229"/>
        <v>IE-WX</v>
      </c>
      <c r="O361" s="131" t="str">
        <f t="shared" si="229"/>
        <v>IE-WW</v>
      </c>
      <c r="P361" s="131" t="str">
        <f t="shared" si="229"/>
        <v>IE-CE</v>
      </c>
      <c r="Q361" s="131" t="str">
        <f t="shared" si="229"/>
        <v>IE-CO</v>
      </c>
      <c r="R361" s="131" t="str">
        <f t="shared" si="229"/>
        <v>IE-KY</v>
      </c>
      <c r="S361" s="131" t="str">
        <f t="shared" si="229"/>
        <v>IE-LK</v>
      </c>
      <c r="T361" s="131" t="str">
        <f t="shared" si="229"/>
        <v>IE-TA</v>
      </c>
      <c r="U361" s="131" t="str">
        <f t="shared" si="229"/>
        <v>IE-WD</v>
      </c>
      <c r="V361" s="131" t="str">
        <f t="shared" si="229"/>
        <v>IE-G</v>
      </c>
      <c r="W361" s="131" t="str">
        <f t="shared" si="229"/>
        <v>IE-LM</v>
      </c>
      <c r="X361" s="131" t="str">
        <f t="shared" si="229"/>
        <v>IE-MO</v>
      </c>
      <c r="Y361" s="131" t="str">
        <f t="shared" si="229"/>
        <v>IE-RN</v>
      </c>
      <c r="Z361" s="131" t="str">
        <f t="shared" si="229"/>
        <v>IE-SO</v>
      </c>
      <c r="AA361" s="131" t="str">
        <f t="shared" si="229"/>
        <v>IE-CN</v>
      </c>
      <c r="AB361" s="131" t="str">
        <f t="shared" si="229"/>
        <v>IE-DL</v>
      </c>
      <c r="AC361" s="131" t="str">
        <f t="shared" si="229"/>
        <v>IE-MN</v>
      </c>
    </row>
    <row r="362" spans="1:29">
      <c r="A362" s="459" t="s">
        <v>345</v>
      </c>
      <c r="B362" s="459" t="s">
        <v>611</v>
      </c>
      <c r="C362" s="509">
        <v>1.0462382065888809</v>
      </c>
      <c r="D362" s="509">
        <v>1.0462382065888809</v>
      </c>
      <c r="E362" s="509">
        <v>1.0462382065888809</v>
      </c>
      <c r="F362" s="509">
        <v>1.0462382065888809</v>
      </c>
      <c r="G362" s="509">
        <v>1.0462382065888809</v>
      </c>
      <c r="H362" s="509">
        <v>1.0462382065888809</v>
      </c>
      <c r="I362" s="509">
        <v>1.0462382065888809</v>
      </c>
      <c r="J362" s="509">
        <v>1.0462382065888809</v>
      </c>
      <c r="K362" s="509">
        <v>1.0462382065888809</v>
      </c>
      <c r="L362" s="509">
        <v>1.0462382065888809</v>
      </c>
      <c r="M362" s="509">
        <v>1.0462382065888809</v>
      </c>
      <c r="N362" s="509">
        <v>1.0462382065888809</v>
      </c>
      <c r="O362" s="509">
        <v>1.0462382065888809</v>
      </c>
      <c r="P362" s="509">
        <v>1.0462382065888809</v>
      </c>
      <c r="Q362" s="509">
        <v>1.0462382065888809</v>
      </c>
      <c r="R362" s="509">
        <v>1.0462382065888809</v>
      </c>
      <c r="S362" s="509">
        <v>1.0462382065888809</v>
      </c>
      <c r="T362" s="509">
        <v>1.0462382065888809</v>
      </c>
      <c r="U362" s="509">
        <v>1.0462382065888809</v>
      </c>
      <c r="V362" s="509">
        <v>1.0462382065888809</v>
      </c>
      <c r="W362" s="509">
        <v>1.0462382065888809</v>
      </c>
      <c r="X362" s="509">
        <v>1.0462382065888809</v>
      </c>
      <c r="Y362" s="509">
        <v>1.0462382065888809</v>
      </c>
      <c r="Z362" s="509">
        <v>1.0462382065888809</v>
      </c>
      <c r="AA362" s="509">
        <v>1.0462382065888809</v>
      </c>
      <c r="AB362" s="509">
        <v>1.0462382065888809</v>
      </c>
      <c r="AC362" s="509">
        <v>1.0462382065888809</v>
      </c>
    </row>
    <row r="363" spans="1:29">
      <c r="A363" s="459" t="s">
        <v>346</v>
      </c>
      <c r="B363" s="459" t="s">
        <v>611</v>
      </c>
      <c r="C363" s="509">
        <v>1.0486844669655038</v>
      </c>
      <c r="D363" s="509">
        <v>1.0486844669655038</v>
      </c>
      <c r="E363" s="509">
        <v>1.0486844669655038</v>
      </c>
      <c r="F363" s="509">
        <v>1.0486844669655038</v>
      </c>
      <c r="G363" s="509">
        <v>1.0486844669655038</v>
      </c>
      <c r="H363" s="509">
        <v>1.0486844669655038</v>
      </c>
      <c r="I363" s="509">
        <v>1.0486844669655038</v>
      </c>
      <c r="J363" s="509">
        <v>1.0486844669655038</v>
      </c>
      <c r="K363" s="509">
        <v>1.0486844669655038</v>
      </c>
      <c r="L363" s="509">
        <v>1.0486844669655038</v>
      </c>
      <c r="M363" s="509">
        <v>1.0486844669655038</v>
      </c>
      <c r="N363" s="509">
        <v>1.0486844669655038</v>
      </c>
      <c r="O363" s="509">
        <v>1.0486844669655038</v>
      </c>
      <c r="P363" s="509">
        <v>1.0486844669655038</v>
      </c>
      <c r="Q363" s="509">
        <v>1.0486844669655038</v>
      </c>
      <c r="R363" s="509">
        <v>1.0486844669655038</v>
      </c>
      <c r="S363" s="509">
        <v>1.0486844669655038</v>
      </c>
      <c r="T363" s="509">
        <v>1.0486844669655038</v>
      </c>
      <c r="U363" s="509">
        <v>1.0486844669655038</v>
      </c>
      <c r="V363" s="509">
        <v>1.0486844669655038</v>
      </c>
      <c r="W363" s="509">
        <v>1.0486844669655038</v>
      </c>
      <c r="X363" s="509">
        <v>1.0486844669655038</v>
      </c>
      <c r="Y363" s="509">
        <v>1.0486844669655038</v>
      </c>
      <c r="Z363" s="509">
        <v>1.0486844669655038</v>
      </c>
      <c r="AA363" s="509">
        <v>1.0486844669655038</v>
      </c>
      <c r="AB363" s="509">
        <v>1.0486844669655038</v>
      </c>
      <c r="AC363" s="509">
        <v>1.0486844669655038</v>
      </c>
    </row>
    <row r="364" spans="1:29">
      <c r="A364" s="459" t="s">
        <v>347</v>
      </c>
      <c r="B364" s="459" t="s">
        <v>611</v>
      </c>
      <c r="C364" s="509">
        <v>1.0796552350700317</v>
      </c>
      <c r="D364" s="509">
        <v>1.0796552350700317</v>
      </c>
      <c r="E364" s="509">
        <v>1.0796552350700317</v>
      </c>
      <c r="F364" s="509">
        <v>1.0796552350700317</v>
      </c>
      <c r="G364" s="509">
        <v>1.0796552350700317</v>
      </c>
      <c r="H364" s="509">
        <v>1.0796552350700317</v>
      </c>
      <c r="I364" s="509">
        <v>1.0796552350700317</v>
      </c>
      <c r="J364" s="509">
        <v>1.0796552350700317</v>
      </c>
      <c r="K364" s="509">
        <v>1.0796552350700317</v>
      </c>
      <c r="L364" s="509">
        <v>1.0796552350700317</v>
      </c>
      <c r="M364" s="509">
        <v>1.0796552350700317</v>
      </c>
      <c r="N364" s="509">
        <v>1.0796552350700317</v>
      </c>
      <c r="O364" s="509">
        <v>1.0796552350700317</v>
      </c>
      <c r="P364" s="509">
        <v>1.0796552350700317</v>
      </c>
      <c r="Q364" s="509">
        <v>1.0796552350700317</v>
      </c>
      <c r="R364" s="509">
        <v>1.0796552350700317</v>
      </c>
      <c r="S364" s="509">
        <v>1.0796552350700317</v>
      </c>
      <c r="T364" s="509">
        <v>1.0796552350700317</v>
      </c>
      <c r="U364" s="509">
        <v>1.0796552350700317</v>
      </c>
      <c r="V364" s="509">
        <v>1.0796552350700317</v>
      </c>
      <c r="W364" s="509">
        <v>1.0796552350700317</v>
      </c>
      <c r="X364" s="509">
        <v>1.0796552350700317</v>
      </c>
      <c r="Y364" s="509">
        <v>1.0796552350700317</v>
      </c>
      <c r="Z364" s="509">
        <v>1.0796552350700317</v>
      </c>
      <c r="AA364" s="509">
        <v>1.0796552350700317</v>
      </c>
      <c r="AB364" s="509">
        <v>1.0796552350700317</v>
      </c>
      <c r="AC364" s="509">
        <v>1.0796552350700317</v>
      </c>
    </row>
    <row r="365" spans="1:29">
      <c r="A365" s="459" t="s">
        <v>348</v>
      </c>
      <c r="B365" s="459" t="s">
        <v>611</v>
      </c>
      <c r="C365" s="509">
        <v>1.0860441592549372</v>
      </c>
      <c r="D365" s="509">
        <v>1.0860441592549372</v>
      </c>
      <c r="E365" s="509">
        <v>1.0860441592549372</v>
      </c>
      <c r="F365" s="509">
        <v>1.0860441592549372</v>
      </c>
      <c r="G365" s="509">
        <v>1.0860441592549372</v>
      </c>
      <c r="H365" s="509">
        <v>1.0860441592549372</v>
      </c>
      <c r="I365" s="509">
        <v>1.0860441592549372</v>
      </c>
      <c r="J365" s="509">
        <v>1.0860441592549372</v>
      </c>
      <c r="K365" s="509">
        <v>1.0860441592549372</v>
      </c>
      <c r="L365" s="509">
        <v>1.0860441592549372</v>
      </c>
      <c r="M365" s="509">
        <v>1.0860441592549372</v>
      </c>
      <c r="N365" s="509">
        <v>1.0860441592549372</v>
      </c>
      <c r="O365" s="509">
        <v>1.0860441592549372</v>
      </c>
      <c r="P365" s="509">
        <v>1.0860441592549372</v>
      </c>
      <c r="Q365" s="509">
        <v>1.0860441592549372</v>
      </c>
      <c r="R365" s="509">
        <v>1.0860441592549372</v>
      </c>
      <c r="S365" s="509">
        <v>1.0860441592549372</v>
      </c>
      <c r="T365" s="509">
        <v>1.0860441592549372</v>
      </c>
      <c r="U365" s="509">
        <v>1.0860441592549372</v>
      </c>
      <c r="V365" s="509">
        <v>1.0860441592549372</v>
      </c>
      <c r="W365" s="509">
        <v>1.0860441592549372</v>
      </c>
      <c r="X365" s="509">
        <v>1.0860441592549372</v>
      </c>
      <c r="Y365" s="509">
        <v>1.0860441592549372</v>
      </c>
      <c r="Z365" s="509">
        <v>1.0860441592549372</v>
      </c>
      <c r="AA365" s="509">
        <v>1.0860441592549372</v>
      </c>
      <c r="AB365" s="509">
        <v>1.0860441592549372</v>
      </c>
      <c r="AC365" s="509">
        <v>1.0860441592549372</v>
      </c>
    </row>
    <row r="366" spans="1:29">
      <c r="A366" s="459" t="s">
        <v>349</v>
      </c>
      <c r="B366" s="459" t="s">
        <v>611</v>
      </c>
      <c r="C366" s="509">
        <v>1.2322848620544717</v>
      </c>
      <c r="D366" s="509">
        <v>1.2322848620544717</v>
      </c>
      <c r="E366" s="509">
        <v>1.2322848620544717</v>
      </c>
      <c r="F366" s="509">
        <v>1.2322848620544717</v>
      </c>
      <c r="G366" s="509">
        <v>1.2322848620544717</v>
      </c>
      <c r="H366" s="509">
        <v>1.2322848620544717</v>
      </c>
      <c r="I366" s="509">
        <v>1.2322848620544717</v>
      </c>
      <c r="J366" s="509">
        <v>1.2322848620544717</v>
      </c>
      <c r="K366" s="509">
        <v>1.2322848620544717</v>
      </c>
      <c r="L366" s="509">
        <v>1.2322848620544717</v>
      </c>
      <c r="M366" s="509">
        <v>1.2322848620544717</v>
      </c>
      <c r="N366" s="509">
        <v>1.2322848620544717</v>
      </c>
      <c r="O366" s="509">
        <v>1.2322848620544717</v>
      </c>
      <c r="P366" s="509">
        <v>1.2322848620544717</v>
      </c>
      <c r="Q366" s="509">
        <v>1.2322848620544717</v>
      </c>
      <c r="R366" s="509">
        <v>1.2322848620544717</v>
      </c>
      <c r="S366" s="509">
        <v>1.2322848620544717</v>
      </c>
      <c r="T366" s="509">
        <v>1.2322848620544717</v>
      </c>
      <c r="U366" s="509">
        <v>1.2322848620544717</v>
      </c>
      <c r="V366" s="509">
        <v>1.2322848620544717</v>
      </c>
      <c r="W366" s="509">
        <v>1.2322848620544717</v>
      </c>
      <c r="X366" s="509">
        <v>1.2322848620544717</v>
      </c>
      <c r="Y366" s="509">
        <v>1.2322848620544717</v>
      </c>
      <c r="Z366" s="509">
        <v>1.2322848620544717</v>
      </c>
      <c r="AA366" s="509">
        <v>1.2322848620544717</v>
      </c>
      <c r="AB366" s="509">
        <v>1.2322848620544717</v>
      </c>
      <c r="AC366" s="509">
        <v>1.2322848620544717</v>
      </c>
    </row>
    <row r="367" spans="1:29">
      <c r="A367" s="459" t="s">
        <v>350</v>
      </c>
      <c r="B367" s="459" t="s">
        <v>611</v>
      </c>
      <c r="C367" s="509">
        <v>1.2277213214286919</v>
      </c>
      <c r="D367" s="509">
        <v>1.2277213214286919</v>
      </c>
      <c r="E367" s="509">
        <v>1.2277213214286919</v>
      </c>
      <c r="F367" s="509">
        <v>1.2277213214286919</v>
      </c>
      <c r="G367" s="509">
        <v>1.2277213214286919</v>
      </c>
      <c r="H367" s="509">
        <v>1.2277213214286919</v>
      </c>
      <c r="I367" s="509">
        <v>1.2277213214286919</v>
      </c>
      <c r="J367" s="509">
        <v>1.2277213214286919</v>
      </c>
      <c r="K367" s="509">
        <v>1.2277213214286919</v>
      </c>
      <c r="L367" s="509">
        <v>1.2277213214286919</v>
      </c>
      <c r="M367" s="509">
        <v>1.2277213214286919</v>
      </c>
      <c r="N367" s="509">
        <v>1.2277213214286919</v>
      </c>
      <c r="O367" s="509">
        <v>1.2277213214286919</v>
      </c>
      <c r="P367" s="509">
        <v>1.2277213214286919</v>
      </c>
      <c r="Q367" s="509">
        <v>1.2277213214286919</v>
      </c>
      <c r="R367" s="509">
        <v>1.2277213214286919</v>
      </c>
      <c r="S367" s="509">
        <v>1.2277213214286919</v>
      </c>
      <c r="T367" s="509">
        <v>1.2277213214286919</v>
      </c>
      <c r="U367" s="509">
        <v>1.2277213214286919</v>
      </c>
      <c r="V367" s="509">
        <v>1.2277213214286919</v>
      </c>
      <c r="W367" s="509">
        <v>1.2277213214286919</v>
      </c>
      <c r="X367" s="509">
        <v>1.2277213214286919</v>
      </c>
      <c r="Y367" s="509">
        <v>1.2277213214286919</v>
      </c>
      <c r="Z367" s="509">
        <v>1.2277213214286919</v>
      </c>
      <c r="AA367" s="509">
        <v>1.2277213214286919</v>
      </c>
      <c r="AB367" s="509">
        <v>1.2277213214286919</v>
      </c>
      <c r="AC367" s="509">
        <v>1.2277213214286919</v>
      </c>
    </row>
    <row r="368" spans="1:29">
      <c r="A368" s="458" t="s">
        <v>351</v>
      </c>
      <c r="B368" s="458" t="s">
        <v>611</v>
      </c>
      <c r="C368" s="514">
        <v>1.4313823860112316</v>
      </c>
      <c r="D368" s="514">
        <v>1.4313823860112316</v>
      </c>
      <c r="E368" s="514">
        <v>1.4313823860112316</v>
      </c>
      <c r="F368" s="514">
        <v>1.4313823860112316</v>
      </c>
      <c r="G368" s="514">
        <v>1.4313823860112316</v>
      </c>
      <c r="H368" s="514">
        <v>1.4313823860112316</v>
      </c>
      <c r="I368" s="514">
        <v>1.4313823860112316</v>
      </c>
      <c r="J368" s="514">
        <v>1.4313823860112316</v>
      </c>
      <c r="K368" s="514">
        <v>1.4313823860112316</v>
      </c>
      <c r="L368" s="514">
        <v>1.4313823860112316</v>
      </c>
      <c r="M368" s="514">
        <v>1.4313823860112316</v>
      </c>
      <c r="N368" s="514">
        <v>1.4313823860112316</v>
      </c>
      <c r="O368" s="514">
        <v>1.4313823860112316</v>
      </c>
      <c r="P368" s="514">
        <v>1.4313823860112316</v>
      </c>
      <c r="Q368" s="514">
        <v>1.4313823860112316</v>
      </c>
      <c r="R368" s="514">
        <v>1.4313823860112316</v>
      </c>
      <c r="S368" s="514">
        <v>1.4313823860112316</v>
      </c>
      <c r="T368" s="514">
        <v>1.4313823860112316</v>
      </c>
      <c r="U368" s="514">
        <v>1.4313823860112316</v>
      </c>
      <c r="V368" s="514">
        <v>1.4313823860112316</v>
      </c>
      <c r="W368" s="514">
        <v>1.4313823860112316</v>
      </c>
      <c r="X368" s="514">
        <v>1.4313823860112316</v>
      </c>
      <c r="Y368" s="514">
        <v>1.4313823860112316</v>
      </c>
      <c r="Z368" s="514">
        <v>1.4313823860112316</v>
      </c>
      <c r="AA368" s="514">
        <v>1.4313823860112316</v>
      </c>
      <c r="AB368" s="514">
        <v>1.4313823860112316</v>
      </c>
      <c r="AC368" s="514">
        <v>1.4313823860112316</v>
      </c>
    </row>
    <row r="369" spans="1:29">
      <c r="A369" s="510" t="s">
        <v>615</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c r="AC370" s="459"/>
    </row>
    <row r="371" spans="1:29">
      <c r="A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c r="AC371" s="459"/>
    </row>
    <row r="372" spans="1:29">
      <c r="A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c r="AC372" s="459"/>
    </row>
    <row r="373" spans="1:29" ht="15.6">
      <c r="A373" s="425" t="s">
        <v>630</v>
      </c>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c r="AC373" s="459"/>
    </row>
    <row r="374" spans="1:29">
      <c r="A374" s="131" t="s">
        <v>606</v>
      </c>
      <c r="B374" s="131" t="s">
        <v>64</v>
      </c>
      <c r="C374" s="131" t="str">
        <f>C361</f>
        <v>IE</v>
      </c>
      <c r="D374" s="131" t="str">
        <f t="shared" ref="D374:AC374" si="230">D361</f>
        <v>IE-CW</v>
      </c>
      <c r="E374" s="131" t="str">
        <f t="shared" si="230"/>
        <v>IE-D</v>
      </c>
      <c r="F374" s="131" t="str">
        <f t="shared" si="230"/>
        <v>IE-KE</v>
      </c>
      <c r="G374" s="131" t="str">
        <f t="shared" si="230"/>
        <v>IE-KK</v>
      </c>
      <c r="H374" s="131" t="str">
        <f t="shared" si="230"/>
        <v>IE-LS</v>
      </c>
      <c r="I374" s="131" t="str">
        <f t="shared" si="230"/>
        <v>IE-LD</v>
      </c>
      <c r="J374" s="131" t="str">
        <f t="shared" si="230"/>
        <v>IE-LH</v>
      </c>
      <c r="K374" s="131" t="str">
        <f t="shared" si="230"/>
        <v>IE-MH</v>
      </c>
      <c r="L374" s="131" t="str">
        <f t="shared" si="230"/>
        <v>IE-OY</v>
      </c>
      <c r="M374" s="131" t="str">
        <f t="shared" si="230"/>
        <v>IE-WH</v>
      </c>
      <c r="N374" s="131" t="str">
        <f t="shared" si="230"/>
        <v>IE-WX</v>
      </c>
      <c r="O374" s="131" t="str">
        <f t="shared" si="230"/>
        <v>IE-WW</v>
      </c>
      <c r="P374" s="131" t="str">
        <f t="shared" si="230"/>
        <v>IE-CE</v>
      </c>
      <c r="Q374" s="131" t="str">
        <f t="shared" si="230"/>
        <v>IE-CO</v>
      </c>
      <c r="R374" s="131" t="str">
        <f t="shared" si="230"/>
        <v>IE-KY</v>
      </c>
      <c r="S374" s="131" t="str">
        <f t="shared" si="230"/>
        <v>IE-LK</v>
      </c>
      <c r="T374" s="131" t="str">
        <f t="shared" si="230"/>
        <v>IE-TA</v>
      </c>
      <c r="U374" s="131" t="str">
        <f t="shared" si="230"/>
        <v>IE-WD</v>
      </c>
      <c r="V374" s="131" t="str">
        <f t="shared" si="230"/>
        <v>IE-G</v>
      </c>
      <c r="W374" s="131" t="str">
        <f t="shared" si="230"/>
        <v>IE-LM</v>
      </c>
      <c r="X374" s="131" t="str">
        <f t="shared" si="230"/>
        <v>IE-MO</v>
      </c>
      <c r="Y374" s="131" t="str">
        <f t="shared" si="230"/>
        <v>IE-RN</v>
      </c>
      <c r="Z374" s="131" t="str">
        <f t="shared" si="230"/>
        <v>IE-SO</v>
      </c>
      <c r="AA374" s="131" t="str">
        <f t="shared" si="230"/>
        <v>IE-CN</v>
      </c>
      <c r="AB374" s="131" t="str">
        <f t="shared" si="230"/>
        <v>IE-DL</v>
      </c>
      <c r="AC374" s="131" t="str">
        <f t="shared" si="230"/>
        <v>IE-MN</v>
      </c>
    </row>
    <row r="375" spans="1:29">
      <c r="A375" s="459" t="s">
        <v>627</v>
      </c>
      <c r="B375" s="459" t="s">
        <v>611</v>
      </c>
      <c r="C375" s="505">
        <f>SUMPRODUCT(C349:C355,C362:C368)</f>
        <v>1.4001588450512759</v>
      </c>
      <c r="D375" s="505">
        <f>IF(D342&gt;1,SUMPRODUCT(D349:D355,D362:D368),$C$230)</f>
        <v>1.4022879482137258</v>
      </c>
      <c r="E375" s="505">
        <f t="shared" ref="E375:AC375" si="231">IF(E342&gt;1,SUMPRODUCT(E349:E355,E362:E368),$C$230)</f>
        <v>1.4005246489532712</v>
      </c>
      <c r="F375" s="505">
        <f t="shared" si="231"/>
        <v>1.3810496796689202</v>
      </c>
      <c r="G375" s="505">
        <f t="shared" si="231"/>
        <v>1.3934919553912242</v>
      </c>
      <c r="H375" s="505">
        <f t="shared" si="231"/>
        <v>1.4059247529384142</v>
      </c>
      <c r="I375" s="505">
        <f t="shared" si="231"/>
        <v>1.4228965083202925</v>
      </c>
      <c r="J375" s="505">
        <f t="shared" si="231"/>
        <v>1.4059247529384142</v>
      </c>
      <c r="K375" s="505">
        <f t="shared" si="231"/>
        <v>1.4157161502741131</v>
      </c>
      <c r="L375" s="505">
        <f t="shared" si="231"/>
        <v>1.4313823860112316</v>
      </c>
      <c r="M375" s="505">
        <f t="shared" si="231"/>
        <v>1.3718157567132359</v>
      </c>
      <c r="N375" s="505">
        <f t="shared" si="231"/>
        <v>1.3931959364020055</v>
      </c>
      <c r="O375" s="505">
        <f t="shared" si="231"/>
        <v>1.4194023233887292</v>
      </c>
      <c r="P375" s="505">
        <f t="shared" si="231"/>
        <v>1.3843836787998764</v>
      </c>
      <c r="Q375" s="505">
        <f t="shared" si="231"/>
        <v>1.388355400536047</v>
      </c>
      <c r="R375" s="505">
        <f t="shared" si="231"/>
        <v>1.4186535694748228</v>
      </c>
      <c r="S375" s="505">
        <f t="shared" si="231"/>
        <v>1.4313823860112316</v>
      </c>
      <c r="T375" s="505">
        <f t="shared" si="231"/>
        <v>1.3804671198655969</v>
      </c>
      <c r="U375" s="505">
        <f t="shared" si="231"/>
        <v>1.3843836787998764</v>
      </c>
      <c r="V375" s="505">
        <f t="shared" si="231"/>
        <v>1.4065456708182389</v>
      </c>
      <c r="W375" s="505">
        <f t="shared" si="231"/>
        <v>1.4186535694748228</v>
      </c>
      <c r="X375" s="505">
        <f t="shared" si="231"/>
        <v>1.4313823860112316</v>
      </c>
      <c r="Y375" s="505">
        <f t="shared" si="231"/>
        <v>1.3758384593069026</v>
      </c>
      <c r="Z375" s="505">
        <f t="shared" si="231"/>
        <v>1.3623147406599727</v>
      </c>
      <c r="AA375" s="505">
        <f t="shared" si="231"/>
        <v>1.3716122972297371</v>
      </c>
      <c r="AB375" s="505">
        <f t="shared" si="231"/>
        <v>1.3007736681569373</v>
      </c>
      <c r="AC375" s="505">
        <f t="shared" si="231"/>
        <v>1.3992253758139883</v>
      </c>
    </row>
    <row r="376" spans="1:29">
      <c r="A376" s="458"/>
      <c r="B376" s="458" t="s">
        <v>599</v>
      </c>
      <c r="C376" s="508">
        <f>1000/C375</f>
        <v>714.20468008640728</v>
      </c>
      <c r="D376" s="508">
        <f>1000/D375</f>
        <v>713.12029834801649</v>
      </c>
      <c r="E376" s="508">
        <f>1000/E375</f>
        <v>714.01813652289752</v>
      </c>
      <c r="F376" s="508">
        <f>1000/F375</f>
        <v>724.08691354226335</v>
      </c>
      <c r="G376" s="508">
        <f t="shared" ref="G376" si="232">1000/G375</f>
        <v>717.62165266268016</v>
      </c>
      <c r="H376" s="508">
        <f t="shared" ref="H376" si="233">1000/H375</f>
        <v>711.27561977266396</v>
      </c>
      <c r="I376" s="508">
        <f t="shared" ref="I376" si="234">1000/I375</f>
        <v>702.79180119746354</v>
      </c>
      <c r="J376" s="508">
        <f t="shared" ref="J376" si="235">1000/J375</f>
        <v>711.27561977266396</v>
      </c>
      <c r="K376" s="508">
        <f t="shared" ref="K376" si="236">1000/K375</f>
        <v>706.35628463119428</v>
      </c>
      <c r="L376" s="508">
        <f t="shared" ref="L376" si="237">1000/L375</f>
        <v>698.62533574040594</v>
      </c>
      <c r="M376" s="508">
        <f t="shared" ref="M376" si="238">1000/M375</f>
        <v>728.96086453761291</v>
      </c>
      <c r="N376" s="508">
        <f t="shared" ref="N376" si="239">1000/N375</f>
        <v>717.77412915985633</v>
      </c>
      <c r="O376" s="508">
        <f t="shared" ref="O376" si="240">1000/O375</f>
        <v>704.52188468493284</v>
      </c>
      <c r="P376" s="508">
        <f t="shared" ref="P376" si="241">1000/P375</f>
        <v>722.3431013481038</v>
      </c>
      <c r="Q376" s="508">
        <f t="shared" ref="Q376" si="242">1000/Q375</f>
        <v>720.27666663298021</v>
      </c>
      <c r="R376" s="508">
        <f t="shared" ref="R376" si="243">1000/R375</f>
        <v>704.89372565438521</v>
      </c>
      <c r="S376" s="508">
        <f t="shared" ref="S376" si="244">1000/S375</f>
        <v>698.62533574040594</v>
      </c>
      <c r="T376" s="508">
        <f t="shared" ref="T376" si="245">1000/T375</f>
        <v>724.39247962483932</v>
      </c>
      <c r="U376" s="508">
        <f t="shared" ref="U376" si="246">1000/U375</f>
        <v>722.3431013481038</v>
      </c>
      <c r="V376" s="508">
        <f t="shared" ref="V376" si="247">1000/V375</f>
        <v>710.96162801330411</v>
      </c>
      <c r="W376" s="508">
        <f t="shared" ref="W376" si="248">1000/W375</f>
        <v>704.89372565438521</v>
      </c>
      <c r="X376" s="508">
        <f t="shared" ref="X376" si="249">1000/X375</f>
        <v>698.62533574040594</v>
      </c>
      <c r="Y376" s="508">
        <f t="shared" ref="Y376" si="250">1000/Y375</f>
        <v>726.82951492994584</v>
      </c>
      <c r="Z376" s="508">
        <f t="shared" ref="Z376" si="251">1000/Z375</f>
        <v>734.04476231061733</v>
      </c>
      <c r="AA376" s="508">
        <f t="shared" ref="AA376" si="252">1000/AA375</f>
        <v>729.06899567735923</v>
      </c>
      <c r="AB376" s="508">
        <f t="shared" ref="AB376" si="253">1000/AB375</f>
        <v>768.77324970522909</v>
      </c>
      <c r="AC376" s="508">
        <f t="shared" ref="AC376" si="254">1000/AC375</f>
        <v>714.68114950263669</v>
      </c>
    </row>
    <row r="380" spans="1:29">
      <c r="A380" s="511"/>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row>
    <row r="381" spans="1:29" ht="15.6">
      <c r="A381" s="401" t="s">
        <v>632</v>
      </c>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c r="AC381" s="459"/>
    </row>
    <row r="382" spans="1:29">
      <c r="A382" s="131" t="s">
        <v>606</v>
      </c>
      <c r="B382" s="131" t="s">
        <v>64</v>
      </c>
      <c r="C382" s="131" t="str">
        <f t="shared" ref="C382:AC382" si="255">C374</f>
        <v>IE</v>
      </c>
      <c r="D382" s="131" t="str">
        <f t="shared" si="255"/>
        <v>IE-CW</v>
      </c>
      <c r="E382" s="131" t="str">
        <f t="shared" si="255"/>
        <v>IE-D</v>
      </c>
      <c r="F382" s="131" t="str">
        <f t="shared" si="255"/>
        <v>IE-KE</v>
      </c>
      <c r="G382" s="131" t="str">
        <f t="shared" si="255"/>
        <v>IE-KK</v>
      </c>
      <c r="H382" s="131" t="str">
        <f t="shared" si="255"/>
        <v>IE-LS</v>
      </c>
      <c r="I382" s="131" t="str">
        <f t="shared" si="255"/>
        <v>IE-LD</v>
      </c>
      <c r="J382" s="131" t="str">
        <f t="shared" si="255"/>
        <v>IE-LH</v>
      </c>
      <c r="K382" s="131" t="str">
        <f t="shared" si="255"/>
        <v>IE-MH</v>
      </c>
      <c r="L382" s="131" t="str">
        <f t="shared" si="255"/>
        <v>IE-OY</v>
      </c>
      <c r="M382" s="131" t="str">
        <f t="shared" si="255"/>
        <v>IE-WH</v>
      </c>
      <c r="N382" s="131" t="str">
        <f t="shared" si="255"/>
        <v>IE-WX</v>
      </c>
      <c r="O382" s="131" t="str">
        <f t="shared" si="255"/>
        <v>IE-WW</v>
      </c>
      <c r="P382" s="131" t="str">
        <f t="shared" si="255"/>
        <v>IE-CE</v>
      </c>
      <c r="Q382" s="131" t="str">
        <f t="shared" si="255"/>
        <v>IE-CO</v>
      </c>
      <c r="R382" s="131" t="str">
        <f t="shared" si="255"/>
        <v>IE-KY</v>
      </c>
      <c r="S382" s="131" t="str">
        <f t="shared" si="255"/>
        <v>IE-LK</v>
      </c>
      <c r="T382" s="131" t="str">
        <f t="shared" si="255"/>
        <v>IE-TA</v>
      </c>
      <c r="U382" s="131" t="str">
        <f t="shared" si="255"/>
        <v>IE-WD</v>
      </c>
      <c r="V382" s="131" t="str">
        <f t="shared" si="255"/>
        <v>IE-G</v>
      </c>
      <c r="W382" s="131" t="str">
        <f t="shared" si="255"/>
        <v>IE-LM</v>
      </c>
      <c r="X382" s="131" t="str">
        <f t="shared" si="255"/>
        <v>IE-MO</v>
      </c>
      <c r="Y382" s="131" t="str">
        <f t="shared" si="255"/>
        <v>IE-RN</v>
      </c>
      <c r="Z382" s="131" t="str">
        <f t="shared" si="255"/>
        <v>IE-SO</v>
      </c>
      <c r="AA382" s="131" t="str">
        <f t="shared" si="255"/>
        <v>IE-CN</v>
      </c>
      <c r="AB382" s="131" t="str">
        <f t="shared" si="255"/>
        <v>IE-DL</v>
      </c>
      <c r="AC382" s="131" t="str">
        <f t="shared" si="255"/>
        <v>IE-MN</v>
      </c>
    </row>
    <row r="383" spans="1:29">
      <c r="A383" s="459" t="s">
        <v>345</v>
      </c>
      <c r="B383" s="459" t="s">
        <v>531</v>
      </c>
      <c r="C383" s="9">
        <f>SUM(D383:AC383)</f>
        <v>141</v>
      </c>
      <c r="D383" s="512">
        <v>2</v>
      </c>
      <c r="E383" s="512">
        <v>4</v>
      </c>
      <c r="F383" s="512">
        <v>3</v>
      </c>
      <c r="G383" s="512">
        <v>3</v>
      </c>
      <c r="H383" s="512">
        <v>1</v>
      </c>
      <c r="I383" s="512">
        <v>5</v>
      </c>
      <c r="J383" s="512">
        <v>1</v>
      </c>
      <c r="K383" s="512">
        <v>4</v>
      </c>
      <c r="L383" s="512">
        <v>1</v>
      </c>
      <c r="M383" s="512">
        <v>3</v>
      </c>
      <c r="N383" s="512">
        <v>0</v>
      </c>
      <c r="O383" s="512">
        <v>2</v>
      </c>
      <c r="P383" s="512">
        <v>2</v>
      </c>
      <c r="Q383" s="512">
        <v>18</v>
      </c>
      <c r="R383" s="512">
        <v>5</v>
      </c>
      <c r="S383" s="512">
        <v>0</v>
      </c>
      <c r="T383" s="512">
        <v>1</v>
      </c>
      <c r="U383" s="512">
        <v>1</v>
      </c>
      <c r="V383" s="512">
        <v>71</v>
      </c>
      <c r="W383" s="512">
        <v>2</v>
      </c>
      <c r="X383" s="512">
        <v>2</v>
      </c>
      <c r="Y383" s="512">
        <v>1</v>
      </c>
      <c r="Z383" s="512">
        <v>0</v>
      </c>
      <c r="AA383" s="512">
        <v>1</v>
      </c>
      <c r="AB383" s="512">
        <v>2</v>
      </c>
      <c r="AC383" s="512">
        <v>6</v>
      </c>
    </row>
    <row r="384" spans="1:29">
      <c r="A384" s="459" t="s">
        <v>346</v>
      </c>
      <c r="B384" s="459" t="s">
        <v>531</v>
      </c>
      <c r="C384" s="9">
        <f t="shared" ref="C384:C389" si="256">SUM(D384:AC384)</f>
        <v>1</v>
      </c>
      <c r="D384" s="512">
        <v>0</v>
      </c>
      <c r="E384" s="512">
        <v>0</v>
      </c>
      <c r="F384" s="512">
        <v>0</v>
      </c>
      <c r="G384" s="512">
        <v>0</v>
      </c>
      <c r="H384" s="512">
        <v>0</v>
      </c>
      <c r="I384" s="512">
        <v>0</v>
      </c>
      <c r="J384" s="512">
        <v>0</v>
      </c>
      <c r="K384" s="512">
        <v>0</v>
      </c>
      <c r="L384" s="512">
        <v>0</v>
      </c>
      <c r="M384" s="512">
        <v>0</v>
      </c>
      <c r="N384" s="512">
        <v>0</v>
      </c>
      <c r="O384" s="512">
        <v>0</v>
      </c>
      <c r="P384" s="512">
        <v>0</v>
      </c>
      <c r="Q384" s="512">
        <v>0</v>
      </c>
      <c r="R384" s="512">
        <v>0</v>
      </c>
      <c r="S384" s="512">
        <v>0</v>
      </c>
      <c r="T384" s="512">
        <v>0</v>
      </c>
      <c r="U384" s="512">
        <v>0</v>
      </c>
      <c r="V384" s="512">
        <v>1</v>
      </c>
      <c r="W384" s="512">
        <v>0</v>
      </c>
      <c r="X384" s="512">
        <v>0</v>
      </c>
      <c r="Y384" s="512">
        <v>0</v>
      </c>
      <c r="Z384" s="512">
        <v>0</v>
      </c>
      <c r="AA384" s="512">
        <v>0</v>
      </c>
      <c r="AB384" s="512">
        <v>0</v>
      </c>
      <c r="AC384" s="512">
        <v>0</v>
      </c>
    </row>
    <row r="385" spans="1:29">
      <c r="A385" s="459" t="s">
        <v>347</v>
      </c>
      <c r="B385" s="459" t="s">
        <v>531</v>
      </c>
      <c r="C385" s="9">
        <f t="shared" si="256"/>
        <v>168</v>
      </c>
      <c r="D385" s="512">
        <v>2</v>
      </c>
      <c r="E385" s="512">
        <v>6</v>
      </c>
      <c r="F385" s="512">
        <v>0</v>
      </c>
      <c r="G385" s="512">
        <v>15</v>
      </c>
      <c r="H385" s="512">
        <v>2</v>
      </c>
      <c r="I385" s="512">
        <v>6</v>
      </c>
      <c r="J385" s="512">
        <v>4</v>
      </c>
      <c r="K385" s="512">
        <v>3</v>
      </c>
      <c r="L385" s="512">
        <v>1</v>
      </c>
      <c r="M385" s="512">
        <v>3</v>
      </c>
      <c r="N385" s="512">
        <v>1</v>
      </c>
      <c r="O385" s="512">
        <v>6</v>
      </c>
      <c r="P385" s="512">
        <v>1</v>
      </c>
      <c r="Q385" s="512">
        <v>20</v>
      </c>
      <c r="R385" s="512">
        <v>4</v>
      </c>
      <c r="S385" s="512">
        <v>0</v>
      </c>
      <c r="T385" s="512">
        <v>3</v>
      </c>
      <c r="U385" s="512">
        <v>2</v>
      </c>
      <c r="V385" s="512">
        <v>69</v>
      </c>
      <c r="W385" s="512">
        <v>1</v>
      </c>
      <c r="X385" s="512">
        <v>6</v>
      </c>
      <c r="Y385" s="512">
        <v>0</v>
      </c>
      <c r="Z385" s="512">
        <v>1</v>
      </c>
      <c r="AA385" s="512">
        <v>1</v>
      </c>
      <c r="AB385" s="512">
        <v>3</v>
      </c>
      <c r="AC385" s="512">
        <v>8</v>
      </c>
    </row>
    <row r="386" spans="1:29">
      <c r="A386" s="459" t="s">
        <v>348</v>
      </c>
      <c r="B386" s="459" t="s">
        <v>531</v>
      </c>
      <c r="C386" s="9">
        <f t="shared" si="256"/>
        <v>302</v>
      </c>
      <c r="D386" s="512">
        <v>3</v>
      </c>
      <c r="E386" s="512">
        <v>16</v>
      </c>
      <c r="F386" s="512">
        <v>9</v>
      </c>
      <c r="G386" s="512">
        <v>15</v>
      </c>
      <c r="H386" s="512">
        <v>1</v>
      </c>
      <c r="I386" s="512">
        <v>4</v>
      </c>
      <c r="J386" s="512">
        <v>0</v>
      </c>
      <c r="K386" s="512">
        <v>1</v>
      </c>
      <c r="L386" s="512">
        <v>0</v>
      </c>
      <c r="M386" s="512">
        <v>3</v>
      </c>
      <c r="N386" s="512">
        <v>6</v>
      </c>
      <c r="O386" s="512">
        <v>4</v>
      </c>
      <c r="P386" s="512">
        <v>7</v>
      </c>
      <c r="Q386" s="512">
        <v>19</v>
      </c>
      <c r="R386" s="512">
        <v>10</v>
      </c>
      <c r="S386" s="512">
        <v>0</v>
      </c>
      <c r="T386" s="512">
        <v>5</v>
      </c>
      <c r="U386" s="512">
        <v>5</v>
      </c>
      <c r="V386" s="512">
        <v>153</v>
      </c>
      <c r="W386" s="512">
        <v>7</v>
      </c>
      <c r="X386" s="512">
        <v>3</v>
      </c>
      <c r="Y386" s="512">
        <v>4</v>
      </c>
      <c r="Z386" s="512">
        <v>2</v>
      </c>
      <c r="AA386" s="512">
        <v>4</v>
      </c>
      <c r="AB386" s="512">
        <v>10</v>
      </c>
      <c r="AC386" s="512">
        <v>11</v>
      </c>
    </row>
    <row r="387" spans="1:29">
      <c r="A387" s="459" t="s">
        <v>349</v>
      </c>
      <c r="B387" s="459" t="s">
        <v>531</v>
      </c>
      <c r="C387" s="9">
        <f t="shared" si="256"/>
        <v>62</v>
      </c>
      <c r="D387" s="512">
        <v>1</v>
      </c>
      <c r="E387" s="512">
        <v>2</v>
      </c>
      <c r="F387" s="512">
        <v>0</v>
      </c>
      <c r="G387" s="512">
        <v>1</v>
      </c>
      <c r="H387" s="512">
        <v>1</v>
      </c>
      <c r="I387" s="512">
        <v>2</v>
      </c>
      <c r="J387" s="512">
        <v>1</v>
      </c>
      <c r="K387" s="512">
        <v>1</v>
      </c>
      <c r="L387" s="512">
        <v>0</v>
      </c>
      <c r="M387" s="512">
        <v>2</v>
      </c>
      <c r="N387" s="512">
        <v>0</v>
      </c>
      <c r="O387" s="512">
        <v>0</v>
      </c>
      <c r="P387" s="512">
        <v>1</v>
      </c>
      <c r="Q387" s="512">
        <v>11</v>
      </c>
      <c r="R387" s="512">
        <v>4</v>
      </c>
      <c r="S387" s="512">
        <v>0</v>
      </c>
      <c r="T387" s="512">
        <v>1</v>
      </c>
      <c r="U387" s="512">
        <v>1</v>
      </c>
      <c r="V387" s="512">
        <v>20</v>
      </c>
      <c r="W387" s="512">
        <v>0</v>
      </c>
      <c r="X387" s="512">
        <v>4</v>
      </c>
      <c r="Y387" s="512">
        <v>2</v>
      </c>
      <c r="Z387" s="512">
        <v>1</v>
      </c>
      <c r="AA387" s="512">
        <v>1</v>
      </c>
      <c r="AB387" s="512">
        <v>2</v>
      </c>
      <c r="AC387" s="512">
        <v>3</v>
      </c>
    </row>
    <row r="388" spans="1:29">
      <c r="A388" s="459" t="s">
        <v>350</v>
      </c>
      <c r="B388" s="459" t="s">
        <v>531</v>
      </c>
      <c r="C388" s="9">
        <f t="shared" si="256"/>
        <v>1926</v>
      </c>
      <c r="D388" s="512">
        <v>7</v>
      </c>
      <c r="E388" s="512">
        <v>75</v>
      </c>
      <c r="F388" s="512">
        <v>21</v>
      </c>
      <c r="G388" s="512">
        <v>110</v>
      </c>
      <c r="H388" s="512">
        <v>17</v>
      </c>
      <c r="I388" s="512">
        <v>36</v>
      </c>
      <c r="J388" s="512">
        <v>10</v>
      </c>
      <c r="K388" s="512">
        <v>13</v>
      </c>
      <c r="L388" s="512">
        <v>7</v>
      </c>
      <c r="M388" s="512">
        <v>19</v>
      </c>
      <c r="N388" s="512">
        <v>28</v>
      </c>
      <c r="O388" s="512">
        <v>29</v>
      </c>
      <c r="P388" s="512">
        <v>24</v>
      </c>
      <c r="Q388" s="512">
        <v>188</v>
      </c>
      <c r="R388" s="512">
        <v>129</v>
      </c>
      <c r="S388" s="512">
        <v>2</v>
      </c>
      <c r="T388" s="512">
        <v>13</v>
      </c>
      <c r="U388" s="512">
        <v>28</v>
      </c>
      <c r="V388" s="512">
        <v>1001</v>
      </c>
      <c r="W388" s="512">
        <v>7</v>
      </c>
      <c r="X388" s="512">
        <v>31</v>
      </c>
      <c r="Y388" s="512">
        <v>10</v>
      </c>
      <c r="Z388" s="512">
        <v>11</v>
      </c>
      <c r="AA388" s="512">
        <v>17</v>
      </c>
      <c r="AB388" s="512">
        <v>19</v>
      </c>
      <c r="AC388" s="512">
        <v>74</v>
      </c>
    </row>
    <row r="389" spans="1:29">
      <c r="A389" s="459" t="s">
        <v>351</v>
      </c>
      <c r="B389" s="459" t="s">
        <v>531</v>
      </c>
      <c r="C389" s="9">
        <f t="shared" si="256"/>
        <v>159</v>
      </c>
      <c r="D389" s="512">
        <v>0</v>
      </c>
      <c r="E389" s="512">
        <v>6</v>
      </c>
      <c r="F389" s="512">
        <v>0</v>
      </c>
      <c r="G389" s="512">
        <v>6</v>
      </c>
      <c r="H389" s="512">
        <v>2</v>
      </c>
      <c r="I389" s="512">
        <v>1</v>
      </c>
      <c r="J389" s="512">
        <v>2</v>
      </c>
      <c r="K389" s="512">
        <v>1</v>
      </c>
      <c r="L389" s="512">
        <v>1</v>
      </c>
      <c r="M389" s="512">
        <v>2</v>
      </c>
      <c r="N389" s="512">
        <v>0</v>
      </c>
      <c r="O389" s="512">
        <v>1</v>
      </c>
      <c r="P389" s="512">
        <v>2</v>
      </c>
      <c r="Q389" s="512">
        <v>6</v>
      </c>
      <c r="R389" s="512">
        <v>0</v>
      </c>
      <c r="S389" s="512">
        <v>1</v>
      </c>
      <c r="T389" s="512">
        <v>0</v>
      </c>
      <c r="U389" s="512">
        <v>3</v>
      </c>
      <c r="V389" s="512">
        <v>115</v>
      </c>
      <c r="W389" s="512">
        <v>0</v>
      </c>
      <c r="X389" s="512">
        <v>1</v>
      </c>
      <c r="Y389" s="512">
        <v>1</v>
      </c>
      <c r="Z389" s="512">
        <v>1</v>
      </c>
      <c r="AA389" s="512">
        <v>0</v>
      </c>
      <c r="AB389" s="512">
        <v>1</v>
      </c>
      <c r="AC389" s="512">
        <v>6</v>
      </c>
    </row>
    <row r="390" spans="1:29">
      <c r="A390" s="458" t="s">
        <v>16</v>
      </c>
      <c r="B390" s="458" t="s">
        <v>531</v>
      </c>
      <c r="C390" s="504">
        <f>SUM(C383:C389)</f>
        <v>2759</v>
      </c>
      <c r="D390" s="504">
        <f>SUM(D383:D389)</f>
        <v>15</v>
      </c>
      <c r="E390" s="504">
        <f t="shared" ref="E390" si="257">SUM(E383:E389)</f>
        <v>109</v>
      </c>
      <c r="F390" s="504">
        <f t="shared" ref="F390" si="258">SUM(F383:F389)</f>
        <v>33</v>
      </c>
      <c r="G390" s="504">
        <f t="shared" ref="G390" si="259">SUM(G383:G389)</f>
        <v>150</v>
      </c>
      <c r="H390" s="504">
        <f t="shared" ref="H390" si="260">SUM(H383:H389)</f>
        <v>24</v>
      </c>
      <c r="I390" s="504">
        <f t="shared" ref="I390" si="261">SUM(I383:I389)</f>
        <v>54</v>
      </c>
      <c r="J390" s="504">
        <f t="shared" ref="J390" si="262">SUM(J383:J389)</f>
        <v>18</v>
      </c>
      <c r="K390" s="504">
        <f t="shared" ref="K390" si="263">SUM(K383:K389)</f>
        <v>23</v>
      </c>
      <c r="L390" s="504">
        <f t="shared" ref="L390" si="264">SUM(L383:L389)</f>
        <v>10</v>
      </c>
      <c r="M390" s="504">
        <f t="shared" ref="M390" si="265">SUM(M383:M389)</f>
        <v>32</v>
      </c>
      <c r="N390" s="504">
        <f t="shared" ref="N390" si="266">SUM(N383:N389)</f>
        <v>35</v>
      </c>
      <c r="O390" s="504">
        <f t="shared" ref="O390" si="267">SUM(O383:O389)</f>
        <v>42</v>
      </c>
      <c r="P390" s="504">
        <f t="shared" ref="P390" si="268">SUM(P383:P389)</f>
        <v>37</v>
      </c>
      <c r="Q390" s="504">
        <f t="shared" ref="Q390" si="269">SUM(Q383:Q389)</f>
        <v>262</v>
      </c>
      <c r="R390" s="504">
        <f t="shared" ref="R390" si="270">SUM(R383:R389)</f>
        <v>152</v>
      </c>
      <c r="S390" s="504">
        <f t="shared" ref="S390" si="271">SUM(S383:S389)</f>
        <v>3</v>
      </c>
      <c r="T390" s="504">
        <f t="shared" ref="T390" si="272">SUM(T383:T389)</f>
        <v>23</v>
      </c>
      <c r="U390" s="504">
        <f t="shared" ref="U390" si="273">SUM(U383:U389)</f>
        <v>40</v>
      </c>
      <c r="V390" s="504">
        <f t="shared" ref="V390" si="274">SUM(V383:V389)</f>
        <v>1430</v>
      </c>
      <c r="W390" s="504">
        <f t="shared" ref="W390" si="275">SUM(W383:W389)</f>
        <v>17</v>
      </c>
      <c r="X390" s="504">
        <f t="shared" ref="X390" si="276">SUM(X383:X389)</f>
        <v>47</v>
      </c>
      <c r="Y390" s="504">
        <f t="shared" ref="Y390" si="277">SUM(Y383:Y389)</f>
        <v>18</v>
      </c>
      <c r="Z390" s="504">
        <f t="shared" ref="Z390" si="278">SUM(Z383:Z389)</f>
        <v>16</v>
      </c>
      <c r="AA390" s="504">
        <f t="shared" ref="AA390" si="279">SUM(AA383:AA389)</f>
        <v>24</v>
      </c>
      <c r="AB390" s="504">
        <f t="shared" ref="AB390" si="280">SUM(AB383:AB389)</f>
        <v>37</v>
      </c>
      <c r="AC390" s="504">
        <f t="shared" ref="AC390" si="281">SUM(AC383:AC389)</f>
        <v>108</v>
      </c>
    </row>
    <row r="391" spans="1:29">
      <c r="A391" s="459" t="s">
        <v>617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c r="AC392" s="459"/>
    </row>
    <row r="393" spans="1:29">
      <c r="A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c r="AC393" s="459"/>
    </row>
    <row r="394" spans="1:29">
      <c r="A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c r="AC394" s="459"/>
    </row>
    <row r="395" spans="1:29" ht="15.6">
      <c r="A395" s="401" t="s">
        <v>633</v>
      </c>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c r="AC395" s="459"/>
    </row>
    <row r="396" spans="1:29">
      <c r="A396" s="131" t="s">
        <v>606</v>
      </c>
      <c r="B396" s="131" t="s">
        <v>64</v>
      </c>
      <c r="C396" s="131" t="str">
        <f>C382</f>
        <v>IE</v>
      </c>
      <c r="D396" s="131" t="str">
        <f t="shared" ref="D396:AC396" si="282">D382</f>
        <v>IE-CW</v>
      </c>
      <c r="E396" s="131" t="str">
        <f t="shared" si="282"/>
        <v>IE-D</v>
      </c>
      <c r="F396" s="131" t="str">
        <f t="shared" si="282"/>
        <v>IE-KE</v>
      </c>
      <c r="G396" s="131" t="str">
        <f t="shared" si="282"/>
        <v>IE-KK</v>
      </c>
      <c r="H396" s="131" t="str">
        <f t="shared" si="282"/>
        <v>IE-LS</v>
      </c>
      <c r="I396" s="131" t="str">
        <f t="shared" si="282"/>
        <v>IE-LD</v>
      </c>
      <c r="J396" s="131" t="str">
        <f t="shared" si="282"/>
        <v>IE-LH</v>
      </c>
      <c r="K396" s="131" t="str">
        <f t="shared" si="282"/>
        <v>IE-MH</v>
      </c>
      <c r="L396" s="131" t="str">
        <f t="shared" si="282"/>
        <v>IE-OY</v>
      </c>
      <c r="M396" s="131" t="str">
        <f t="shared" si="282"/>
        <v>IE-WH</v>
      </c>
      <c r="N396" s="131" t="str">
        <f t="shared" si="282"/>
        <v>IE-WX</v>
      </c>
      <c r="O396" s="131" t="str">
        <f t="shared" si="282"/>
        <v>IE-WW</v>
      </c>
      <c r="P396" s="131" t="str">
        <f t="shared" si="282"/>
        <v>IE-CE</v>
      </c>
      <c r="Q396" s="131" t="str">
        <f t="shared" si="282"/>
        <v>IE-CO</v>
      </c>
      <c r="R396" s="131" t="str">
        <f t="shared" si="282"/>
        <v>IE-KY</v>
      </c>
      <c r="S396" s="131" t="str">
        <f t="shared" si="282"/>
        <v>IE-LK</v>
      </c>
      <c r="T396" s="131" t="str">
        <f t="shared" si="282"/>
        <v>IE-TA</v>
      </c>
      <c r="U396" s="131" t="str">
        <f t="shared" si="282"/>
        <v>IE-WD</v>
      </c>
      <c r="V396" s="131" t="str">
        <f t="shared" si="282"/>
        <v>IE-G</v>
      </c>
      <c r="W396" s="131" t="str">
        <f t="shared" si="282"/>
        <v>IE-LM</v>
      </c>
      <c r="X396" s="131" t="str">
        <f t="shared" si="282"/>
        <v>IE-MO</v>
      </c>
      <c r="Y396" s="131" t="str">
        <f t="shared" si="282"/>
        <v>IE-RN</v>
      </c>
      <c r="Z396" s="131" t="str">
        <f t="shared" si="282"/>
        <v>IE-SO</v>
      </c>
      <c r="AA396" s="131" t="str">
        <f t="shared" si="282"/>
        <v>IE-CN</v>
      </c>
      <c r="AB396" s="131" t="str">
        <f t="shared" si="282"/>
        <v>IE-DL</v>
      </c>
      <c r="AC396" s="131" t="str">
        <f t="shared" si="282"/>
        <v>IE-MN</v>
      </c>
    </row>
    <row r="397" spans="1:29">
      <c r="A397" s="459" t="s">
        <v>345</v>
      </c>
      <c r="B397" s="507" t="s">
        <v>610</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459" t="s">
        <v>346</v>
      </c>
      <c r="B398" s="1" t="s">
        <v>610</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459" t="s">
        <v>347</v>
      </c>
      <c r="B399" s="1" t="s">
        <v>610</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459" t="s">
        <v>348</v>
      </c>
      <c r="B400" s="1" t="s">
        <v>610</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459" t="s">
        <v>349</v>
      </c>
      <c r="B401" s="1" t="s">
        <v>610</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459" t="s">
        <v>350</v>
      </c>
      <c r="B402" s="1" t="s">
        <v>610</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459" t="s">
        <v>351</v>
      </c>
      <c r="B403" s="1" t="s">
        <v>610</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458" t="s">
        <v>16</v>
      </c>
      <c r="B404" s="458" t="s">
        <v>610</v>
      </c>
      <c r="C404" s="403">
        <f t="shared" ref="C404:AC404" si="285">SUM(C397:C403)</f>
        <v>1</v>
      </c>
      <c r="D404" s="403">
        <f t="shared" si="285"/>
        <v>1</v>
      </c>
      <c r="E404" s="403">
        <f t="shared" si="285"/>
        <v>1</v>
      </c>
      <c r="F404" s="403">
        <f t="shared" si="285"/>
        <v>1</v>
      </c>
      <c r="G404" s="403">
        <f t="shared" si="285"/>
        <v>1</v>
      </c>
      <c r="H404" s="403">
        <f t="shared" si="285"/>
        <v>1</v>
      </c>
      <c r="I404" s="403">
        <f t="shared" si="285"/>
        <v>0.99999999999999989</v>
      </c>
      <c r="J404" s="403">
        <f t="shared" si="285"/>
        <v>1</v>
      </c>
      <c r="K404" s="403">
        <f t="shared" si="285"/>
        <v>0.99999999999999989</v>
      </c>
      <c r="L404" s="403">
        <f t="shared" si="285"/>
        <v>0.99999999999999989</v>
      </c>
      <c r="M404" s="403">
        <f t="shared" si="285"/>
        <v>1</v>
      </c>
      <c r="N404" s="403">
        <f t="shared" si="285"/>
        <v>1</v>
      </c>
      <c r="O404" s="403">
        <f t="shared" si="285"/>
        <v>1</v>
      </c>
      <c r="P404" s="403">
        <f t="shared" si="285"/>
        <v>1</v>
      </c>
      <c r="Q404" s="403">
        <f t="shared" si="285"/>
        <v>1</v>
      </c>
      <c r="R404" s="403">
        <f t="shared" si="285"/>
        <v>1</v>
      </c>
      <c r="S404" s="403">
        <f t="shared" si="285"/>
        <v>1</v>
      </c>
      <c r="T404" s="403">
        <f t="shared" si="285"/>
        <v>0.99999999999999989</v>
      </c>
      <c r="U404" s="403">
        <f t="shared" si="285"/>
        <v>0.99999999999999989</v>
      </c>
      <c r="V404" s="403">
        <f t="shared" si="285"/>
        <v>1</v>
      </c>
      <c r="W404" s="403">
        <f t="shared" si="285"/>
        <v>0.99999999999999989</v>
      </c>
      <c r="X404" s="403">
        <f t="shared" si="285"/>
        <v>1</v>
      </c>
      <c r="Y404" s="403">
        <f t="shared" si="285"/>
        <v>1</v>
      </c>
      <c r="Z404" s="403">
        <f t="shared" si="285"/>
        <v>1</v>
      </c>
      <c r="AA404" s="403">
        <f t="shared" si="285"/>
        <v>1</v>
      </c>
      <c r="AB404" s="403">
        <f t="shared" si="285"/>
        <v>1</v>
      </c>
      <c r="AC404" s="403">
        <f t="shared" si="285"/>
        <v>1</v>
      </c>
    </row>
    <row r="405" spans="1:29">
      <c r="A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c r="AC405" s="459"/>
    </row>
    <row r="406" spans="1:29">
      <c r="A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c r="AC406" s="459"/>
    </row>
    <row r="407" spans="1:29">
      <c r="A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5.6">
      <c r="A408" s="425" t="s">
        <v>634</v>
      </c>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c r="AC408" s="459"/>
    </row>
    <row r="409" spans="1:29">
      <c r="A409" s="131" t="s">
        <v>606</v>
      </c>
      <c r="B409" s="131" t="s">
        <v>64</v>
      </c>
      <c r="C409" s="131" t="str">
        <f>C396</f>
        <v>IE</v>
      </c>
      <c r="D409" s="131" t="str">
        <f t="shared" ref="D409:AC409" si="286">D396</f>
        <v>IE-CW</v>
      </c>
      <c r="E409" s="131" t="str">
        <f t="shared" si="286"/>
        <v>IE-D</v>
      </c>
      <c r="F409" s="131" t="str">
        <f t="shared" si="286"/>
        <v>IE-KE</v>
      </c>
      <c r="G409" s="131" t="str">
        <f t="shared" si="286"/>
        <v>IE-KK</v>
      </c>
      <c r="H409" s="131" t="str">
        <f t="shared" si="286"/>
        <v>IE-LS</v>
      </c>
      <c r="I409" s="131" t="str">
        <f t="shared" si="286"/>
        <v>IE-LD</v>
      </c>
      <c r="J409" s="131" t="str">
        <f t="shared" si="286"/>
        <v>IE-LH</v>
      </c>
      <c r="K409" s="131" t="str">
        <f t="shared" si="286"/>
        <v>IE-MH</v>
      </c>
      <c r="L409" s="131" t="str">
        <f t="shared" si="286"/>
        <v>IE-OY</v>
      </c>
      <c r="M409" s="131" t="str">
        <f t="shared" si="286"/>
        <v>IE-WH</v>
      </c>
      <c r="N409" s="131" t="str">
        <f t="shared" si="286"/>
        <v>IE-WX</v>
      </c>
      <c r="O409" s="131" t="str">
        <f t="shared" si="286"/>
        <v>IE-WW</v>
      </c>
      <c r="P409" s="131" t="str">
        <f t="shared" si="286"/>
        <v>IE-CE</v>
      </c>
      <c r="Q409" s="131" t="str">
        <f t="shared" si="286"/>
        <v>IE-CO</v>
      </c>
      <c r="R409" s="131" t="str">
        <f t="shared" si="286"/>
        <v>IE-KY</v>
      </c>
      <c r="S409" s="131" t="str">
        <f t="shared" si="286"/>
        <v>IE-LK</v>
      </c>
      <c r="T409" s="131" t="str">
        <f t="shared" si="286"/>
        <v>IE-TA</v>
      </c>
      <c r="U409" s="131" t="str">
        <f t="shared" si="286"/>
        <v>IE-WD</v>
      </c>
      <c r="V409" s="131" t="str">
        <f t="shared" si="286"/>
        <v>IE-G</v>
      </c>
      <c r="W409" s="131" t="str">
        <f t="shared" si="286"/>
        <v>IE-LM</v>
      </c>
      <c r="X409" s="131" t="str">
        <f t="shared" si="286"/>
        <v>IE-MO</v>
      </c>
      <c r="Y409" s="131" t="str">
        <f t="shared" si="286"/>
        <v>IE-RN</v>
      </c>
      <c r="Z409" s="131" t="str">
        <f t="shared" si="286"/>
        <v>IE-SO</v>
      </c>
      <c r="AA409" s="131" t="str">
        <f t="shared" si="286"/>
        <v>IE-CN</v>
      </c>
      <c r="AB409" s="131" t="str">
        <f t="shared" si="286"/>
        <v>IE-DL</v>
      </c>
      <c r="AC409" s="131" t="str">
        <f t="shared" si="286"/>
        <v>IE-MN</v>
      </c>
    </row>
    <row r="410" spans="1:29">
      <c r="A410" s="459" t="s">
        <v>345</v>
      </c>
      <c r="B410" s="459" t="s">
        <v>611</v>
      </c>
      <c r="C410" s="509">
        <v>0.95996773943746105</v>
      </c>
      <c r="D410" s="509">
        <v>0.95996773943746105</v>
      </c>
      <c r="E410" s="509">
        <v>0.95996773943746105</v>
      </c>
      <c r="F410" s="509">
        <v>0.95996773943746105</v>
      </c>
      <c r="G410" s="509">
        <v>0.95996773943746105</v>
      </c>
      <c r="H410" s="509">
        <v>0.95996773943746105</v>
      </c>
      <c r="I410" s="509">
        <v>0.95996773943746105</v>
      </c>
      <c r="J410" s="509">
        <v>0.95996773943746105</v>
      </c>
      <c r="K410" s="509">
        <v>0.95996773943746105</v>
      </c>
      <c r="L410" s="509">
        <v>0.95996773943746105</v>
      </c>
      <c r="M410" s="509">
        <v>0.95996773943746105</v>
      </c>
      <c r="N410" s="509">
        <v>0.95996773943746105</v>
      </c>
      <c r="O410" s="509">
        <v>0.95996773943746105</v>
      </c>
      <c r="P410" s="509">
        <v>0.95996773943746105</v>
      </c>
      <c r="Q410" s="509">
        <v>0.95996773943746105</v>
      </c>
      <c r="R410" s="509">
        <v>0.95996773943746105</v>
      </c>
      <c r="S410" s="509">
        <v>0.95996773943746105</v>
      </c>
      <c r="T410" s="509">
        <v>0.95996773943746105</v>
      </c>
      <c r="U410" s="509">
        <v>0.95996773943746105</v>
      </c>
      <c r="V410" s="509">
        <v>0.95996773943746105</v>
      </c>
      <c r="W410" s="509">
        <v>0.95996773943746105</v>
      </c>
      <c r="X410" s="509">
        <v>0.95996773943746105</v>
      </c>
      <c r="Y410" s="509">
        <v>0.95996773943746105</v>
      </c>
      <c r="Z410" s="509">
        <v>0.95996773943746105</v>
      </c>
      <c r="AA410" s="509">
        <v>0.95996773943746105</v>
      </c>
      <c r="AB410" s="509">
        <v>0.95996773943746105</v>
      </c>
      <c r="AC410" s="509">
        <v>0.95996773943746105</v>
      </c>
    </row>
    <row r="411" spans="1:29">
      <c r="A411" s="459" t="s">
        <v>346</v>
      </c>
      <c r="B411" s="459" t="s">
        <v>611</v>
      </c>
      <c r="C411" s="509">
        <v>0.97113990697512087</v>
      </c>
      <c r="D411" s="509">
        <v>0.97113990697512087</v>
      </c>
      <c r="E411" s="509">
        <v>0.97113990697512087</v>
      </c>
      <c r="F411" s="509">
        <v>0.97113990697512087</v>
      </c>
      <c r="G411" s="509">
        <v>0.97113990697512087</v>
      </c>
      <c r="H411" s="509">
        <v>0.97113990697512087</v>
      </c>
      <c r="I411" s="509">
        <v>0.97113990697512087</v>
      </c>
      <c r="J411" s="509">
        <v>0.97113990697512087</v>
      </c>
      <c r="K411" s="509">
        <v>0.97113990697512087</v>
      </c>
      <c r="L411" s="509">
        <v>0.97113990697512087</v>
      </c>
      <c r="M411" s="509">
        <v>0.97113990697512087</v>
      </c>
      <c r="N411" s="509">
        <v>0.97113990697512087</v>
      </c>
      <c r="O411" s="509">
        <v>0.97113990697512087</v>
      </c>
      <c r="P411" s="509">
        <v>0.97113990697512087</v>
      </c>
      <c r="Q411" s="509">
        <v>0.97113990697512087</v>
      </c>
      <c r="R411" s="509">
        <v>0.97113990697512087</v>
      </c>
      <c r="S411" s="509">
        <v>0.97113990697512087</v>
      </c>
      <c r="T411" s="509">
        <v>0.97113990697512087</v>
      </c>
      <c r="U411" s="509">
        <v>0.97113990697512087</v>
      </c>
      <c r="V411" s="509">
        <v>0.97113990697512087</v>
      </c>
      <c r="W411" s="509">
        <v>0.97113990697512087</v>
      </c>
      <c r="X411" s="509">
        <v>0.97113990697512087</v>
      </c>
      <c r="Y411" s="509">
        <v>0.97113990697512087</v>
      </c>
      <c r="Z411" s="509">
        <v>0.97113990697512087</v>
      </c>
      <c r="AA411" s="509">
        <v>0.97113990697512087</v>
      </c>
      <c r="AB411" s="509">
        <v>0.97113990697512087</v>
      </c>
      <c r="AC411" s="509">
        <v>0.97113990697512087</v>
      </c>
    </row>
    <row r="412" spans="1:29">
      <c r="A412" s="459" t="s">
        <v>347</v>
      </c>
      <c r="B412" s="459" t="s">
        <v>611</v>
      </c>
      <c r="C412" s="509">
        <v>1.0401672361147916</v>
      </c>
      <c r="D412" s="509">
        <v>1.0401672361147916</v>
      </c>
      <c r="E412" s="509">
        <v>1.0401672361147916</v>
      </c>
      <c r="F412" s="509">
        <v>1.0401672361147916</v>
      </c>
      <c r="G412" s="509">
        <v>1.0401672361147916</v>
      </c>
      <c r="H412" s="509">
        <v>1.0401672361147916</v>
      </c>
      <c r="I412" s="509">
        <v>1.0401672361147916</v>
      </c>
      <c r="J412" s="509">
        <v>1.0401672361147916</v>
      </c>
      <c r="K412" s="509">
        <v>1.0401672361147916</v>
      </c>
      <c r="L412" s="509">
        <v>1.0401672361147916</v>
      </c>
      <c r="M412" s="509">
        <v>1.0401672361147916</v>
      </c>
      <c r="N412" s="509">
        <v>1.0401672361147916</v>
      </c>
      <c r="O412" s="509">
        <v>1.0401672361147916</v>
      </c>
      <c r="P412" s="509">
        <v>1.0401672361147916</v>
      </c>
      <c r="Q412" s="509">
        <v>1.0401672361147916</v>
      </c>
      <c r="R412" s="509">
        <v>1.0401672361147916</v>
      </c>
      <c r="S412" s="509">
        <v>1.0401672361147916</v>
      </c>
      <c r="T412" s="509">
        <v>1.0401672361147916</v>
      </c>
      <c r="U412" s="509">
        <v>1.0401672361147916</v>
      </c>
      <c r="V412" s="509">
        <v>1.0401672361147916</v>
      </c>
      <c r="W412" s="509">
        <v>1.0401672361147916</v>
      </c>
      <c r="X412" s="509">
        <v>1.0401672361147916</v>
      </c>
      <c r="Y412" s="509">
        <v>1.0401672361147916</v>
      </c>
      <c r="Z412" s="509">
        <v>1.0401672361147916</v>
      </c>
      <c r="AA412" s="509">
        <v>1.0401672361147916</v>
      </c>
      <c r="AB412" s="509">
        <v>1.0401672361147916</v>
      </c>
      <c r="AC412" s="509">
        <v>1.0401672361147916</v>
      </c>
    </row>
    <row r="413" spans="1:29">
      <c r="A413" s="459" t="s">
        <v>348</v>
      </c>
      <c r="B413" s="459" t="s">
        <v>611</v>
      </c>
      <c r="C413" s="509">
        <v>1.0474275590661064</v>
      </c>
      <c r="D413" s="509">
        <v>1.0474275590661064</v>
      </c>
      <c r="E413" s="509">
        <v>1.0474275590661064</v>
      </c>
      <c r="F413" s="509">
        <v>1.0474275590661064</v>
      </c>
      <c r="G413" s="509">
        <v>1.0474275590661064</v>
      </c>
      <c r="H413" s="509">
        <v>1.0474275590661064</v>
      </c>
      <c r="I413" s="509">
        <v>1.0474275590661064</v>
      </c>
      <c r="J413" s="509">
        <v>1.0474275590661064</v>
      </c>
      <c r="K413" s="509">
        <v>1.0474275590661064</v>
      </c>
      <c r="L413" s="509">
        <v>1.0474275590661064</v>
      </c>
      <c r="M413" s="509">
        <v>1.0474275590661064</v>
      </c>
      <c r="N413" s="509">
        <v>1.0474275590661064</v>
      </c>
      <c r="O413" s="509">
        <v>1.0474275590661064</v>
      </c>
      <c r="P413" s="509">
        <v>1.0474275590661064</v>
      </c>
      <c r="Q413" s="509">
        <v>1.0474275590661064</v>
      </c>
      <c r="R413" s="509">
        <v>1.0474275590661064</v>
      </c>
      <c r="S413" s="509">
        <v>1.0474275590661064</v>
      </c>
      <c r="T413" s="509">
        <v>1.0474275590661064</v>
      </c>
      <c r="U413" s="509">
        <v>1.0474275590661064</v>
      </c>
      <c r="V413" s="509">
        <v>1.0474275590661064</v>
      </c>
      <c r="W413" s="509">
        <v>1.0474275590661064</v>
      </c>
      <c r="X413" s="509">
        <v>1.0474275590661064</v>
      </c>
      <c r="Y413" s="509">
        <v>1.0474275590661064</v>
      </c>
      <c r="Z413" s="509">
        <v>1.0474275590661064</v>
      </c>
      <c r="AA413" s="509">
        <v>1.0474275590661064</v>
      </c>
      <c r="AB413" s="509">
        <v>1.0474275590661064</v>
      </c>
      <c r="AC413" s="509">
        <v>1.0474275590661064</v>
      </c>
    </row>
    <row r="414" spans="1:29">
      <c r="A414" s="459" t="s">
        <v>349</v>
      </c>
      <c r="B414" s="459" t="s">
        <v>611</v>
      </c>
      <c r="C414" s="509">
        <v>1.0808963939222047</v>
      </c>
      <c r="D414" s="509">
        <v>1.0808963939222047</v>
      </c>
      <c r="E414" s="509">
        <v>1.0808963939222047</v>
      </c>
      <c r="F414" s="509">
        <v>1.0808963939222047</v>
      </c>
      <c r="G414" s="509">
        <v>1.0808963939222047</v>
      </c>
      <c r="H414" s="509">
        <v>1.0808963939222047</v>
      </c>
      <c r="I414" s="509">
        <v>1.0808963939222047</v>
      </c>
      <c r="J414" s="509">
        <v>1.0808963939222047</v>
      </c>
      <c r="K414" s="509">
        <v>1.0808963939222047</v>
      </c>
      <c r="L414" s="509">
        <v>1.0808963939222047</v>
      </c>
      <c r="M414" s="509">
        <v>1.0808963939222047</v>
      </c>
      <c r="N414" s="509">
        <v>1.0808963939222047</v>
      </c>
      <c r="O414" s="509">
        <v>1.0808963939222047</v>
      </c>
      <c r="P414" s="509">
        <v>1.0808963939222047</v>
      </c>
      <c r="Q414" s="509">
        <v>1.0808963939222047</v>
      </c>
      <c r="R414" s="509">
        <v>1.0808963939222047</v>
      </c>
      <c r="S414" s="509">
        <v>1.0808963939222047</v>
      </c>
      <c r="T414" s="509">
        <v>1.0808963939222047</v>
      </c>
      <c r="U414" s="509">
        <v>1.0808963939222047</v>
      </c>
      <c r="V414" s="509">
        <v>1.0808963939222047</v>
      </c>
      <c r="W414" s="509">
        <v>1.0808963939222047</v>
      </c>
      <c r="X414" s="509">
        <v>1.0808963939222047</v>
      </c>
      <c r="Y414" s="509">
        <v>1.0808963939222047</v>
      </c>
      <c r="Z414" s="509">
        <v>1.0808963939222047</v>
      </c>
      <c r="AA414" s="509">
        <v>1.0808963939222047</v>
      </c>
      <c r="AB414" s="509">
        <v>1.0808963939222047</v>
      </c>
      <c r="AC414" s="509">
        <v>1.0808963939222047</v>
      </c>
    </row>
    <row r="415" spans="1:29">
      <c r="A415" s="459" t="s">
        <v>350</v>
      </c>
      <c r="B415" s="459" t="s">
        <v>611</v>
      </c>
      <c r="C415" s="509">
        <v>1.0847141785978622</v>
      </c>
      <c r="D415" s="509">
        <v>1.0847141785978622</v>
      </c>
      <c r="E415" s="509">
        <v>1.0847141785978622</v>
      </c>
      <c r="F415" s="509">
        <v>1.0847141785978622</v>
      </c>
      <c r="G415" s="509">
        <v>1.0847141785978622</v>
      </c>
      <c r="H415" s="509">
        <v>1.0847141785978622</v>
      </c>
      <c r="I415" s="509">
        <v>1.0847141785978622</v>
      </c>
      <c r="J415" s="509">
        <v>1.0847141785978622</v>
      </c>
      <c r="K415" s="509">
        <v>1.0847141785978622</v>
      </c>
      <c r="L415" s="509">
        <v>1.0847141785978622</v>
      </c>
      <c r="M415" s="509">
        <v>1.0847141785978622</v>
      </c>
      <c r="N415" s="509">
        <v>1.0847141785978622</v>
      </c>
      <c r="O415" s="509">
        <v>1.0847141785978622</v>
      </c>
      <c r="P415" s="509">
        <v>1.0847141785978622</v>
      </c>
      <c r="Q415" s="509">
        <v>1.0847141785978622</v>
      </c>
      <c r="R415" s="509">
        <v>1.0847141785978622</v>
      </c>
      <c r="S415" s="509">
        <v>1.0847141785978622</v>
      </c>
      <c r="T415" s="509">
        <v>1.0847141785978622</v>
      </c>
      <c r="U415" s="509">
        <v>1.0847141785978622</v>
      </c>
      <c r="V415" s="509">
        <v>1.0847141785978622</v>
      </c>
      <c r="W415" s="509">
        <v>1.0847141785978622</v>
      </c>
      <c r="X415" s="509">
        <v>1.0847141785978622</v>
      </c>
      <c r="Y415" s="509">
        <v>1.0847141785978622</v>
      </c>
      <c r="Z415" s="509">
        <v>1.0847141785978622</v>
      </c>
      <c r="AA415" s="509">
        <v>1.0847141785978622</v>
      </c>
      <c r="AB415" s="509">
        <v>1.0847141785978622</v>
      </c>
      <c r="AC415" s="509">
        <v>1.0847141785978622</v>
      </c>
    </row>
    <row r="416" spans="1:29">
      <c r="A416" s="458" t="s">
        <v>351</v>
      </c>
      <c r="B416" s="458" t="s">
        <v>611</v>
      </c>
      <c r="C416" s="514">
        <v>1.1741282819271783</v>
      </c>
      <c r="D416" s="514">
        <v>1.1741282819271783</v>
      </c>
      <c r="E416" s="514">
        <v>1.1741282819271783</v>
      </c>
      <c r="F416" s="514">
        <v>1.1741282819271783</v>
      </c>
      <c r="G416" s="514">
        <v>1.1741282819271783</v>
      </c>
      <c r="H416" s="514">
        <v>1.1741282819271783</v>
      </c>
      <c r="I416" s="514">
        <v>1.1741282819271783</v>
      </c>
      <c r="J416" s="514">
        <v>1.1741282819271783</v>
      </c>
      <c r="K416" s="514">
        <v>1.1741282819271783</v>
      </c>
      <c r="L416" s="514">
        <v>1.1741282819271783</v>
      </c>
      <c r="M416" s="514">
        <v>1.1741282819271783</v>
      </c>
      <c r="N416" s="514">
        <v>1.1741282819271783</v>
      </c>
      <c r="O416" s="514">
        <v>1.1741282819271783</v>
      </c>
      <c r="P416" s="514">
        <v>1.1741282819271783</v>
      </c>
      <c r="Q416" s="514">
        <v>1.1741282819271783</v>
      </c>
      <c r="R416" s="514">
        <v>1.1741282819271783</v>
      </c>
      <c r="S416" s="514">
        <v>1.1741282819271783</v>
      </c>
      <c r="T416" s="514">
        <v>1.1741282819271783</v>
      </c>
      <c r="U416" s="514">
        <v>1.1741282819271783</v>
      </c>
      <c r="V416" s="514">
        <v>1.1741282819271783</v>
      </c>
      <c r="W416" s="514">
        <v>1.1741282819271783</v>
      </c>
      <c r="X416" s="514">
        <v>1.1741282819271783</v>
      </c>
      <c r="Y416" s="514">
        <v>1.1741282819271783</v>
      </c>
      <c r="Z416" s="514">
        <v>1.1741282819271783</v>
      </c>
      <c r="AA416" s="514">
        <v>1.1741282819271783</v>
      </c>
      <c r="AB416" s="514">
        <v>1.1741282819271783</v>
      </c>
      <c r="AC416" s="514">
        <v>1.1741282819271783</v>
      </c>
    </row>
    <row r="417" spans="1:29">
      <c r="A417" s="510" t="s">
        <v>615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c r="AC418" s="459"/>
    </row>
    <row r="419" spans="1:29">
      <c r="A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c r="AC419" s="459"/>
    </row>
    <row r="420" spans="1:29">
      <c r="A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c r="AC420" s="459"/>
    </row>
    <row r="421" spans="1:29" ht="15.6">
      <c r="A421" s="425" t="s">
        <v>634</v>
      </c>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131" t="s">
        <v>606</v>
      </c>
      <c r="B422" s="131" t="s">
        <v>64</v>
      </c>
      <c r="C422" s="131" t="str">
        <f>C409</f>
        <v>IE</v>
      </c>
      <c r="D422" s="131" t="str">
        <f t="shared" ref="D422:AC422" si="287">D409</f>
        <v>IE-CW</v>
      </c>
      <c r="E422" s="131" t="str">
        <f t="shared" si="287"/>
        <v>IE-D</v>
      </c>
      <c r="F422" s="131" t="str">
        <f t="shared" si="287"/>
        <v>IE-KE</v>
      </c>
      <c r="G422" s="131" t="str">
        <f t="shared" si="287"/>
        <v>IE-KK</v>
      </c>
      <c r="H422" s="131" t="str">
        <f t="shared" si="287"/>
        <v>IE-LS</v>
      </c>
      <c r="I422" s="131" t="str">
        <f t="shared" si="287"/>
        <v>IE-LD</v>
      </c>
      <c r="J422" s="131" t="str">
        <f t="shared" si="287"/>
        <v>IE-LH</v>
      </c>
      <c r="K422" s="131" t="str">
        <f t="shared" si="287"/>
        <v>IE-MH</v>
      </c>
      <c r="L422" s="131" t="str">
        <f t="shared" si="287"/>
        <v>IE-OY</v>
      </c>
      <c r="M422" s="131" t="str">
        <f t="shared" si="287"/>
        <v>IE-WH</v>
      </c>
      <c r="N422" s="131" t="str">
        <f t="shared" si="287"/>
        <v>IE-WX</v>
      </c>
      <c r="O422" s="131" t="str">
        <f t="shared" si="287"/>
        <v>IE-WW</v>
      </c>
      <c r="P422" s="131" t="str">
        <f t="shared" si="287"/>
        <v>IE-CE</v>
      </c>
      <c r="Q422" s="131" t="str">
        <f t="shared" si="287"/>
        <v>IE-CO</v>
      </c>
      <c r="R422" s="131" t="str">
        <f t="shared" si="287"/>
        <v>IE-KY</v>
      </c>
      <c r="S422" s="131" t="str">
        <f t="shared" si="287"/>
        <v>IE-LK</v>
      </c>
      <c r="T422" s="131" t="str">
        <f t="shared" si="287"/>
        <v>IE-TA</v>
      </c>
      <c r="U422" s="131" t="str">
        <f t="shared" si="287"/>
        <v>IE-WD</v>
      </c>
      <c r="V422" s="131" t="str">
        <f t="shared" si="287"/>
        <v>IE-G</v>
      </c>
      <c r="W422" s="131" t="str">
        <f t="shared" si="287"/>
        <v>IE-LM</v>
      </c>
      <c r="X422" s="131" t="str">
        <f t="shared" si="287"/>
        <v>IE-MO</v>
      </c>
      <c r="Y422" s="131" t="str">
        <f t="shared" si="287"/>
        <v>IE-RN</v>
      </c>
      <c r="Z422" s="131" t="str">
        <f t="shared" si="287"/>
        <v>IE-SO</v>
      </c>
      <c r="AA422" s="131" t="str">
        <f t="shared" si="287"/>
        <v>IE-CN</v>
      </c>
      <c r="AB422" s="131" t="str">
        <f t="shared" si="287"/>
        <v>IE-DL</v>
      </c>
      <c r="AC422" s="131" t="str">
        <f t="shared" si="287"/>
        <v>IE-MN</v>
      </c>
    </row>
    <row r="423" spans="1:29">
      <c r="A423" s="459" t="s">
        <v>627</v>
      </c>
      <c r="B423" s="459" t="s">
        <v>611</v>
      </c>
      <c r="C423" s="505">
        <f>SUMPRODUCT(C397:C403,C410:C416)</f>
        <v>1.0765709644443593</v>
      </c>
      <c r="D423" s="505">
        <f>IF(D390&gt;1,SUMPRODUCT(D397:D403,D410:D416),$C$230)</f>
        <v>1.0544298848273377</v>
      </c>
      <c r="E423" s="505">
        <f t="shared" ref="E423:AC423" si="288">IF(E390&gt;1,SUMPRODUCT(E397:E403,E410:E416),$C$230)</f>
        <v>1.0770627632453529</v>
      </c>
      <c r="F423" s="505">
        <f t="shared" si="288"/>
        <v>1.0632045151655287</v>
      </c>
      <c r="G423" s="505">
        <f t="shared" si="288"/>
        <v>1.0775870058485064</v>
      </c>
      <c r="H423" s="505">
        <f t="shared" si="288"/>
        <v>1.0815426568613904</v>
      </c>
      <c r="I423" s="505">
        <f t="shared" si="288"/>
        <v>1.0669663675821317</v>
      </c>
      <c r="J423" s="505">
        <f t="shared" si="288"/>
        <v>1.0776073015362118</v>
      </c>
      <c r="K423" s="505">
        <f t="shared" si="288"/>
        <v>1.0593090966426919</v>
      </c>
      <c r="L423" s="505">
        <f t="shared" si="288"/>
        <v>1.0767262507664466</v>
      </c>
      <c r="M423" s="505">
        <f t="shared" si="288"/>
        <v>1.0706970734035384</v>
      </c>
      <c r="N423" s="505">
        <f t="shared" si="288"/>
        <v>1.0770494168929021</v>
      </c>
      <c r="O423" s="505">
        <f t="shared" si="288"/>
        <v>1.0709878236450781</v>
      </c>
      <c r="P423" s="505">
        <f t="shared" si="288"/>
        <v>1.0744429425021005</v>
      </c>
      <c r="Q423" s="505">
        <f t="shared" si="288"/>
        <v>1.0719266536470671</v>
      </c>
      <c r="R423" s="505">
        <f t="shared" si="288"/>
        <v>1.0768848542573723</v>
      </c>
      <c r="S423" s="505">
        <f t="shared" si="288"/>
        <v>1.1145188797076342</v>
      </c>
      <c r="T423" s="505">
        <f t="shared" si="288"/>
        <v>1.0652081721220339</v>
      </c>
      <c r="U423" s="505">
        <f t="shared" si="288"/>
        <v>1.0813179561860364</v>
      </c>
      <c r="V423" s="505">
        <f t="shared" si="288"/>
        <v>1.0794394253934261</v>
      </c>
      <c r="W423" s="505">
        <f t="shared" si="288"/>
        <v>1.0520644046257348</v>
      </c>
      <c r="X423" s="505">
        <f t="shared" si="288"/>
        <v>1.0729164886576958</v>
      </c>
      <c r="Y423" s="505">
        <f t="shared" si="288"/>
        <v>1.0740411573028943</v>
      </c>
      <c r="Z423" s="505">
        <f t="shared" si="288"/>
        <v>1.0826189371670545</v>
      </c>
      <c r="AA423" s="505">
        <f t="shared" si="288"/>
        <v>1.0712867767459393</v>
      </c>
      <c r="AB423" s="505">
        <f t="shared" si="288"/>
        <v>1.0664919794867926</v>
      </c>
      <c r="AC423" s="505">
        <f t="shared" si="288"/>
        <v>1.0755477367114978</v>
      </c>
    </row>
    <row r="424" spans="1:29">
      <c r="A424" s="458"/>
      <c r="B424" s="458" t="s">
        <v>599</v>
      </c>
      <c r="C424" s="508">
        <f>1000/C423</f>
        <v>928.87513506006621</v>
      </c>
      <c r="D424" s="508">
        <f>1000/D423</f>
        <v>948.37979688308008</v>
      </c>
      <c r="E424" s="508">
        <f>1000/E423</f>
        <v>928.45100037331986</v>
      </c>
      <c r="F424" s="508">
        <f>1000/F423</f>
        <v>940.55281532011884</v>
      </c>
      <c r="G424" s="508">
        <f t="shared" ref="G424" si="289">1000/G423</f>
        <v>927.99931195586998</v>
      </c>
      <c r="H424" s="508">
        <f t="shared" ref="H424" si="290">1000/H423</f>
        <v>924.60523277183984</v>
      </c>
      <c r="I424" s="508">
        <f t="shared" ref="I424" si="291">1000/I423</f>
        <v>937.23666498140403</v>
      </c>
      <c r="J424" s="508">
        <f t="shared" ref="J424" si="292">1000/J423</f>
        <v>927.98183398945366</v>
      </c>
      <c r="K424" s="508">
        <f t="shared" ref="K424" si="293">1000/K423</f>
        <v>944.01152899501903</v>
      </c>
      <c r="L424" s="508">
        <f t="shared" ref="L424" si="294">1000/L423</f>
        <v>928.7411719442797</v>
      </c>
      <c r="M424" s="508">
        <f t="shared" ref="M424" si="295">1000/M423</f>
        <v>933.97098473538733</v>
      </c>
      <c r="N424" s="508">
        <f t="shared" ref="N424" si="296">1000/N423</f>
        <v>928.46250535544027</v>
      </c>
      <c r="O424" s="508">
        <f t="shared" ref="O424" si="297">1000/O423</f>
        <v>933.71743162917301</v>
      </c>
      <c r="P424" s="508">
        <f t="shared" ref="P424" si="298">1000/P423</f>
        <v>930.71484807863123</v>
      </c>
      <c r="Q424" s="508">
        <f t="shared" ref="Q424" si="299">1000/Q423</f>
        <v>932.89964998785354</v>
      </c>
      <c r="R424" s="508">
        <f t="shared" ref="R424" si="300">1000/R423</f>
        <v>928.60438703969635</v>
      </c>
      <c r="S424" s="508">
        <f t="shared" ref="S424" si="301">1000/S423</f>
        <v>897.24814734616666</v>
      </c>
      <c r="T424" s="508">
        <f t="shared" ref="T424" si="302">1000/T423</f>
        <v>938.78363513478246</v>
      </c>
      <c r="U424" s="508">
        <f t="shared" ref="U424" si="303">1000/U423</f>
        <v>924.79736813688316</v>
      </c>
      <c r="V424" s="508">
        <f t="shared" ref="V424" si="304">1000/V423</f>
        <v>926.40677788429616</v>
      </c>
      <c r="W424" s="508">
        <f t="shared" ref="W424" si="305">1000/W423</f>
        <v>950.51215078010705</v>
      </c>
      <c r="X424" s="508">
        <f t="shared" ref="X424" si="306">1000/X423</f>
        <v>932.03898958723232</v>
      </c>
      <c r="Y424" s="508">
        <f t="shared" ref="Y424" si="307">1000/Y423</f>
        <v>931.06301672011841</v>
      </c>
      <c r="Z424" s="508">
        <f t="shared" ref="Z424" si="308">1000/Z423</f>
        <v>923.68604101527376</v>
      </c>
      <c r="AA424" s="508">
        <f t="shared" ref="AA424" si="309">1000/AA423</f>
        <v>933.45686860573903</v>
      </c>
      <c r="AB424" s="508">
        <f t="shared" ref="AB424" si="310">1000/AB423</f>
        <v>937.65355880239315</v>
      </c>
      <c r="AC424" s="508">
        <f t="shared" ref="AC424" si="311">1000/AC423</f>
        <v>929.75882507782865</v>
      </c>
    </row>
    <row r="428" spans="1:29">
      <c r="A428" s="511"/>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row>
    <row r="429" spans="1:29" ht="15.6">
      <c r="A429" s="401" t="s">
        <v>635</v>
      </c>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c r="AC429" s="459"/>
    </row>
    <row r="430" spans="1:29">
      <c r="A430" s="131" t="s">
        <v>606</v>
      </c>
      <c r="B430" s="131" t="s">
        <v>64</v>
      </c>
      <c r="C430" s="131" t="str">
        <f t="shared" ref="C430:AC430" si="312">C422</f>
        <v>IE</v>
      </c>
      <c r="D430" s="131" t="str">
        <f t="shared" si="312"/>
        <v>IE-CW</v>
      </c>
      <c r="E430" s="131" t="str">
        <f t="shared" si="312"/>
        <v>IE-D</v>
      </c>
      <c r="F430" s="131" t="str">
        <f t="shared" si="312"/>
        <v>IE-KE</v>
      </c>
      <c r="G430" s="131" t="str">
        <f t="shared" si="312"/>
        <v>IE-KK</v>
      </c>
      <c r="H430" s="131" t="str">
        <f t="shared" si="312"/>
        <v>IE-LS</v>
      </c>
      <c r="I430" s="131" t="str">
        <f t="shared" si="312"/>
        <v>IE-LD</v>
      </c>
      <c r="J430" s="131" t="str">
        <f t="shared" si="312"/>
        <v>IE-LH</v>
      </c>
      <c r="K430" s="131" t="str">
        <f t="shared" si="312"/>
        <v>IE-MH</v>
      </c>
      <c r="L430" s="131" t="str">
        <f t="shared" si="312"/>
        <v>IE-OY</v>
      </c>
      <c r="M430" s="131" t="str">
        <f t="shared" si="312"/>
        <v>IE-WH</v>
      </c>
      <c r="N430" s="131" t="str">
        <f t="shared" si="312"/>
        <v>IE-WX</v>
      </c>
      <c r="O430" s="131" t="str">
        <f t="shared" si="312"/>
        <v>IE-WW</v>
      </c>
      <c r="P430" s="131" t="str">
        <f t="shared" si="312"/>
        <v>IE-CE</v>
      </c>
      <c r="Q430" s="131" t="str">
        <f t="shared" si="312"/>
        <v>IE-CO</v>
      </c>
      <c r="R430" s="131" t="str">
        <f t="shared" si="312"/>
        <v>IE-KY</v>
      </c>
      <c r="S430" s="131" t="str">
        <f t="shared" si="312"/>
        <v>IE-LK</v>
      </c>
      <c r="T430" s="131" t="str">
        <f t="shared" si="312"/>
        <v>IE-TA</v>
      </c>
      <c r="U430" s="131" t="str">
        <f t="shared" si="312"/>
        <v>IE-WD</v>
      </c>
      <c r="V430" s="131" t="str">
        <f t="shared" si="312"/>
        <v>IE-G</v>
      </c>
      <c r="W430" s="131" t="str">
        <f t="shared" si="312"/>
        <v>IE-LM</v>
      </c>
      <c r="X430" s="131" t="str">
        <f t="shared" si="312"/>
        <v>IE-MO</v>
      </c>
      <c r="Y430" s="131" t="str">
        <f t="shared" si="312"/>
        <v>IE-RN</v>
      </c>
      <c r="Z430" s="131" t="str">
        <f t="shared" si="312"/>
        <v>IE-SO</v>
      </c>
      <c r="AA430" s="131" t="str">
        <f t="shared" si="312"/>
        <v>IE-CN</v>
      </c>
      <c r="AB430" s="131" t="str">
        <f t="shared" si="312"/>
        <v>IE-DL</v>
      </c>
      <c r="AC430" s="131" t="str">
        <f t="shared" si="312"/>
        <v>IE-MN</v>
      </c>
    </row>
    <row r="431" spans="1:29">
      <c r="A431" s="459" t="s">
        <v>345</v>
      </c>
      <c r="B431" s="459" t="s">
        <v>531</v>
      </c>
      <c r="C431" s="9">
        <f>SUM(D431:AC431)</f>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346</v>
      </c>
      <c r="B432" s="459" t="s">
        <v>531</v>
      </c>
      <c r="C432" s="9">
        <f t="shared" ref="C432:C437" si="313">SUM(D432:AC432)</f>
        <v>0</v>
      </c>
      <c r="D432" s="512">
        <v>0</v>
      </c>
      <c r="E432" s="512">
        <v>0</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347</v>
      </c>
      <c r="B433" s="459" t="s">
        <v>531</v>
      </c>
      <c r="C433" s="9">
        <f t="shared" si="313"/>
        <v>0</v>
      </c>
      <c r="D433" s="512">
        <v>0</v>
      </c>
      <c r="E433" s="512">
        <v>0</v>
      </c>
      <c r="F433" s="512">
        <v>0</v>
      </c>
      <c r="G433" s="512">
        <v>0</v>
      </c>
      <c r="H433" s="512">
        <v>0</v>
      </c>
      <c r="I433" s="512">
        <v>0</v>
      </c>
      <c r="J433" s="512">
        <v>0</v>
      </c>
      <c r="K433" s="512">
        <v>0</v>
      </c>
      <c r="L433" s="512">
        <v>0</v>
      </c>
      <c r="M433" s="512">
        <v>0</v>
      </c>
      <c r="N433" s="512">
        <v>0</v>
      </c>
      <c r="O433" s="512">
        <v>0</v>
      </c>
      <c r="P433" s="512">
        <v>0</v>
      </c>
      <c r="Q433" s="512">
        <v>0</v>
      </c>
      <c r="R433" s="512">
        <v>0</v>
      </c>
      <c r="S433" s="512">
        <v>0</v>
      </c>
      <c r="T433" s="512">
        <v>0</v>
      </c>
      <c r="U433" s="512">
        <v>0</v>
      </c>
      <c r="V433" s="512">
        <v>0</v>
      </c>
      <c r="W433" s="512">
        <v>0</v>
      </c>
      <c r="X433" s="512">
        <v>0</v>
      </c>
      <c r="Y433" s="512">
        <v>0</v>
      </c>
      <c r="Z433" s="512">
        <v>0</v>
      </c>
      <c r="AA433" s="512">
        <v>0</v>
      </c>
      <c r="AB433" s="512">
        <v>0</v>
      </c>
      <c r="AC433" s="512">
        <v>0</v>
      </c>
    </row>
    <row r="434" spans="1:29">
      <c r="A434" s="459" t="s">
        <v>348</v>
      </c>
      <c r="B434" s="459" t="s">
        <v>531</v>
      </c>
      <c r="C434" s="9">
        <f t="shared" si="313"/>
        <v>0</v>
      </c>
      <c r="D434" s="512">
        <v>0</v>
      </c>
      <c r="E434" s="512">
        <v>0</v>
      </c>
      <c r="F434" s="512">
        <v>0</v>
      </c>
      <c r="G434" s="512">
        <v>0</v>
      </c>
      <c r="H434" s="512">
        <v>0</v>
      </c>
      <c r="I434" s="512">
        <v>0</v>
      </c>
      <c r="J434" s="512">
        <v>0</v>
      </c>
      <c r="K434" s="512">
        <v>0</v>
      </c>
      <c r="L434" s="512">
        <v>0</v>
      </c>
      <c r="M434" s="512">
        <v>0</v>
      </c>
      <c r="N434" s="512">
        <v>0</v>
      </c>
      <c r="O434" s="512">
        <v>0</v>
      </c>
      <c r="P434" s="512">
        <v>0</v>
      </c>
      <c r="Q434" s="512">
        <v>0</v>
      </c>
      <c r="R434" s="512">
        <v>0</v>
      </c>
      <c r="S434" s="512">
        <v>0</v>
      </c>
      <c r="T434" s="512">
        <v>0</v>
      </c>
      <c r="U434" s="512">
        <v>0</v>
      </c>
      <c r="V434" s="512">
        <v>0</v>
      </c>
      <c r="W434" s="512">
        <v>0</v>
      </c>
      <c r="X434" s="512">
        <v>0</v>
      </c>
      <c r="Y434" s="512">
        <v>0</v>
      </c>
      <c r="Z434" s="512">
        <v>0</v>
      </c>
      <c r="AA434" s="512">
        <v>0</v>
      </c>
      <c r="AB434" s="512">
        <v>0</v>
      </c>
      <c r="AC434" s="512">
        <v>0</v>
      </c>
    </row>
    <row r="435" spans="1:29">
      <c r="A435" s="459" t="s">
        <v>349</v>
      </c>
      <c r="B435" s="459" t="s">
        <v>531</v>
      </c>
      <c r="C435" s="9">
        <f t="shared" si="313"/>
        <v>0</v>
      </c>
      <c r="D435" s="512">
        <v>0</v>
      </c>
      <c r="E435" s="512">
        <v>0</v>
      </c>
      <c r="F435" s="512">
        <v>0</v>
      </c>
      <c r="G435" s="512">
        <v>0</v>
      </c>
      <c r="H435" s="512">
        <v>0</v>
      </c>
      <c r="I435" s="512">
        <v>0</v>
      </c>
      <c r="J435" s="512">
        <v>0</v>
      </c>
      <c r="K435" s="512">
        <v>0</v>
      </c>
      <c r="L435" s="512">
        <v>0</v>
      </c>
      <c r="M435" s="512">
        <v>0</v>
      </c>
      <c r="N435" s="512">
        <v>0</v>
      </c>
      <c r="O435" s="512">
        <v>0</v>
      </c>
      <c r="P435" s="512">
        <v>0</v>
      </c>
      <c r="Q435" s="512">
        <v>0</v>
      </c>
      <c r="R435" s="512">
        <v>0</v>
      </c>
      <c r="S435" s="512">
        <v>0</v>
      </c>
      <c r="T435" s="512">
        <v>0</v>
      </c>
      <c r="U435" s="512">
        <v>0</v>
      </c>
      <c r="V435" s="512">
        <v>0</v>
      </c>
      <c r="W435" s="512">
        <v>0</v>
      </c>
      <c r="X435" s="512">
        <v>0</v>
      </c>
      <c r="Y435" s="512">
        <v>0</v>
      </c>
      <c r="Z435" s="512">
        <v>0</v>
      </c>
      <c r="AA435" s="512">
        <v>0</v>
      </c>
      <c r="AB435" s="512">
        <v>0</v>
      </c>
      <c r="AC435" s="512">
        <v>0</v>
      </c>
    </row>
    <row r="436" spans="1:29">
      <c r="A436" s="459" t="s">
        <v>350</v>
      </c>
      <c r="B436" s="459" t="s">
        <v>531</v>
      </c>
      <c r="C436" s="9">
        <f t="shared" si="313"/>
        <v>2</v>
      </c>
      <c r="D436" s="512">
        <v>0</v>
      </c>
      <c r="E436" s="512">
        <v>2</v>
      </c>
      <c r="F436" s="512">
        <v>0</v>
      </c>
      <c r="G436" s="512">
        <v>0</v>
      </c>
      <c r="H436" s="512">
        <v>0</v>
      </c>
      <c r="I436" s="512">
        <v>0</v>
      </c>
      <c r="J436" s="512">
        <v>0</v>
      </c>
      <c r="K436" s="512">
        <v>0</v>
      </c>
      <c r="L436" s="512">
        <v>0</v>
      </c>
      <c r="M436" s="512">
        <v>0</v>
      </c>
      <c r="N436" s="512">
        <v>0</v>
      </c>
      <c r="O436" s="512">
        <v>0</v>
      </c>
      <c r="P436" s="512">
        <v>0</v>
      </c>
      <c r="Q436" s="512">
        <v>0</v>
      </c>
      <c r="R436" s="512">
        <v>0</v>
      </c>
      <c r="S436" s="512">
        <v>0</v>
      </c>
      <c r="T436" s="512">
        <v>0</v>
      </c>
      <c r="U436" s="512">
        <v>0</v>
      </c>
      <c r="V436" s="512">
        <v>0</v>
      </c>
      <c r="W436" s="512">
        <v>0</v>
      </c>
      <c r="X436" s="512">
        <v>0</v>
      </c>
      <c r="Y436" s="512">
        <v>0</v>
      </c>
      <c r="Z436" s="512">
        <v>0</v>
      </c>
      <c r="AA436" s="512">
        <v>0</v>
      </c>
      <c r="AB436" s="512">
        <v>0</v>
      </c>
      <c r="AC436" s="512">
        <v>0</v>
      </c>
    </row>
    <row r="437" spans="1:29">
      <c r="A437" s="459" t="s">
        <v>351</v>
      </c>
      <c r="B437" s="459" t="s">
        <v>531</v>
      </c>
      <c r="C437" s="9">
        <f t="shared" si="313"/>
        <v>23</v>
      </c>
      <c r="D437" s="512">
        <v>0</v>
      </c>
      <c r="E437" s="512">
        <v>9</v>
      </c>
      <c r="F437" s="512">
        <v>2</v>
      </c>
      <c r="G437" s="512">
        <v>0</v>
      </c>
      <c r="H437" s="512">
        <v>0</v>
      </c>
      <c r="I437" s="512">
        <v>1</v>
      </c>
      <c r="J437" s="512">
        <v>0</v>
      </c>
      <c r="K437" s="512">
        <v>1</v>
      </c>
      <c r="L437" s="512">
        <v>0</v>
      </c>
      <c r="M437" s="512">
        <v>0</v>
      </c>
      <c r="N437" s="512">
        <v>1</v>
      </c>
      <c r="O437" s="512">
        <v>1</v>
      </c>
      <c r="P437" s="512">
        <v>2</v>
      </c>
      <c r="Q437" s="512">
        <v>2</v>
      </c>
      <c r="R437" s="512">
        <v>0</v>
      </c>
      <c r="S437" s="512">
        <v>0</v>
      </c>
      <c r="T437" s="512">
        <v>1</v>
      </c>
      <c r="U437" s="512">
        <v>0</v>
      </c>
      <c r="V437" s="512">
        <v>0</v>
      </c>
      <c r="W437" s="512">
        <v>0</v>
      </c>
      <c r="X437" s="512">
        <v>0</v>
      </c>
      <c r="Y437" s="512">
        <v>0</v>
      </c>
      <c r="Z437" s="512">
        <v>1</v>
      </c>
      <c r="AA437" s="512">
        <v>0</v>
      </c>
      <c r="AB437" s="512">
        <v>1</v>
      </c>
      <c r="AC437" s="512">
        <v>1</v>
      </c>
    </row>
    <row r="438" spans="1:29">
      <c r="A438" s="458" t="s">
        <v>16</v>
      </c>
      <c r="B438" s="458" t="s">
        <v>531</v>
      </c>
      <c r="C438" s="504">
        <f>SUM(C431:C437)</f>
        <v>25</v>
      </c>
      <c r="D438" s="504">
        <f>SUM(D431:D437)</f>
        <v>0</v>
      </c>
      <c r="E438" s="504">
        <f t="shared" ref="E438" si="314">SUM(E431:E437)</f>
        <v>11</v>
      </c>
      <c r="F438" s="504">
        <f t="shared" ref="F438" si="315">SUM(F431:F437)</f>
        <v>2</v>
      </c>
      <c r="G438" s="504">
        <f t="shared" ref="G438" si="316">SUM(G431:G437)</f>
        <v>0</v>
      </c>
      <c r="H438" s="504">
        <f t="shared" ref="H438" si="317">SUM(H431:H437)</f>
        <v>0</v>
      </c>
      <c r="I438" s="504">
        <f t="shared" ref="I438" si="318">SUM(I431:I437)</f>
        <v>1</v>
      </c>
      <c r="J438" s="504">
        <f t="shared" ref="J438" si="319">SUM(J431:J437)</f>
        <v>0</v>
      </c>
      <c r="K438" s="504">
        <f t="shared" ref="K438" si="320">SUM(K431:K437)</f>
        <v>1</v>
      </c>
      <c r="L438" s="504">
        <f t="shared" ref="L438" si="321">SUM(L431:L437)</f>
        <v>0</v>
      </c>
      <c r="M438" s="504">
        <f t="shared" ref="M438" si="322">SUM(M431:M437)</f>
        <v>0</v>
      </c>
      <c r="N438" s="504">
        <f t="shared" ref="N438" si="323">SUM(N431:N437)</f>
        <v>1</v>
      </c>
      <c r="O438" s="504">
        <f t="shared" ref="O438" si="324">SUM(O431:O437)</f>
        <v>1</v>
      </c>
      <c r="P438" s="504">
        <f t="shared" ref="P438" si="325">SUM(P431:P437)</f>
        <v>2</v>
      </c>
      <c r="Q438" s="504">
        <f t="shared" ref="Q438" si="326">SUM(Q431:Q437)</f>
        <v>2</v>
      </c>
      <c r="R438" s="504">
        <f t="shared" ref="R438" si="327">SUM(R431:R437)</f>
        <v>0</v>
      </c>
      <c r="S438" s="504">
        <f t="shared" ref="S438" si="328">SUM(S431:S437)</f>
        <v>0</v>
      </c>
      <c r="T438" s="504">
        <f t="shared" ref="T438" si="329">SUM(T431:T437)</f>
        <v>1</v>
      </c>
      <c r="U438" s="504">
        <f t="shared" ref="U438" si="330">SUM(U431:U437)</f>
        <v>0</v>
      </c>
      <c r="V438" s="504">
        <f t="shared" ref="V438" si="331">SUM(V431:V437)</f>
        <v>0</v>
      </c>
      <c r="W438" s="504">
        <f t="shared" ref="W438" si="332">SUM(W431:W437)</f>
        <v>0</v>
      </c>
      <c r="X438" s="504">
        <f t="shared" ref="X438" si="333">SUM(X431:X437)</f>
        <v>0</v>
      </c>
      <c r="Y438" s="504">
        <f t="shared" ref="Y438" si="334">SUM(Y431:Y437)</f>
        <v>0</v>
      </c>
      <c r="Z438" s="504">
        <f t="shared" ref="Z438" si="335">SUM(Z431:Z437)</f>
        <v>1</v>
      </c>
      <c r="AA438" s="504">
        <f t="shared" ref="AA438" si="336">SUM(AA431:AA437)</f>
        <v>0</v>
      </c>
      <c r="AB438" s="504">
        <f t="shared" ref="AB438" si="337">SUM(AB431:AB437)</f>
        <v>1</v>
      </c>
      <c r="AC438" s="504">
        <f t="shared" ref="AC438" si="338">SUM(AC431:AC437)</f>
        <v>1</v>
      </c>
    </row>
    <row r="439" spans="1:29">
      <c r="A439" s="459" t="s">
        <v>617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c r="AC440" s="459"/>
    </row>
    <row r="441" spans="1:29">
      <c r="A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c r="AC441" s="459"/>
    </row>
    <row r="442" spans="1:29">
      <c r="A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c r="AC442" s="459"/>
    </row>
    <row r="443" spans="1:29" ht="15.6">
      <c r="A443" s="401" t="s">
        <v>636</v>
      </c>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c r="AC443" s="459"/>
    </row>
    <row r="444" spans="1:29">
      <c r="A444" s="131" t="s">
        <v>606</v>
      </c>
      <c r="B444" s="131" t="s">
        <v>64</v>
      </c>
      <c r="C444" s="131" t="str">
        <f>C430</f>
        <v>IE</v>
      </c>
      <c r="D444" s="131" t="str">
        <f t="shared" ref="D444:AC444" si="339">D430</f>
        <v>IE-CW</v>
      </c>
      <c r="E444" s="131" t="str">
        <f t="shared" si="339"/>
        <v>IE-D</v>
      </c>
      <c r="F444" s="131" t="str">
        <f t="shared" si="339"/>
        <v>IE-KE</v>
      </c>
      <c r="G444" s="131" t="str">
        <f t="shared" si="339"/>
        <v>IE-KK</v>
      </c>
      <c r="H444" s="131" t="str">
        <f t="shared" si="339"/>
        <v>IE-LS</v>
      </c>
      <c r="I444" s="131" t="str">
        <f t="shared" si="339"/>
        <v>IE-LD</v>
      </c>
      <c r="J444" s="131" t="str">
        <f t="shared" si="339"/>
        <v>IE-LH</v>
      </c>
      <c r="K444" s="131" t="str">
        <f t="shared" si="339"/>
        <v>IE-MH</v>
      </c>
      <c r="L444" s="131" t="str">
        <f t="shared" si="339"/>
        <v>IE-OY</v>
      </c>
      <c r="M444" s="131" t="str">
        <f t="shared" si="339"/>
        <v>IE-WH</v>
      </c>
      <c r="N444" s="131" t="str">
        <f t="shared" si="339"/>
        <v>IE-WX</v>
      </c>
      <c r="O444" s="131" t="str">
        <f t="shared" si="339"/>
        <v>IE-WW</v>
      </c>
      <c r="P444" s="131" t="str">
        <f t="shared" si="339"/>
        <v>IE-CE</v>
      </c>
      <c r="Q444" s="131" t="str">
        <f t="shared" si="339"/>
        <v>IE-CO</v>
      </c>
      <c r="R444" s="131" t="str">
        <f t="shared" si="339"/>
        <v>IE-KY</v>
      </c>
      <c r="S444" s="131" t="str">
        <f t="shared" si="339"/>
        <v>IE-LK</v>
      </c>
      <c r="T444" s="131" t="str">
        <f t="shared" si="339"/>
        <v>IE-TA</v>
      </c>
      <c r="U444" s="131" t="str">
        <f t="shared" si="339"/>
        <v>IE-WD</v>
      </c>
      <c r="V444" s="131" t="str">
        <f t="shared" si="339"/>
        <v>IE-G</v>
      </c>
      <c r="W444" s="131" t="str">
        <f t="shared" si="339"/>
        <v>IE-LM</v>
      </c>
      <c r="X444" s="131" t="str">
        <f t="shared" si="339"/>
        <v>IE-MO</v>
      </c>
      <c r="Y444" s="131" t="str">
        <f t="shared" si="339"/>
        <v>IE-RN</v>
      </c>
      <c r="Z444" s="131" t="str">
        <f t="shared" si="339"/>
        <v>IE-SO</v>
      </c>
      <c r="AA444" s="131" t="str">
        <f t="shared" si="339"/>
        <v>IE-CN</v>
      </c>
      <c r="AB444" s="131" t="str">
        <f t="shared" si="339"/>
        <v>IE-DL</v>
      </c>
      <c r="AC444" s="131" t="str">
        <f t="shared" si="339"/>
        <v>IE-MN</v>
      </c>
    </row>
    <row r="445" spans="1:29">
      <c r="A445" s="459" t="s">
        <v>345</v>
      </c>
      <c r="B445" s="507" t="s">
        <v>610</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459" t="s">
        <v>346</v>
      </c>
      <c r="B446" s="1" t="s">
        <v>610</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459" t="s">
        <v>347</v>
      </c>
      <c r="B447" s="1" t="s">
        <v>610</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459" t="s">
        <v>348</v>
      </c>
      <c r="B448" s="1" t="s">
        <v>610</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459" t="s">
        <v>349</v>
      </c>
      <c r="B449" s="1" t="s">
        <v>610</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459" t="s">
        <v>350</v>
      </c>
      <c r="B450" s="1" t="s">
        <v>610</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459" t="s">
        <v>351</v>
      </c>
      <c r="B451" s="1" t="s">
        <v>610</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458" t="s">
        <v>16</v>
      </c>
      <c r="B452" s="458" t="s">
        <v>610</v>
      </c>
      <c r="C452" s="403">
        <f t="shared" ref="C452:AC452" si="342">SUM(C445:C451)</f>
        <v>1</v>
      </c>
      <c r="D452" s="403" t="e">
        <f t="shared" si="342"/>
        <v>#DIV/0!</v>
      </c>
      <c r="E452" s="403">
        <f t="shared" si="342"/>
        <v>1</v>
      </c>
      <c r="F452" s="403">
        <f t="shared" si="342"/>
        <v>1</v>
      </c>
      <c r="G452" s="403" t="e">
        <f t="shared" si="342"/>
        <v>#DIV/0!</v>
      </c>
      <c r="H452" s="403" t="e">
        <f t="shared" si="342"/>
        <v>#DIV/0!</v>
      </c>
      <c r="I452" s="403">
        <f t="shared" si="342"/>
        <v>1</v>
      </c>
      <c r="J452" s="403" t="e">
        <f t="shared" si="342"/>
        <v>#DIV/0!</v>
      </c>
      <c r="K452" s="403">
        <f t="shared" si="342"/>
        <v>1</v>
      </c>
      <c r="L452" s="403" t="e">
        <f t="shared" si="342"/>
        <v>#DIV/0!</v>
      </c>
      <c r="M452" s="403" t="e">
        <f t="shared" si="342"/>
        <v>#DIV/0!</v>
      </c>
      <c r="N452" s="403">
        <f t="shared" si="342"/>
        <v>1</v>
      </c>
      <c r="O452" s="403">
        <f t="shared" si="342"/>
        <v>1</v>
      </c>
      <c r="P452" s="403">
        <f t="shared" si="342"/>
        <v>1</v>
      </c>
      <c r="Q452" s="403">
        <f t="shared" si="342"/>
        <v>1</v>
      </c>
      <c r="R452" s="403" t="e">
        <f t="shared" si="342"/>
        <v>#DIV/0!</v>
      </c>
      <c r="S452" s="403" t="e">
        <f t="shared" si="342"/>
        <v>#DIV/0!</v>
      </c>
      <c r="T452" s="403">
        <f t="shared" si="342"/>
        <v>1</v>
      </c>
      <c r="U452" s="403" t="e">
        <f t="shared" si="342"/>
        <v>#DIV/0!</v>
      </c>
      <c r="V452" s="403" t="e">
        <f t="shared" si="342"/>
        <v>#DIV/0!</v>
      </c>
      <c r="W452" s="403" t="e">
        <f t="shared" si="342"/>
        <v>#DIV/0!</v>
      </c>
      <c r="X452" s="403" t="e">
        <f t="shared" si="342"/>
        <v>#DIV/0!</v>
      </c>
      <c r="Y452" s="403" t="e">
        <f t="shared" si="342"/>
        <v>#DIV/0!</v>
      </c>
      <c r="Z452" s="403">
        <f t="shared" si="342"/>
        <v>1</v>
      </c>
      <c r="AA452" s="403" t="e">
        <f t="shared" si="342"/>
        <v>#DIV/0!</v>
      </c>
      <c r="AB452" s="403">
        <f t="shared" si="342"/>
        <v>1</v>
      </c>
      <c r="AC452" s="403">
        <f t="shared" si="342"/>
        <v>1</v>
      </c>
    </row>
    <row r="453" spans="1:29">
      <c r="A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c r="AC453" s="459"/>
    </row>
    <row r="454" spans="1:29">
      <c r="A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c r="AC454" s="459"/>
    </row>
    <row r="455" spans="1:29">
      <c r="A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c r="AC455" s="459"/>
    </row>
    <row r="456" spans="1:29" ht="15.6">
      <c r="A456" s="425" t="s">
        <v>637</v>
      </c>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c r="AC456" s="459"/>
    </row>
    <row r="457" spans="1:29">
      <c r="A457" s="131" t="s">
        <v>606</v>
      </c>
      <c r="B457" s="131" t="s">
        <v>64</v>
      </c>
      <c r="C457" s="131" t="str">
        <f>C444</f>
        <v>IE</v>
      </c>
      <c r="D457" s="131" t="str">
        <f t="shared" ref="D457:AC457" si="343">D444</f>
        <v>IE-CW</v>
      </c>
      <c r="E457" s="131" t="str">
        <f t="shared" si="343"/>
        <v>IE-D</v>
      </c>
      <c r="F457" s="131" t="str">
        <f t="shared" si="343"/>
        <v>IE-KE</v>
      </c>
      <c r="G457" s="131" t="str">
        <f t="shared" si="343"/>
        <v>IE-KK</v>
      </c>
      <c r="H457" s="131" t="str">
        <f t="shared" si="343"/>
        <v>IE-LS</v>
      </c>
      <c r="I457" s="131" t="str">
        <f t="shared" si="343"/>
        <v>IE-LD</v>
      </c>
      <c r="J457" s="131" t="str">
        <f t="shared" si="343"/>
        <v>IE-LH</v>
      </c>
      <c r="K457" s="131" t="str">
        <f t="shared" si="343"/>
        <v>IE-MH</v>
      </c>
      <c r="L457" s="131" t="str">
        <f t="shared" si="343"/>
        <v>IE-OY</v>
      </c>
      <c r="M457" s="131" t="str">
        <f t="shared" si="343"/>
        <v>IE-WH</v>
      </c>
      <c r="N457" s="131" t="str">
        <f t="shared" si="343"/>
        <v>IE-WX</v>
      </c>
      <c r="O457" s="131" t="str">
        <f t="shared" si="343"/>
        <v>IE-WW</v>
      </c>
      <c r="P457" s="131" t="str">
        <f t="shared" si="343"/>
        <v>IE-CE</v>
      </c>
      <c r="Q457" s="131" t="str">
        <f t="shared" si="343"/>
        <v>IE-CO</v>
      </c>
      <c r="R457" s="131" t="str">
        <f t="shared" si="343"/>
        <v>IE-KY</v>
      </c>
      <c r="S457" s="131" t="str">
        <f t="shared" si="343"/>
        <v>IE-LK</v>
      </c>
      <c r="T457" s="131" t="str">
        <f t="shared" si="343"/>
        <v>IE-TA</v>
      </c>
      <c r="U457" s="131" t="str">
        <f t="shared" si="343"/>
        <v>IE-WD</v>
      </c>
      <c r="V457" s="131" t="str">
        <f t="shared" si="343"/>
        <v>IE-G</v>
      </c>
      <c r="W457" s="131" t="str">
        <f t="shared" si="343"/>
        <v>IE-LM</v>
      </c>
      <c r="X457" s="131" t="str">
        <f t="shared" si="343"/>
        <v>IE-MO</v>
      </c>
      <c r="Y457" s="131" t="str">
        <f t="shared" si="343"/>
        <v>IE-RN</v>
      </c>
      <c r="Z457" s="131" t="str">
        <f t="shared" si="343"/>
        <v>IE-SO</v>
      </c>
      <c r="AA457" s="131" t="str">
        <f t="shared" si="343"/>
        <v>IE-CN</v>
      </c>
      <c r="AB457" s="131" t="str">
        <f t="shared" si="343"/>
        <v>IE-DL</v>
      </c>
      <c r="AC457" s="131" t="str">
        <f t="shared" si="343"/>
        <v>IE-MN</v>
      </c>
    </row>
    <row r="458" spans="1:29">
      <c r="A458" s="459" t="s">
        <v>345</v>
      </c>
      <c r="B458" s="459" t="s">
        <v>611</v>
      </c>
      <c r="C458" s="509">
        <v>0.89420463139996986</v>
      </c>
      <c r="D458" s="509">
        <v>0.89420463139996986</v>
      </c>
      <c r="E458" s="509">
        <v>0.89420463139996986</v>
      </c>
      <c r="F458" s="509">
        <v>0.89420463139996986</v>
      </c>
      <c r="G458" s="509">
        <v>0.89420463139996986</v>
      </c>
      <c r="H458" s="509">
        <v>0.89420463139996986</v>
      </c>
      <c r="I458" s="509">
        <v>0.89420463139996986</v>
      </c>
      <c r="J458" s="509">
        <v>0.89420463139996986</v>
      </c>
      <c r="K458" s="509">
        <v>0.89420463139996986</v>
      </c>
      <c r="L458" s="509">
        <v>0.89420463139996986</v>
      </c>
      <c r="M458" s="509">
        <v>0.89420463139996986</v>
      </c>
      <c r="N458" s="509">
        <v>0.89420463139996986</v>
      </c>
      <c r="O458" s="509">
        <v>0.89420463139996986</v>
      </c>
      <c r="P458" s="509">
        <v>0.89420463139996986</v>
      </c>
      <c r="Q458" s="509">
        <v>0.89420463139996986</v>
      </c>
      <c r="R458" s="509">
        <v>0.89420463139996986</v>
      </c>
      <c r="S458" s="509">
        <v>0.89420463139996986</v>
      </c>
      <c r="T458" s="509">
        <v>0.89420463139996986</v>
      </c>
      <c r="U458" s="509">
        <v>0.89420463139996986</v>
      </c>
      <c r="V458" s="509">
        <v>0.89420463139996986</v>
      </c>
      <c r="W458" s="509">
        <v>0.89420463139996986</v>
      </c>
      <c r="X458" s="509">
        <v>0.89420463139996986</v>
      </c>
      <c r="Y458" s="509">
        <v>0.89420463139996986</v>
      </c>
      <c r="Z458" s="509">
        <v>0.89420463139996986</v>
      </c>
      <c r="AA458" s="509">
        <v>0.89420463139996986</v>
      </c>
      <c r="AB458" s="509">
        <v>0.89420463139996986</v>
      </c>
      <c r="AC458" s="509">
        <v>0.89420463139996986</v>
      </c>
    </row>
    <row r="459" spans="1:29">
      <c r="A459" s="459" t="s">
        <v>346</v>
      </c>
      <c r="B459" s="459" t="s">
        <v>611</v>
      </c>
      <c r="C459" s="509">
        <v>0.89549213686135043</v>
      </c>
      <c r="D459" s="509">
        <v>0.89549213686135043</v>
      </c>
      <c r="E459" s="509">
        <v>0.89549213686135043</v>
      </c>
      <c r="F459" s="509">
        <v>0.89549213686135043</v>
      </c>
      <c r="G459" s="509">
        <v>0.89549213686135043</v>
      </c>
      <c r="H459" s="509">
        <v>0.89549213686135043</v>
      </c>
      <c r="I459" s="509">
        <v>0.89549213686135043</v>
      </c>
      <c r="J459" s="509">
        <v>0.89549213686135043</v>
      </c>
      <c r="K459" s="509">
        <v>0.89549213686135043</v>
      </c>
      <c r="L459" s="509">
        <v>0.89549213686135043</v>
      </c>
      <c r="M459" s="509">
        <v>0.89549213686135043</v>
      </c>
      <c r="N459" s="509">
        <v>0.89549213686135043</v>
      </c>
      <c r="O459" s="509">
        <v>0.89549213686135043</v>
      </c>
      <c r="P459" s="509">
        <v>0.89549213686135043</v>
      </c>
      <c r="Q459" s="509">
        <v>0.89549213686135043</v>
      </c>
      <c r="R459" s="509">
        <v>0.89549213686135043</v>
      </c>
      <c r="S459" s="509">
        <v>0.89549213686135043</v>
      </c>
      <c r="T459" s="509">
        <v>0.89549213686135043</v>
      </c>
      <c r="U459" s="509">
        <v>0.89549213686135043</v>
      </c>
      <c r="V459" s="509">
        <v>0.89549213686135043</v>
      </c>
      <c r="W459" s="509">
        <v>0.89549213686135043</v>
      </c>
      <c r="X459" s="509">
        <v>0.89549213686135043</v>
      </c>
      <c r="Y459" s="509">
        <v>0.89549213686135043</v>
      </c>
      <c r="Z459" s="509">
        <v>0.89549213686135043</v>
      </c>
      <c r="AA459" s="509">
        <v>0.89549213686135043</v>
      </c>
      <c r="AB459" s="509">
        <v>0.89549213686135043</v>
      </c>
      <c r="AC459" s="509">
        <v>0.89549213686135043</v>
      </c>
    </row>
    <row r="460" spans="1:29">
      <c r="A460" s="459" t="s">
        <v>347</v>
      </c>
      <c r="B460" s="459" t="s">
        <v>611</v>
      </c>
      <c r="C460" s="509">
        <v>0.88898830526723482</v>
      </c>
      <c r="D460" s="509">
        <v>0.88898830526723482</v>
      </c>
      <c r="E460" s="509">
        <v>0.88898830526723482</v>
      </c>
      <c r="F460" s="509">
        <v>0.88898830526723482</v>
      </c>
      <c r="G460" s="509">
        <v>0.88898830526723482</v>
      </c>
      <c r="H460" s="509">
        <v>0.88898830526723482</v>
      </c>
      <c r="I460" s="509">
        <v>0.88898830526723482</v>
      </c>
      <c r="J460" s="509">
        <v>0.88898830526723482</v>
      </c>
      <c r="K460" s="509">
        <v>0.88898830526723482</v>
      </c>
      <c r="L460" s="509">
        <v>0.88898830526723482</v>
      </c>
      <c r="M460" s="509">
        <v>0.88898830526723482</v>
      </c>
      <c r="N460" s="509">
        <v>0.88898830526723482</v>
      </c>
      <c r="O460" s="509">
        <v>0.88898830526723482</v>
      </c>
      <c r="P460" s="509">
        <v>0.88898830526723482</v>
      </c>
      <c r="Q460" s="509">
        <v>0.88898830526723482</v>
      </c>
      <c r="R460" s="509">
        <v>0.88898830526723482</v>
      </c>
      <c r="S460" s="509">
        <v>0.88898830526723482</v>
      </c>
      <c r="T460" s="509">
        <v>0.88898830526723482</v>
      </c>
      <c r="U460" s="509">
        <v>0.88898830526723482</v>
      </c>
      <c r="V460" s="509">
        <v>0.88898830526723482</v>
      </c>
      <c r="W460" s="509">
        <v>0.88898830526723482</v>
      </c>
      <c r="X460" s="509">
        <v>0.88898830526723482</v>
      </c>
      <c r="Y460" s="509">
        <v>0.88898830526723482</v>
      </c>
      <c r="Z460" s="509">
        <v>0.88898830526723482</v>
      </c>
      <c r="AA460" s="509">
        <v>0.88898830526723482</v>
      </c>
      <c r="AB460" s="509">
        <v>0.88898830526723482</v>
      </c>
      <c r="AC460" s="509">
        <v>0.88898830526723482</v>
      </c>
    </row>
    <row r="461" spans="1:29">
      <c r="A461" s="459" t="s">
        <v>348</v>
      </c>
      <c r="B461" s="459" t="s">
        <v>611</v>
      </c>
      <c r="C461" s="509">
        <v>0.91515513280315741</v>
      </c>
      <c r="D461" s="509">
        <v>0.91515513280315741</v>
      </c>
      <c r="E461" s="509">
        <v>0.91515513280315741</v>
      </c>
      <c r="F461" s="509">
        <v>0.91515513280315741</v>
      </c>
      <c r="G461" s="509">
        <v>0.91515513280315741</v>
      </c>
      <c r="H461" s="509">
        <v>0.91515513280315741</v>
      </c>
      <c r="I461" s="509">
        <v>0.91515513280315741</v>
      </c>
      <c r="J461" s="509">
        <v>0.91515513280315741</v>
      </c>
      <c r="K461" s="509">
        <v>0.91515513280315741</v>
      </c>
      <c r="L461" s="509">
        <v>0.91515513280315741</v>
      </c>
      <c r="M461" s="509">
        <v>0.91515513280315741</v>
      </c>
      <c r="N461" s="509">
        <v>0.91515513280315741</v>
      </c>
      <c r="O461" s="509">
        <v>0.91515513280315741</v>
      </c>
      <c r="P461" s="509">
        <v>0.91515513280315741</v>
      </c>
      <c r="Q461" s="509">
        <v>0.91515513280315741</v>
      </c>
      <c r="R461" s="509">
        <v>0.91515513280315741</v>
      </c>
      <c r="S461" s="509">
        <v>0.91515513280315741</v>
      </c>
      <c r="T461" s="509">
        <v>0.91515513280315741</v>
      </c>
      <c r="U461" s="509">
        <v>0.91515513280315741</v>
      </c>
      <c r="V461" s="509">
        <v>0.91515513280315741</v>
      </c>
      <c r="W461" s="509">
        <v>0.91515513280315741</v>
      </c>
      <c r="X461" s="509">
        <v>0.91515513280315741</v>
      </c>
      <c r="Y461" s="509">
        <v>0.91515513280315741</v>
      </c>
      <c r="Z461" s="509">
        <v>0.91515513280315741</v>
      </c>
      <c r="AA461" s="509">
        <v>0.91515513280315741</v>
      </c>
      <c r="AB461" s="509">
        <v>0.91515513280315741</v>
      </c>
      <c r="AC461" s="509">
        <v>0.91515513280315741</v>
      </c>
    </row>
    <row r="462" spans="1:29">
      <c r="A462" s="459" t="s">
        <v>349</v>
      </c>
      <c r="B462" s="459" t="s">
        <v>611</v>
      </c>
      <c r="C462" s="509">
        <v>0.99212392375028091</v>
      </c>
      <c r="D462" s="509">
        <v>0.99212392375028091</v>
      </c>
      <c r="E462" s="509">
        <v>0.99212392375028091</v>
      </c>
      <c r="F462" s="509">
        <v>0.99212392375028091</v>
      </c>
      <c r="G462" s="509">
        <v>0.99212392375028091</v>
      </c>
      <c r="H462" s="509">
        <v>0.99212392375028091</v>
      </c>
      <c r="I462" s="509">
        <v>0.99212392375028091</v>
      </c>
      <c r="J462" s="509">
        <v>0.99212392375028091</v>
      </c>
      <c r="K462" s="509">
        <v>0.99212392375028091</v>
      </c>
      <c r="L462" s="509">
        <v>0.99212392375028091</v>
      </c>
      <c r="M462" s="509">
        <v>0.99212392375028091</v>
      </c>
      <c r="N462" s="509">
        <v>0.99212392375028091</v>
      </c>
      <c r="O462" s="509">
        <v>0.99212392375028091</v>
      </c>
      <c r="P462" s="509">
        <v>0.99212392375028091</v>
      </c>
      <c r="Q462" s="509">
        <v>0.99212392375028091</v>
      </c>
      <c r="R462" s="509">
        <v>0.99212392375028091</v>
      </c>
      <c r="S462" s="509">
        <v>0.99212392375028091</v>
      </c>
      <c r="T462" s="509">
        <v>0.99212392375028091</v>
      </c>
      <c r="U462" s="509">
        <v>0.99212392375028091</v>
      </c>
      <c r="V462" s="509">
        <v>0.99212392375028091</v>
      </c>
      <c r="W462" s="509">
        <v>0.99212392375028091</v>
      </c>
      <c r="X462" s="509">
        <v>0.99212392375028091</v>
      </c>
      <c r="Y462" s="509">
        <v>0.99212392375028091</v>
      </c>
      <c r="Z462" s="509">
        <v>0.99212392375028091</v>
      </c>
      <c r="AA462" s="509">
        <v>0.99212392375028091</v>
      </c>
      <c r="AB462" s="509">
        <v>0.99212392375028091</v>
      </c>
      <c r="AC462" s="509">
        <v>0.99212392375028091</v>
      </c>
    </row>
    <row r="463" spans="1:29">
      <c r="A463" s="459" t="s">
        <v>350</v>
      </c>
      <c r="B463" s="459" t="s">
        <v>611</v>
      </c>
      <c r="C463" s="509">
        <v>1.0153132420731179</v>
      </c>
      <c r="D463" s="509">
        <v>1.0153132420731179</v>
      </c>
      <c r="E463" s="509">
        <v>1.0153132420731179</v>
      </c>
      <c r="F463" s="509">
        <v>1.0153132420731179</v>
      </c>
      <c r="G463" s="509">
        <v>1.0153132420731179</v>
      </c>
      <c r="H463" s="509">
        <v>1.0153132420731179</v>
      </c>
      <c r="I463" s="509">
        <v>1.0153132420731179</v>
      </c>
      <c r="J463" s="509">
        <v>1.0153132420731179</v>
      </c>
      <c r="K463" s="509">
        <v>1.0153132420731179</v>
      </c>
      <c r="L463" s="509">
        <v>1.0153132420731179</v>
      </c>
      <c r="M463" s="509">
        <v>1.0153132420731179</v>
      </c>
      <c r="N463" s="509">
        <v>1.0153132420731179</v>
      </c>
      <c r="O463" s="509">
        <v>1.0153132420731179</v>
      </c>
      <c r="P463" s="509">
        <v>1.0153132420731179</v>
      </c>
      <c r="Q463" s="509">
        <v>1.0153132420731179</v>
      </c>
      <c r="R463" s="509">
        <v>1.0153132420731179</v>
      </c>
      <c r="S463" s="509">
        <v>1.0153132420731179</v>
      </c>
      <c r="T463" s="509">
        <v>1.0153132420731179</v>
      </c>
      <c r="U463" s="509">
        <v>1.0153132420731179</v>
      </c>
      <c r="V463" s="509">
        <v>1.0153132420731179</v>
      </c>
      <c r="W463" s="509">
        <v>1.0153132420731179</v>
      </c>
      <c r="X463" s="509">
        <v>1.0153132420731179</v>
      </c>
      <c r="Y463" s="509">
        <v>1.0153132420731179</v>
      </c>
      <c r="Z463" s="509">
        <v>1.0153132420731179</v>
      </c>
      <c r="AA463" s="509">
        <v>1.0153132420731179</v>
      </c>
      <c r="AB463" s="509">
        <v>1.0153132420731179</v>
      </c>
      <c r="AC463" s="509">
        <v>1.0153132420731179</v>
      </c>
    </row>
    <row r="464" spans="1:29">
      <c r="A464" s="458" t="s">
        <v>351</v>
      </c>
      <c r="B464" s="458" t="s">
        <v>611</v>
      </c>
      <c r="C464" s="514">
        <v>1.0969120942538386</v>
      </c>
      <c r="D464" s="514">
        <v>1.0969120942538386</v>
      </c>
      <c r="E464" s="514">
        <v>1.0969120942538386</v>
      </c>
      <c r="F464" s="514">
        <v>1.0969120942538386</v>
      </c>
      <c r="G464" s="514">
        <v>1.0969120942538386</v>
      </c>
      <c r="H464" s="514">
        <v>1.0969120942538386</v>
      </c>
      <c r="I464" s="514">
        <v>1.0969120942538386</v>
      </c>
      <c r="J464" s="514">
        <v>1.0969120942538386</v>
      </c>
      <c r="K464" s="514">
        <v>1.0969120942538386</v>
      </c>
      <c r="L464" s="514">
        <v>1.0969120942538386</v>
      </c>
      <c r="M464" s="514">
        <v>1.0969120942538386</v>
      </c>
      <c r="N464" s="514">
        <v>1.0969120942538386</v>
      </c>
      <c r="O464" s="514">
        <v>1.0969120942538386</v>
      </c>
      <c r="P464" s="514">
        <v>1.0969120942538386</v>
      </c>
      <c r="Q464" s="514">
        <v>1.0969120942538386</v>
      </c>
      <c r="R464" s="514">
        <v>1.0969120942538386</v>
      </c>
      <c r="S464" s="514">
        <v>1.0969120942538386</v>
      </c>
      <c r="T464" s="514">
        <v>1.0969120942538386</v>
      </c>
      <c r="U464" s="514">
        <v>1.0969120942538386</v>
      </c>
      <c r="V464" s="514">
        <v>1.0969120942538386</v>
      </c>
      <c r="W464" s="514">
        <v>1.0969120942538386</v>
      </c>
      <c r="X464" s="514">
        <v>1.0969120942538386</v>
      </c>
      <c r="Y464" s="514">
        <v>1.0969120942538386</v>
      </c>
      <c r="Z464" s="514">
        <v>1.0969120942538386</v>
      </c>
      <c r="AA464" s="514">
        <v>1.0969120942538386</v>
      </c>
      <c r="AB464" s="514">
        <v>1.0969120942538386</v>
      </c>
      <c r="AC464" s="514">
        <v>1.0969120942538386</v>
      </c>
    </row>
    <row r="465" spans="1:29">
      <c r="A465" s="510" t="s">
        <v>615</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c r="AC466" s="459"/>
    </row>
    <row r="467" spans="1:29">
      <c r="A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c r="AC467" s="459"/>
    </row>
    <row r="468" spans="1:29">
      <c r="A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c r="AC468" s="459"/>
    </row>
    <row r="469" spans="1:29" ht="15.6">
      <c r="A469" s="425" t="s">
        <v>637</v>
      </c>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c r="AC469" s="459"/>
    </row>
    <row r="470" spans="1:29">
      <c r="A470" s="131" t="s">
        <v>606</v>
      </c>
      <c r="B470" s="131" t="s">
        <v>64</v>
      </c>
      <c r="C470" s="131" t="str">
        <f>C457</f>
        <v>IE</v>
      </c>
      <c r="D470" s="131" t="str">
        <f t="shared" ref="D470:AC470" si="344">D457</f>
        <v>IE-CW</v>
      </c>
      <c r="E470" s="131" t="str">
        <f t="shared" si="344"/>
        <v>IE-D</v>
      </c>
      <c r="F470" s="131" t="str">
        <f t="shared" si="344"/>
        <v>IE-KE</v>
      </c>
      <c r="G470" s="131" t="str">
        <f t="shared" si="344"/>
        <v>IE-KK</v>
      </c>
      <c r="H470" s="131" t="str">
        <f t="shared" si="344"/>
        <v>IE-LS</v>
      </c>
      <c r="I470" s="131" t="str">
        <f t="shared" si="344"/>
        <v>IE-LD</v>
      </c>
      <c r="J470" s="131" t="str">
        <f t="shared" si="344"/>
        <v>IE-LH</v>
      </c>
      <c r="K470" s="131" t="str">
        <f t="shared" si="344"/>
        <v>IE-MH</v>
      </c>
      <c r="L470" s="131" t="str">
        <f t="shared" si="344"/>
        <v>IE-OY</v>
      </c>
      <c r="M470" s="131" t="str">
        <f t="shared" si="344"/>
        <v>IE-WH</v>
      </c>
      <c r="N470" s="131" t="str">
        <f t="shared" si="344"/>
        <v>IE-WX</v>
      </c>
      <c r="O470" s="131" t="str">
        <f t="shared" si="344"/>
        <v>IE-WW</v>
      </c>
      <c r="P470" s="131" t="str">
        <f t="shared" si="344"/>
        <v>IE-CE</v>
      </c>
      <c r="Q470" s="131" t="str">
        <f t="shared" si="344"/>
        <v>IE-CO</v>
      </c>
      <c r="R470" s="131" t="str">
        <f t="shared" si="344"/>
        <v>IE-KY</v>
      </c>
      <c r="S470" s="131" t="str">
        <f t="shared" si="344"/>
        <v>IE-LK</v>
      </c>
      <c r="T470" s="131" t="str">
        <f t="shared" si="344"/>
        <v>IE-TA</v>
      </c>
      <c r="U470" s="131" t="str">
        <f t="shared" si="344"/>
        <v>IE-WD</v>
      </c>
      <c r="V470" s="131" t="str">
        <f t="shared" si="344"/>
        <v>IE-G</v>
      </c>
      <c r="W470" s="131" t="str">
        <f t="shared" si="344"/>
        <v>IE-LM</v>
      </c>
      <c r="X470" s="131" t="str">
        <f t="shared" si="344"/>
        <v>IE-MO</v>
      </c>
      <c r="Y470" s="131" t="str">
        <f t="shared" si="344"/>
        <v>IE-RN</v>
      </c>
      <c r="Z470" s="131" t="str">
        <f t="shared" si="344"/>
        <v>IE-SO</v>
      </c>
      <c r="AA470" s="131" t="str">
        <f t="shared" si="344"/>
        <v>IE-CN</v>
      </c>
      <c r="AB470" s="131" t="str">
        <f t="shared" si="344"/>
        <v>IE-DL</v>
      </c>
      <c r="AC470" s="131" t="str">
        <f t="shared" si="344"/>
        <v>IE-MN</v>
      </c>
    </row>
    <row r="471" spans="1:29">
      <c r="A471" s="459" t="s">
        <v>627</v>
      </c>
      <c r="B471" s="459" t="s">
        <v>611</v>
      </c>
      <c r="C471" s="505">
        <f>SUMPRODUCT(C445:C451,C458:C464)</f>
        <v>1.090384186079381</v>
      </c>
      <c r="D471" s="505">
        <f>IF(D438&gt;1,SUMPRODUCT(D445:D451,D458:D464),$C$230)</f>
        <v>1.9907750239914981</v>
      </c>
      <c r="E471" s="505">
        <f t="shared" ref="E471:AC471" si="345">IF(E438&gt;1,SUMPRODUCT(E445:E451,E458:E464),$C$230)</f>
        <v>1.0820759393118895</v>
      </c>
      <c r="F471" s="505">
        <f t="shared" si="345"/>
        <v>1.0969120942538386</v>
      </c>
      <c r="G471" s="505">
        <f t="shared" si="345"/>
        <v>1.9907750239914981</v>
      </c>
      <c r="H471" s="505">
        <f t="shared" si="345"/>
        <v>1.9907750239914981</v>
      </c>
      <c r="I471" s="505">
        <f t="shared" si="345"/>
        <v>1.9907750239914981</v>
      </c>
      <c r="J471" s="505">
        <f t="shared" si="345"/>
        <v>1.9907750239914981</v>
      </c>
      <c r="K471" s="505">
        <f t="shared" si="345"/>
        <v>1.9907750239914981</v>
      </c>
      <c r="L471" s="505">
        <f t="shared" si="345"/>
        <v>1.9907750239914981</v>
      </c>
      <c r="M471" s="505">
        <f t="shared" si="345"/>
        <v>1.9907750239914981</v>
      </c>
      <c r="N471" s="505">
        <f t="shared" si="345"/>
        <v>1.9907750239914981</v>
      </c>
      <c r="O471" s="505">
        <f t="shared" si="345"/>
        <v>1.9907750239914981</v>
      </c>
      <c r="P471" s="505">
        <f t="shared" si="345"/>
        <v>1.0969120942538386</v>
      </c>
      <c r="Q471" s="505">
        <f t="shared" si="345"/>
        <v>1.0969120942538386</v>
      </c>
      <c r="R471" s="505">
        <f t="shared" si="345"/>
        <v>1.9907750239914981</v>
      </c>
      <c r="S471" s="505">
        <f t="shared" si="345"/>
        <v>1.9907750239914981</v>
      </c>
      <c r="T471" s="505">
        <f t="shared" si="345"/>
        <v>1.9907750239914981</v>
      </c>
      <c r="U471" s="505">
        <f t="shared" si="345"/>
        <v>1.9907750239914981</v>
      </c>
      <c r="V471" s="505">
        <f t="shared" si="345"/>
        <v>1.9907750239914981</v>
      </c>
      <c r="W471" s="505">
        <f t="shared" si="345"/>
        <v>1.9907750239914981</v>
      </c>
      <c r="X471" s="505">
        <f t="shared" si="345"/>
        <v>1.9907750239914981</v>
      </c>
      <c r="Y471" s="505">
        <f t="shared" si="345"/>
        <v>1.9907750239914981</v>
      </c>
      <c r="Z471" s="505">
        <f t="shared" si="345"/>
        <v>1.9907750239914981</v>
      </c>
      <c r="AA471" s="505">
        <f t="shared" si="345"/>
        <v>1.9907750239914981</v>
      </c>
      <c r="AB471" s="505">
        <f t="shared" si="345"/>
        <v>1.9907750239914981</v>
      </c>
      <c r="AC471" s="505">
        <f t="shared" si="345"/>
        <v>1.9907750239914981</v>
      </c>
    </row>
    <row r="472" spans="1:29">
      <c r="A472" s="458"/>
      <c r="B472" s="458" t="s">
        <v>599</v>
      </c>
      <c r="C472" s="508">
        <f>1000/C471</f>
        <v>917.10794485715246</v>
      </c>
      <c r="D472" s="508">
        <f>1000/D471</f>
        <v>502.31693081772892</v>
      </c>
      <c r="E472" s="508">
        <f>1000/E471</f>
        <v>924.1495570411787</v>
      </c>
      <c r="F472" s="508">
        <f>1000/F471</f>
        <v>911.65008138618259</v>
      </c>
      <c r="G472" s="508">
        <f t="shared" ref="G472" si="346">1000/G471</f>
        <v>502.31693081772892</v>
      </c>
      <c r="H472" s="508">
        <f t="shared" ref="H472" si="347">1000/H471</f>
        <v>502.31693081772892</v>
      </c>
      <c r="I472" s="508">
        <f t="shared" ref="I472" si="348">1000/I471</f>
        <v>502.31693081772892</v>
      </c>
      <c r="J472" s="508">
        <f t="shared" ref="J472" si="349">1000/J471</f>
        <v>502.31693081772892</v>
      </c>
      <c r="K472" s="508">
        <f t="shared" ref="K472" si="350">1000/K471</f>
        <v>502.31693081772892</v>
      </c>
      <c r="L472" s="508">
        <f t="shared" ref="L472" si="351">1000/L471</f>
        <v>502.31693081772892</v>
      </c>
      <c r="M472" s="508">
        <f t="shared" ref="M472" si="352">1000/M471</f>
        <v>502.31693081772892</v>
      </c>
      <c r="N472" s="508">
        <f t="shared" ref="N472" si="353">1000/N471</f>
        <v>502.31693081772892</v>
      </c>
      <c r="O472" s="508">
        <f t="shared" ref="O472" si="354">1000/O471</f>
        <v>502.31693081772892</v>
      </c>
      <c r="P472" s="508">
        <f t="shared" ref="P472" si="355">1000/P471</f>
        <v>911.65008138618259</v>
      </c>
      <c r="Q472" s="508">
        <f t="shared" ref="Q472" si="356">1000/Q471</f>
        <v>911.65008138618259</v>
      </c>
      <c r="R472" s="508">
        <f t="shared" ref="R472" si="357">1000/R471</f>
        <v>502.31693081772892</v>
      </c>
      <c r="S472" s="508">
        <f t="shared" ref="S472" si="358">1000/S471</f>
        <v>502.31693081772892</v>
      </c>
      <c r="T472" s="508">
        <f t="shared" ref="T472" si="359">1000/T471</f>
        <v>502.31693081772892</v>
      </c>
      <c r="U472" s="508">
        <f t="shared" ref="U472" si="360">1000/U471</f>
        <v>502.31693081772892</v>
      </c>
      <c r="V472" s="508">
        <f t="shared" ref="V472" si="361">1000/V471</f>
        <v>502.31693081772892</v>
      </c>
      <c r="W472" s="508">
        <f t="shared" ref="W472" si="362">1000/W471</f>
        <v>502.31693081772892</v>
      </c>
      <c r="X472" s="508">
        <f t="shared" ref="X472" si="363">1000/X471</f>
        <v>502.31693081772892</v>
      </c>
      <c r="Y472" s="508">
        <f t="shared" ref="Y472" si="364">1000/Y471</f>
        <v>502.31693081772892</v>
      </c>
      <c r="Z472" s="508">
        <f t="shared" ref="Z472" si="365">1000/Z471</f>
        <v>502.31693081772892</v>
      </c>
      <c r="AA472" s="508">
        <f t="shared" ref="AA472" si="366">1000/AA471</f>
        <v>502.31693081772892</v>
      </c>
      <c r="AB472" s="508">
        <f t="shared" ref="AB472" si="367">1000/AB471</f>
        <v>502.31693081772892</v>
      </c>
      <c r="AC472" s="508">
        <f t="shared" ref="AC472" si="368">1000/AC471</f>
        <v>502.31693081772892</v>
      </c>
    </row>
    <row r="476" spans="1:29">
      <c r="A476" s="511"/>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row>
    <row r="477" spans="1:29" ht="15.6">
      <c r="A477" s="401" t="s">
        <v>638</v>
      </c>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c r="AC477" s="459"/>
    </row>
    <row r="478" spans="1:29">
      <c r="A478" s="131" t="s">
        <v>641</v>
      </c>
      <c r="B478" s="131" t="s">
        <v>64</v>
      </c>
      <c r="C478" s="131" t="str">
        <f t="shared" ref="C478:AC478" si="369">C470</f>
        <v>IE</v>
      </c>
      <c r="D478" s="131" t="str">
        <f t="shared" si="369"/>
        <v>IE-CW</v>
      </c>
      <c r="E478" s="131" t="str">
        <f t="shared" si="369"/>
        <v>IE-D</v>
      </c>
      <c r="F478" s="131" t="str">
        <f t="shared" si="369"/>
        <v>IE-KE</v>
      </c>
      <c r="G478" s="131" t="str">
        <f t="shared" si="369"/>
        <v>IE-KK</v>
      </c>
      <c r="H478" s="131" t="str">
        <f t="shared" si="369"/>
        <v>IE-LS</v>
      </c>
      <c r="I478" s="131" t="str">
        <f t="shared" si="369"/>
        <v>IE-LD</v>
      </c>
      <c r="J478" s="131" t="str">
        <f t="shared" si="369"/>
        <v>IE-LH</v>
      </c>
      <c r="K478" s="131" t="str">
        <f t="shared" si="369"/>
        <v>IE-MH</v>
      </c>
      <c r="L478" s="131" t="str">
        <f t="shared" si="369"/>
        <v>IE-OY</v>
      </c>
      <c r="M478" s="131" t="str">
        <f t="shared" si="369"/>
        <v>IE-WH</v>
      </c>
      <c r="N478" s="131" t="str">
        <f t="shared" si="369"/>
        <v>IE-WX</v>
      </c>
      <c r="O478" s="131" t="str">
        <f t="shared" si="369"/>
        <v>IE-WW</v>
      </c>
      <c r="P478" s="131" t="str">
        <f t="shared" si="369"/>
        <v>IE-CE</v>
      </c>
      <c r="Q478" s="131" t="str">
        <f t="shared" si="369"/>
        <v>IE-CO</v>
      </c>
      <c r="R478" s="131" t="str">
        <f t="shared" si="369"/>
        <v>IE-KY</v>
      </c>
      <c r="S478" s="131" t="str">
        <f t="shared" si="369"/>
        <v>IE-LK</v>
      </c>
      <c r="T478" s="131" t="str">
        <f t="shared" si="369"/>
        <v>IE-TA</v>
      </c>
      <c r="U478" s="131" t="str">
        <f t="shared" si="369"/>
        <v>IE-WD</v>
      </c>
      <c r="V478" s="131" t="str">
        <f t="shared" si="369"/>
        <v>IE-G</v>
      </c>
      <c r="W478" s="131" t="str">
        <f t="shared" si="369"/>
        <v>IE-LM</v>
      </c>
      <c r="X478" s="131" t="str">
        <f t="shared" si="369"/>
        <v>IE-MO</v>
      </c>
      <c r="Y478" s="131" t="str">
        <f t="shared" si="369"/>
        <v>IE-RN</v>
      </c>
      <c r="Z478" s="131" t="str">
        <f t="shared" si="369"/>
        <v>IE-SO</v>
      </c>
      <c r="AA478" s="131" t="str">
        <f t="shared" si="369"/>
        <v>IE-CN</v>
      </c>
      <c r="AB478" s="131" t="str">
        <f t="shared" si="369"/>
        <v>IE-DL</v>
      </c>
      <c r="AC478" s="131" t="str">
        <f t="shared" si="369"/>
        <v>IE-MN</v>
      </c>
    </row>
    <row r="479" spans="1:29">
      <c r="A479" s="459" t="s">
        <v>648</v>
      </c>
      <c r="B479" s="459" t="s">
        <v>531</v>
      </c>
      <c r="C479" s="9">
        <f>SUM(D479:AC479)</f>
        <v>0</v>
      </c>
      <c r="D479" s="512">
        <v>0</v>
      </c>
      <c r="E479" s="512">
        <v>0</v>
      </c>
      <c r="F479" s="512">
        <v>0</v>
      </c>
      <c r="G479" s="512">
        <v>0</v>
      </c>
      <c r="H479" s="512">
        <v>0</v>
      </c>
      <c r="I479" s="512">
        <v>0</v>
      </c>
      <c r="J479" s="512">
        <v>0</v>
      </c>
      <c r="K479" s="512">
        <v>0</v>
      </c>
      <c r="L479" s="512">
        <v>0</v>
      </c>
      <c r="M479" s="512">
        <v>0</v>
      </c>
      <c r="N479" s="512">
        <v>0</v>
      </c>
      <c r="O479" s="512">
        <v>0</v>
      </c>
      <c r="P479" s="512">
        <v>0</v>
      </c>
      <c r="Q479" s="512">
        <v>0</v>
      </c>
      <c r="R479" s="512">
        <v>0</v>
      </c>
      <c r="S479" s="512">
        <v>0</v>
      </c>
      <c r="T479" s="512">
        <v>0</v>
      </c>
      <c r="U479" s="512">
        <v>0</v>
      </c>
      <c r="V479" s="512">
        <v>0</v>
      </c>
      <c r="W479" s="512">
        <v>0</v>
      </c>
      <c r="X479" s="512">
        <v>0</v>
      </c>
      <c r="Y479" s="512">
        <v>0</v>
      </c>
      <c r="Z479" s="512">
        <v>0</v>
      </c>
      <c r="AA479" s="512">
        <v>0</v>
      </c>
      <c r="AB479" s="512">
        <v>0</v>
      </c>
      <c r="AC479" s="512">
        <v>0</v>
      </c>
    </row>
    <row r="480" spans="1:29">
      <c r="A480" s="459" t="s">
        <v>650</v>
      </c>
      <c r="B480" s="459" t="s">
        <v>531</v>
      </c>
      <c r="C480" s="9">
        <f t="shared" ref="C480:C485" si="370">SUM(D480:AC480)</f>
        <v>2428</v>
      </c>
      <c r="D480" s="512">
        <v>35</v>
      </c>
      <c r="E480" s="512">
        <v>892</v>
      </c>
      <c r="F480" s="512">
        <v>150</v>
      </c>
      <c r="G480" s="512">
        <v>24</v>
      </c>
      <c r="H480" s="512">
        <v>23</v>
      </c>
      <c r="I480" s="512">
        <v>14</v>
      </c>
      <c r="J480" s="512">
        <v>53</v>
      </c>
      <c r="K480" s="512">
        <v>125</v>
      </c>
      <c r="L480" s="512">
        <v>23</v>
      </c>
      <c r="M480" s="512">
        <v>47</v>
      </c>
      <c r="N480" s="512">
        <v>70</v>
      </c>
      <c r="O480" s="512">
        <v>134</v>
      </c>
      <c r="P480" s="512">
        <v>60</v>
      </c>
      <c r="Q480" s="512">
        <v>270</v>
      </c>
      <c r="R480" s="512">
        <v>56</v>
      </c>
      <c r="S480" s="512">
        <v>60</v>
      </c>
      <c r="T480" s="512">
        <v>50</v>
      </c>
      <c r="U480" s="512">
        <v>57</v>
      </c>
      <c r="V480" s="512">
        <v>119</v>
      </c>
      <c r="W480" s="512">
        <v>13</v>
      </c>
      <c r="X480" s="512">
        <v>24</v>
      </c>
      <c r="Y480" s="512">
        <v>24</v>
      </c>
      <c r="Z480" s="512">
        <v>23</v>
      </c>
      <c r="AA480" s="512">
        <v>23</v>
      </c>
      <c r="AB480" s="512">
        <v>34</v>
      </c>
      <c r="AC480" s="512">
        <v>25</v>
      </c>
    </row>
    <row r="481" spans="1:29">
      <c r="A481" s="459" t="s">
        <v>651</v>
      </c>
      <c r="B481" s="459" t="s">
        <v>531</v>
      </c>
      <c r="C481" s="9">
        <f t="shared" si="370"/>
        <v>986</v>
      </c>
      <c r="D481" s="512">
        <v>11</v>
      </c>
      <c r="E481" s="512">
        <v>362</v>
      </c>
      <c r="F481" s="512">
        <v>62</v>
      </c>
      <c r="G481" s="512">
        <v>12</v>
      </c>
      <c r="H481" s="512">
        <v>11</v>
      </c>
      <c r="I481" s="512">
        <v>10</v>
      </c>
      <c r="J481" s="512">
        <v>22</v>
      </c>
      <c r="K481" s="512">
        <v>52</v>
      </c>
      <c r="L481" s="512">
        <v>6</v>
      </c>
      <c r="M481" s="512">
        <v>17</v>
      </c>
      <c r="N481" s="512">
        <v>28</v>
      </c>
      <c r="O481" s="512">
        <v>56</v>
      </c>
      <c r="P481" s="512">
        <v>24</v>
      </c>
      <c r="Q481" s="512">
        <v>110</v>
      </c>
      <c r="R481" s="512">
        <v>22</v>
      </c>
      <c r="S481" s="512">
        <v>26</v>
      </c>
      <c r="T481" s="512">
        <v>21</v>
      </c>
      <c r="U481" s="512">
        <v>24</v>
      </c>
      <c r="V481" s="512">
        <v>48</v>
      </c>
      <c r="W481" s="512">
        <v>4</v>
      </c>
      <c r="X481" s="512">
        <v>11</v>
      </c>
      <c r="Y481" s="512">
        <v>6</v>
      </c>
      <c r="Z481" s="512">
        <v>6</v>
      </c>
      <c r="AA481" s="512">
        <v>12</v>
      </c>
      <c r="AB481" s="512">
        <v>17</v>
      </c>
      <c r="AC481" s="512">
        <v>6</v>
      </c>
    </row>
    <row r="482" spans="1:29">
      <c r="A482" s="459" t="s">
        <v>652</v>
      </c>
      <c r="B482" s="459" t="s">
        <v>531</v>
      </c>
      <c r="C482" s="9">
        <f t="shared" si="370"/>
        <v>795</v>
      </c>
      <c r="D482" s="512">
        <v>0</v>
      </c>
      <c r="E482" s="512">
        <v>299</v>
      </c>
      <c r="F482" s="512">
        <v>57</v>
      </c>
      <c r="G482" s="512">
        <v>13</v>
      </c>
      <c r="H482" s="512">
        <v>15</v>
      </c>
      <c r="I482" s="512">
        <v>0</v>
      </c>
      <c r="J482" s="512">
        <v>20</v>
      </c>
      <c r="K482" s="512">
        <v>45</v>
      </c>
      <c r="L482" s="512">
        <v>0</v>
      </c>
      <c r="M482" s="512">
        <v>25</v>
      </c>
      <c r="N482" s="512">
        <v>31</v>
      </c>
      <c r="O482" s="512">
        <v>48</v>
      </c>
      <c r="P482" s="512">
        <v>16</v>
      </c>
      <c r="Q482" s="512">
        <v>95</v>
      </c>
      <c r="R482" s="512">
        <v>15</v>
      </c>
      <c r="S482" s="512">
        <v>26</v>
      </c>
      <c r="T482" s="512">
        <v>16</v>
      </c>
      <c r="U482" s="512">
        <v>14</v>
      </c>
      <c r="V482" s="512">
        <v>44</v>
      </c>
      <c r="W482" s="512">
        <v>0</v>
      </c>
      <c r="X482" s="512">
        <v>16</v>
      </c>
      <c r="Y482" s="512">
        <v>0</v>
      </c>
      <c r="Z482" s="512">
        <v>0</v>
      </c>
      <c r="AA482" s="512">
        <v>0</v>
      </c>
      <c r="AB482" s="512">
        <v>0</v>
      </c>
      <c r="AC482" s="512">
        <v>0</v>
      </c>
    </row>
    <row r="483" spans="1:29">
      <c r="A483" s="459" t="s">
        <v>653</v>
      </c>
      <c r="B483" s="459" t="s">
        <v>531</v>
      </c>
      <c r="C483" s="9">
        <f t="shared" si="370"/>
        <v>241</v>
      </c>
      <c r="D483" s="512">
        <v>0</v>
      </c>
      <c r="E483" s="512">
        <v>93</v>
      </c>
      <c r="F483" s="512">
        <v>17</v>
      </c>
      <c r="G483" s="512">
        <v>4</v>
      </c>
      <c r="H483" s="512">
        <v>5</v>
      </c>
      <c r="I483" s="512">
        <v>0</v>
      </c>
      <c r="J483" s="512">
        <v>6</v>
      </c>
      <c r="K483" s="512">
        <v>13</v>
      </c>
      <c r="L483" s="512">
        <v>0</v>
      </c>
      <c r="M483" s="512">
        <v>7</v>
      </c>
      <c r="N483" s="512">
        <v>9</v>
      </c>
      <c r="O483" s="512">
        <v>14</v>
      </c>
      <c r="P483" s="512">
        <v>5</v>
      </c>
      <c r="Q483" s="512">
        <v>29</v>
      </c>
      <c r="R483" s="512">
        <v>4</v>
      </c>
      <c r="S483" s="512">
        <v>8</v>
      </c>
      <c r="T483" s="512">
        <v>5</v>
      </c>
      <c r="U483" s="512">
        <v>4</v>
      </c>
      <c r="V483" s="512">
        <v>13</v>
      </c>
      <c r="W483" s="512">
        <v>0</v>
      </c>
      <c r="X483" s="512">
        <v>5</v>
      </c>
      <c r="Y483" s="512">
        <v>0</v>
      </c>
      <c r="Z483" s="512">
        <v>0</v>
      </c>
      <c r="AA483" s="512">
        <v>0</v>
      </c>
      <c r="AB483" s="512">
        <v>0</v>
      </c>
      <c r="AC483" s="512">
        <v>0</v>
      </c>
    </row>
    <row r="484" spans="1:29">
      <c r="A484" s="459" t="s">
        <v>654</v>
      </c>
      <c r="B484" s="459" t="s">
        <v>531</v>
      </c>
      <c r="C484" s="9">
        <f t="shared" si="370"/>
        <v>0</v>
      </c>
      <c r="D484" s="512">
        <v>0</v>
      </c>
      <c r="E484" s="512">
        <v>0</v>
      </c>
      <c r="F484" s="512">
        <v>0</v>
      </c>
      <c r="G484" s="512">
        <v>0</v>
      </c>
      <c r="H484" s="512">
        <v>0</v>
      </c>
      <c r="I484" s="512">
        <v>0</v>
      </c>
      <c r="J484" s="512">
        <v>0</v>
      </c>
      <c r="K484" s="512">
        <v>0</v>
      </c>
      <c r="L484" s="512">
        <v>0</v>
      </c>
      <c r="M484" s="512">
        <v>0</v>
      </c>
      <c r="N484" s="512">
        <v>0</v>
      </c>
      <c r="O484" s="512">
        <v>0</v>
      </c>
      <c r="P484" s="512">
        <v>0</v>
      </c>
      <c r="Q484" s="512">
        <v>0</v>
      </c>
      <c r="R484" s="512">
        <v>0</v>
      </c>
      <c r="S484" s="512">
        <v>0</v>
      </c>
      <c r="T484" s="512">
        <v>0</v>
      </c>
      <c r="U484" s="512">
        <v>0</v>
      </c>
      <c r="V484" s="512">
        <v>0</v>
      </c>
      <c r="W484" s="512">
        <v>0</v>
      </c>
      <c r="X484" s="512">
        <v>0</v>
      </c>
      <c r="Y484" s="512">
        <v>0</v>
      </c>
      <c r="Z484" s="512">
        <v>0</v>
      </c>
      <c r="AA484" s="512">
        <v>0</v>
      </c>
      <c r="AB484" s="512">
        <v>0</v>
      </c>
      <c r="AC484" s="512">
        <v>0</v>
      </c>
    </row>
    <row r="485" spans="1:29">
      <c r="A485" s="459" t="s">
        <v>655</v>
      </c>
      <c r="B485" s="459" t="s">
        <v>531</v>
      </c>
      <c r="C485" s="9">
        <f t="shared" si="370"/>
        <v>80</v>
      </c>
      <c r="D485" s="512">
        <v>0</v>
      </c>
      <c r="E485" s="512">
        <v>30</v>
      </c>
      <c r="F485" s="512">
        <v>6</v>
      </c>
      <c r="G485" s="512">
        <v>1</v>
      </c>
      <c r="H485" s="512">
        <v>2</v>
      </c>
      <c r="I485" s="512">
        <v>0</v>
      </c>
      <c r="J485" s="512">
        <v>2</v>
      </c>
      <c r="K485" s="512">
        <v>4</v>
      </c>
      <c r="L485" s="512">
        <v>0</v>
      </c>
      <c r="M485" s="512">
        <v>2</v>
      </c>
      <c r="N485" s="512">
        <v>3</v>
      </c>
      <c r="O485" s="512">
        <v>5</v>
      </c>
      <c r="P485" s="512">
        <v>2</v>
      </c>
      <c r="Q485" s="512">
        <v>10</v>
      </c>
      <c r="R485" s="512">
        <v>1</v>
      </c>
      <c r="S485" s="512">
        <v>3</v>
      </c>
      <c r="T485" s="512">
        <v>2</v>
      </c>
      <c r="U485" s="512">
        <v>1</v>
      </c>
      <c r="V485" s="512">
        <v>4</v>
      </c>
      <c r="W485" s="512">
        <v>0</v>
      </c>
      <c r="X485" s="512">
        <v>2</v>
      </c>
      <c r="Y485" s="512">
        <v>0</v>
      </c>
      <c r="Z485" s="512">
        <v>0</v>
      </c>
      <c r="AA485" s="512">
        <v>0</v>
      </c>
      <c r="AB485" s="512">
        <v>0</v>
      </c>
      <c r="AC485" s="512">
        <v>0</v>
      </c>
    </row>
    <row r="486" spans="1:29">
      <c r="A486" s="458" t="s">
        <v>16</v>
      </c>
      <c r="B486" s="458" t="s">
        <v>531</v>
      </c>
      <c r="C486" s="504">
        <f>SUM(C479:C485)</f>
        <v>4530</v>
      </c>
      <c r="D486" s="504">
        <f>SUM(D479:D485)</f>
        <v>46</v>
      </c>
      <c r="E486" s="504">
        <f t="shared" ref="E486" si="371">SUM(E479:E485)</f>
        <v>1676</v>
      </c>
      <c r="F486" s="504">
        <f t="shared" ref="F486" si="372">SUM(F479:F485)</f>
        <v>292</v>
      </c>
      <c r="G486" s="504">
        <f t="shared" ref="G486" si="373">SUM(G479:G485)</f>
        <v>54</v>
      </c>
      <c r="H486" s="504">
        <f t="shared" ref="H486" si="374">SUM(H479:H485)</f>
        <v>56</v>
      </c>
      <c r="I486" s="504">
        <f t="shared" ref="I486" si="375">SUM(I479:I485)</f>
        <v>24</v>
      </c>
      <c r="J486" s="504">
        <f t="shared" ref="J486" si="376">SUM(J479:J485)</f>
        <v>103</v>
      </c>
      <c r="K486" s="504">
        <f t="shared" ref="K486" si="377">SUM(K479:K485)</f>
        <v>239</v>
      </c>
      <c r="L486" s="504">
        <f t="shared" ref="L486" si="378">SUM(L479:L485)</f>
        <v>29</v>
      </c>
      <c r="M486" s="504">
        <f t="shared" ref="M486" si="379">SUM(M479:M485)</f>
        <v>98</v>
      </c>
      <c r="N486" s="504">
        <f t="shared" ref="N486" si="380">SUM(N479:N485)</f>
        <v>141</v>
      </c>
      <c r="O486" s="504">
        <f t="shared" ref="O486" si="381">SUM(O479:O485)</f>
        <v>257</v>
      </c>
      <c r="P486" s="504">
        <f t="shared" ref="P486" si="382">SUM(P479:P485)</f>
        <v>107</v>
      </c>
      <c r="Q486" s="504">
        <f t="shared" ref="Q486" si="383">SUM(Q479:Q485)</f>
        <v>514</v>
      </c>
      <c r="R486" s="504">
        <f t="shared" ref="R486" si="384">SUM(R479:R485)</f>
        <v>98</v>
      </c>
      <c r="S486" s="504">
        <f t="shared" ref="S486" si="385">SUM(S479:S485)</f>
        <v>123</v>
      </c>
      <c r="T486" s="504">
        <f t="shared" ref="T486" si="386">SUM(T479:T485)</f>
        <v>94</v>
      </c>
      <c r="U486" s="504">
        <f t="shared" ref="U486" si="387">SUM(U479:U485)</f>
        <v>100</v>
      </c>
      <c r="V486" s="504">
        <f t="shared" ref="V486" si="388">SUM(V479:V485)</f>
        <v>228</v>
      </c>
      <c r="W486" s="504">
        <f t="shared" ref="W486" si="389">SUM(W479:W485)</f>
        <v>17</v>
      </c>
      <c r="X486" s="504">
        <f t="shared" ref="X486" si="390">SUM(X479:X485)</f>
        <v>58</v>
      </c>
      <c r="Y486" s="504">
        <f t="shared" ref="Y486" si="391">SUM(Y479:Y485)</f>
        <v>30</v>
      </c>
      <c r="Z486" s="504">
        <f t="shared" ref="Z486" si="392">SUM(Z479:Z485)</f>
        <v>29</v>
      </c>
      <c r="AA486" s="504">
        <f t="shared" ref="AA486" si="393">SUM(AA479:AA485)</f>
        <v>35</v>
      </c>
      <c r="AB486" s="504">
        <f t="shared" ref="AB486" si="394">SUM(AB479:AB485)</f>
        <v>51</v>
      </c>
      <c r="AC486" s="504">
        <f t="shared" ref="AC486" si="395">SUM(AC479:AC485)</f>
        <v>31</v>
      </c>
    </row>
    <row r="487" spans="1:29">
      <c r="A487" s="459" t="s">
        <v>617</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c r="AC488" s="459"/>
    </row>
    <row r="489" spans="1:29">
      <c r="A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c r="AC489" s="459"/>
    </row>
    <row r="490" spans="1:29">
      <c r="A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c r="AC490" s="459"/>
    </row>
    <row r="491" spans="1:29" ht="15.6">
      <c r="A491" s="401" t="s">
        <v>639</v>
      </c>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c r="AC491" s="459"/>
    </row>
    <row r="492" spans="1:29">
      <c r="A492" s="131" t="s">
        <v>641</v>
      </c>
      <c r="B492" s="131" t="s">
        <v>64</v>
      </c>
      <c r="C492" s="131" t="str">
        <f>C478</f>
        <v>IE</v>
      </c>
      <c r="D492" s="131" t="str">
        <f t="shared" ref="D492:AC492" si="396">D478</f>
        <v>IE-CW</v>
      </c>
      <c r="E492" s="131" t="str">
        <f t="shared" si="396"/>
        <v>IE-D</v>
      </c>
      <c r="F492" s="131" t="str">
        <f t="shared" si="396"/>
        <v>IE-KE</v>
      </c>
      <c r="G492" s="131" t="str">
        <f t="shared" si="396"/>
        <v>IE-KK</v>
      </c>
      <c r="H492" s="131" t="str">
        <f t="shared" si="396"/>
        <v>IE-LS</v>
      </c>
      <c r="I492" s="131" t="str">
        <f t="shared" si="396"/>
        <v>IE-LD</v>
      </c>
      <c r="J492" s="131" t="str">
        <f t="shared" si="396"/>
        <v>IE-LH</v>
      </c>
      <c r="K492" s="131" t="str">
        <f t="shared" si="396"/>
        <v>IE-MH</v>
      </c>
      <c r="L492" s="131" t="str">
        <f t="shared" si="396"/>
        <v>IE-OY</v>
      </c>
      <c r="M492" s="131" t="str">
        <f t="shared" si="396"/>
        <v>IE-WH</v>
      </c>
      <c r="N492" s="131" t="str">
        <f t="shared" si="396"/>
        <v>IE-WX</v>
      </c>
      <c r="O492" s="131" t="str">
        <f t="shared" si="396"/>
        <v>IE-WW</v>
      </c>
      <c r="P492" s="131" t="str">
        <f t="shared" si="396"/>
        <v>IE-CE</v>
      </c>
      <c r="Q492" s="131" t="str">
        <f t="shared" si="396"/>
        <v>IE-CO</v>
      </c>
      <c r="R492" s="131" t="str">
        <f t="shared" si="396"/>
        <v>IE-KY</v>
      </c>
      <c r="S492" s="131" t="str">
        <f t="shared" si="396"/>
        <v>IE-LK</v>
      </c>
      <c r="T492" s="131" t="str">
        <f t="shared" si="396"/>
        <v>IE-TA</v>
      </c>
      <c r="U492" s="131" t="str">
        <f t="shared" si="396"/>
        <v>IE-WD</v>
      </c>
      <c r="V492" s="131" t="str">
        <f t="shared" si="396"/>
        <v>IE-G</v>
      </c>
      <c r="W492" s="131" t="str">
        <f t="shared" si="396"/>
        <v>IE-LM</v>
      </c>
      <c r="X492" s="131" t="str">
        <f t="shared" si="396"/>
        <v>IE-MO</v>
      </c>
      <c r="Y492" s="131" t="str">
        <f t="shared" si="396"/>
        <v>IE-RN</v>
      </c>
      <c r="Z492" s="131" t="str">
        <f t="shared" si="396"/>
        <v>IE-SO</v>
      </c>
      <c r="AA492" s="131" t="str">
        <f t="shared" si="396"/>
        <v>IE-CN</v>
      </c>
      <c r="AB492" s="131" t="str">
        <f t="shared" si="396"/>
        <v>IE-DL</v>
      </c>
      <c r="AC492" s="131" t="str">
        <f t="shared" si="396"/>
        <v>IE-MN</v>
      </c>
    </row>
    <row r="493" spans="1:29">
      <c r="A493" s="459" t="s">
        <v>648</v>
      </c>
      <c r="B493" s="507" t="s">
        <v>610</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459" t="s">
        <v>642</v>
      </c>
      <c r="B494" s="1" t="s">
        <v>610</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459" t="s">
        <v>643</v>
      </c>
      <c r="B495" s="1" t="s">
        <v>610</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459" t="s">
        <v>644</v>
      </c>
      <c r="B496" s="1" t="s">
        <v>610</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459" t="s">
        <v>645</v>
      </c>
      <c r="B497" s="1" t="s">
        <v>610</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459" t="s">
        <v>646</v>
      </c>
      <c r="B498" s="1" t="s">
        <v>610</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459" t="s">
        <v>649</v>
      </c>
      <c r="B499" s="1" t="s">
        <v>610</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458" t="s">
        <v>16</v>
      </c>
      <c r="B500" s="458" t="s">
        <v>610</v>
      </c>
      <c r="C500" s="403">
        <f t="shared" ref="C500:AC500" si="399">SUM(C493:C499)</f>
        <v>1</v>
      </c>
      <c r="D500" s="403">
        <f t="shared" si="399"/>
        <v>1</v>
      </c>
      <c r="E500" s="403">
        <f t="shared" si="399"/>
        <v>0.99999999999999989</v>
      </c>
      <c r="F500" s="403">
        <f t="shared" si="399"/>
        <v>1</v>
      </c>
      <c r="G500" s="403">
        <f t="shared" si="399"/>
        <v>0.99999999999999989</v>
      </c>
      <c r="H500" s="403">
        <f t="shared" si="399"/>
        <v>1</v>
      </c>
      <c r="I500" s="403">
        <f t="shared" si="399"/>
        <v>1</v>
      </c>
      <c r="J500" s="403">
        <f t="shared" si="399"/>
        <v>1</v>
      </c>
      <c r="K500" s="403">
        <f t="shared" si="399"/>
        <v>1</v>
      </c>
      <c r="L500" s="403">
        <f t="shared" si="399"/>
        <v>1</v>
      </c>
      <c r="M500" s="403">
        <f t="shared" si="399"/>
        <v>1</v>
      </c>
      <c r="N500" s="403">
        <f t="shared" si="399"/>
        <v>1</v>
      </c>
      <c r="O500" s="403">
        <f t="shared" si="399"/>
        <v>1</v>
      </c>
      <c r="P500" s="403">
        <f t="shared" si="399"/>
        <v>1</v>
      </c>
      <c r="Q500" s="403">
        <f t="shared" si="399"/>
        <v>1</v>
      </c>
      <c r="R500" s="403">
        <f t="shared" si="399"/>
        <v>1</v>
      </c>
      <c r="S500" s="403">
        <f t="shared" si="399"/>
        <v>1</v>
      </c>
      <c r="T500" s="403">
        <f t="shared" si="399"/>
        <v>1</v>
      </c>
      <c r="U500" s="403">
        <f t="shared" si="399"/>
        <v>1</v>
      </c>
      <c r="V500" s="403">
        <f t="shared" si="399"/>
        <v>0.99999999999999978</v>
      </c>
      <c r="W500" s="403">
        <f t="shared" si="399"/>
        <v>1</v>
      </c>
      <c r="X500" s="403">
        <f t="shared" si="399"/>
        <v>0.99999999999999989</v>
      </c>
      <c r="Y500" s="403">
        <f t="shared" si="399"/>
        <v>1</v>
      </c>
      <c r="Z500" s="403">
        <f t="shared" si="399"/>
        <v>1</v>
      </c>
      <c r="AA500" s="403">
        <f t="shared" si="399"/>
        <v>1</v>
      </c>
      <c r="AB500" s="403">
        <f t="shared" si="399"/>
        <v>1</v>
      </c>
      <c r="AC500" s="403">
        <f t="shared" si="399"/>
        <v>1</v>
      </c>
    </row>
    <row r="501" spans="1:29">
      <c r="A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c r="AC501" s="459"/>
    </row>
    <row r="502" spans="1:29">
      <c r="A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c r="AC502" s="459"/>
    </row>
    <row r="503" spans="1:29">
      <c r="A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c r="AC503" s="459"/>
    </row>
    <row r="504" spans="1:29" ht="15.6">
      <c r="A504" s="425" t="s">
        <v>640</v>
      </c>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c r="AC504" s="459"/>
    </row>
    <row r="505" spans="1:29">
      <c r="A505" s="131" t="s">
        <v>641</v>
      </c>
      <c r="B505" s="131" t="s">
        <v>64</v>
      </c>
      <c r="C505" s="131" t="str">
        <f>C492</f>
        <v>IE</v>
      </c>
      <c r="D505" s="131" t="str">
        <f t="shared" ref="D505:AC505" si="400">D492</f>
        <v>IE-CW</v>
      </c>
      <c r="E505" s="131" t="str">
        <f t="shared" si="400"/>
        <v>IE-D</v>
      </c>
      <c r="F505" s="131" t="str">
        <f t="shared" si="400"/>
        <v>IE-KE</v>
      </c>
      <c r="G505" s="131" t="str">
        <f t="shared" si="400"/>
        <v>IE-KK</v>
      </c>
      <c r="H505" s="131" t="str">
        <f t="shared" si="400"/>
        <v>IE-LS</v>
      </c>
      <c r="I505" s="131" t="str">
        <f t="shared" si="400"/>
        <v>IE-LD</v>
      </c>
      <c r="J505" s="131" t="str">
        <f t="shared" si="400"/>
        <v>IE-LH</v>
      </c>
      <c r="K505" s="131" t="str">
        <f t="shared" si="400"/>
        <v>IE-MH</v>
      </c>
      <c r="L505" s="131" t="str">
        <f t="shared" si="400"/>
        <v>IE-OY</v>
      </c>
      <c r="M505" s="131" t="str">
        <f t="shared" si="400"/>
        <v>IE-WH</v>
      </c>
      <c r="N505" s="131" t="str">
        <f t="shared" si="400"/>
        <v>IE-WX</v>
      </c>
      <c r="O505" s="131" t="str">
        <f t="shared" si="400"/>
        <v>IE-WW</v>
      </c>
      <c r="P505" s="131" t="str">
        <f t="shared" si="400"/>
        <v>IE-CE</v>
      </c>
      <c r="Q505" s="131" t="str">
        <f t="shared" si="400"/>
        <v>IE-CO</v>
      </c>
      <c r="R505" s="131" t="str">
        <f t="shared" si="400"/>
        <v>IE-KY</v>
      </c>
      <c r="S505" s="131" t="str">
        <f t="shared" si="400"/>
        <v>IE-LK</v>
      </c>
      <c r="T505" s="131" t="str">
        <f t="shared" si="400"/>
        <v>IE-TA</v>
      </c>
      <c r="U505" s="131" t="str">
        <f t="shared" si="400"/>
        <v>IE-WD</v>
      </c>
      <c r="V505" s="131" t="str">
        <f t="shared" si="400"/>
        <v>IE-G</v>
      </c>
      <c r="W505" s="131" t="str">
        <f t="shared" si="400"/>
        <v>IE-LM</v>
      </c>
      <c r="X505" s="131" t="str">
        <f t="shared" si="400"/>
        <v>IE-MO</v>
      </c>
      <c r="Y505" s="131" t="str">
        <f t="shared" si="400"/>
        <v>IE-RN</v>
      </c>
      <c r="Z505" s="131" t="str">
        <f t="shared" si="400"/>
        <v>IE-SO</v>
      </c>
      <c r="AA505" s="131" t="str">
        <f t="shared" si="400"/>
        <v>IE-CN</v>
      </c>
      <c r="AB505" s="131" t="str">
        <f t="shared" si="400"/>
        <v>IE-DL</v>
      </c>
      <c r="AC505" s="131" t="str">
        <f t="shared" si="400"/>
        <v>IE-MN</v>
      </c>
    </row>
    <row r="506" spans="1:29">
      <c r="A506" s="507" t="s">
        <v>648</v>
      </c>
      <c r="B506" s="459" t="s">
        <v>611</v>
      </c>
      <c r="C506" s="509">
        <v>0.273642</v>
      </c>
      <c r="D506" s="509">
        <v>0.273642</v>
      </c>
      <c r="E506" s="509">
        <v>0.273642</v>
      </c>
      <c r="F506" s="509">
        <v>0.273642</v>
      </c>
      <c r="G506" s="509">
        <v>0.273642</v>
      </c>
      <c r="H506" s="509">
        <v>0.273642</v>
      </c>
      <c r="I506" s="509">
        <v>0.273642</v>
      </c>
      <c r="J506" s="509">
        <v>0.273642</v>
      </c>
      <c r="K506" s="509">
        <v>0.273642</v>
      </c>
      <c r="L506" s="509">
        <v>0.273642</v>
      </c>
      <c r="M506" s="509">
        <v>0.273642</v>
      </c>
      <c r="N506" s="509">
        <v>0.273642</v>
      </c>
      <c r="O506" s="509">
        <v>0.273642</v>
      </c>
      <c r="P506" s="509">
        <v>0.273642</v>
      </c>
      <c r="Q506" s="509">
        <v>0.273642</v>
      </c>
      <c r="R506" s="509">
        <v>0.273642</v>
      </c>
      <c r="S506" s="509">
        <v>0.273642</v>
      </c>
      <c r="T506" s="509">
        <v>0.273642</v>
      </c>
      <c r="U506" s="509">
        <v>0.273642</v>
      </c>
      <c r="V506" s="509">
        <v>0.273642</v>
      </c>
      <c r="W506" s="509">
        <v>0.273642</v>
      </c>
      <c r="X506" s="509">
        <v>0.273642</v>
      </c>
      <c r="Y506" s="509">
        <v>0.273642</v>
      </c>
      <c r="Z506" s="509">
        <v>0.273642</v>
      </c>
      <c r="AA506" s="509">
        <v>0.273642</v>
      </c>
      <c r="AB506" s="509">
        <v>0.273642</v>
      </c>
      <c r="AC506" s="509">
        <v>0.273642</v>
      </c>
    </row>
    <row r="507" spans="1:29">
      <c r="A507" s="1" t="s">
        <v>642</v>
      </c>
      <c r="B507" s="459" t="s">
        <v>611</v>
      </c>
      <c r="C507" s="509">
        <v>0.54281375999999992</v>
      </c>
      <c r="D507" s="509">
        <v>0.54281375999999992</v>
      </c>
      <c r="E507" s="509">
        <v>0.54281375999999992</v>
      </c>
      <c r="F507" s="509">
        <v>0.54281375999999992</v>
      </c>
      <c r="G507" s="509">
        <v>0.54281375999999992</v>
      </c>
      <c r="H507" s="509">
        <v>0.54281375999999992</v>
      </c>
      <c r="I507" s="509">
        <v>0.54281375999999992</v>
      </c>
      <c r="J507" s="509">
        <v>0.54281375999999992</v>
      </c>
      <c r="K507" s="509">
        <v>0.54281375999999992</v>
      </c>
      <c r="L507" s="509">
        <v>0.54281375999999992</v>
      </c>
      <c r="M507" s="509">
        <v>0.54281375999999992</v>
      </c>
      <c r="N507" s="509">
        <v>0.54281375999999992</v>
      </c>
      <c r="O507" s="509">
        <v>0.54281375999999992</v>
      </c>
      <c r="P507" s="509">
        <v>0.54281375999999992</v>
      </c>
      <c r="Q507" s="509">
        <v>0.54281375999999992</v>
      </c>
      <c r="R507" s="509">
        <v>0.54281375999999992</v>
      </c>
      <c r="S507" s="509">
        <v>0.54281375999999992</v>
      </c>
      <c r="T507" s="509">
        <v>0.54281375999999992</v>
      </c>
      <c r="U507" s="509">
        <v>0.54281375999999992</v>
      </c>
      <c r="V507" s="509">
        <v>0.54281375999999992</v>
      </c>
      <c r="W507" s="509">
        <v>0.54281375999999992</v>
      </c>
      <c r="X507" s="509">
        <v>0.54281375999999992</v>
      </c>
      <c r="Y507" s="509">
        <v>0.54281375999999992</v>
      </c>
      <c r="Z507" s="509">
        <v>0.54281375999999992</v>
      </c>
      <c r="AA507" s="509">
        <v>0.54281375999999992</v>
      </c>
      <c r="AB507" s="509">
        <v>0.54281375999999992</v>
      </c>
      <c r="AC507" s="509">
        <v>0.54281375999999992</v>
      </c>
    </row>
    <row r="508" spans="1:29">
      <c r="A508" s="1" t="s">
        <v>643</v>
      </c>
      <c r="B508" s="459" t="s">
        <v>611</v>
      </c>
      <c r="C508" s="509">
        <v>0.61380411428571424</v>
      </c>
      <c r="D508" s="509">
        <v>0.61380411428571424</v>
      </c>
      <c r="E508" s="509">
        <v>0.61380411428571424</v>
      </c>
      <c r="F508" s="509">
        <v>0.61380411428571424</v>
      </c>
      <c r="G508" s="509">
        <v>0.61380411428571424</v>
      </c>
      <c r="H508" s="509">
        <v>0.61380411428571424</v>
      </c>
      <c r="I508" s="509">
        <v>0.61380411428571424</v>
      </c>
      <c r="J508" s="509">
        <v>0.61380411428571424</v>
      </c>
      <c r="K508" s="509">
        <v>0.61380411428571424</v>
      </c>
      <c r="L508" s="509">
        <v>0.61380411428571424</v>
      </c>
      <c r="M508" s="509">
        <v>0.61380411428571424</v>
      </c>
      <c r="N508" s="509">
        <v>0.61380411428571424</v>
      </c>
      <c r="O508" s="509">
        <v>0.61380411428571424</v>
      </c>
      <c r="P508" s="509">
        <v>0.61380411428571424</v>
      </c>
      <c r="Q508" s="509">
        <v>0.61380411428571424</v>
      </c>
      <c r="R508" s="509">
        <v>0.61380411428571424</v>
      </c>
      <c r="S508" s="509">
        <v>0.61380411428571424</v>
      </c>
      <c r="T508" s="509">
        <v>0.61380411428571424</v>
      </c>
      <c r="U508" s="509">
        <v>0.61380411428571424</v>
      </c>
      <c r="V508" s="509">
        <v>0.61380411428571424</v>
      </c>
      <c r="W508" s="509">
        <v>0.61380411428571424</v>
      </c>
      <c r="X508" s="509">
        <v>0.61380411428571424</v>
      </c>
      <c r="Y508" s="509">
        <v>0.61380411428571424</v>
      </c>
      <c r="Z508" s="509">
        <v>0.61380411428571424</v>
      </c>
      <c r="AA508" s="509">
        <v>0.61380411428571424</v>
      </c>
      <c r="AB508" s="509">
        <v>0.61380411428571424</v>
      </c>
      <c r="AC508" s="509">
        <v>0.61380411428571424</v>
      </c>
    </row>
    <row r="509" spans="1:29">
      <c r="A509" s="1" t="s">
        <v>644</v>
      </c>
      <c r="B509" s="459" t="s">
        <v>611</v>
      </c>
      <c r="C509" s="509">
        <v>0.65324320000000002</v>
      </c>
      <c r="D509" s="509">
        <v>0.65324320000000002</v>
      </c>
      <c r="E509" s="509">
        <v>0.65324320000000002</v>
      </c>
      <c r="F509" s="509">
        <v>0.65324320000000002</v>
      </c>
      <c r="G509" s="509">
        <v>0.65324320000000002</v>
      </c>
      <c r="H509" s="509">
        <v>0.65324320000000002</v>
      </c>
      <c r="I509" s="509">
        <v>0.65324320000000002</v>
      </c>
      <c r="J509" s="509">
        <v>0.65324320000000002</v>
      </c>
      <c r="K509" s="509">
        <v>0.65324320000000002</v>
      </c>
      <c r="L509" s="509">
        <v>0.65324320000000002</v>
      </c>
      <c r="M509" s="509">
        <v>0.65324320000000002</v>
      </c>
      <c r="N509" s="509">
        <v>0.65324320000000002</v>
      </c>
      <c r="O509" s="509">
        <v>0.65324320000000002</v>
      </c>
      <c r="P509" s="509">
        <v>0.65324320000000002</v>
      </c>
      <c r="Q509" s="509">
        <v>0.65324320000000002</v>
      </c>
      <c r="R509" s="509">
        <v>0.65324320000000002</v>
      </c>
      <c r="S509" s="509">
        <v>0.65324320000000002</v>
      </c>
      <c r="T509" s="509">
        <v>0.65324320000000002</v>
      </c>
      <c r="U509" s="509">
        <v>0.65324320000000002</v>
      </c>
      <c r="V509" s="509">
        <v>0.65324320000000002</v>
      </c>
      <c r="W509" s="509">
        <v>0.65324320000000002</v>
      </c>
      <c r="X509" s="509">
        <v>0.65324320000000002</v>
      </c>
      <c r="Y509" s="509">
        <v>0.65324320000000002</v>
      </c>
      <c r="Z509" s="509">
        <v>0.65324320000000002</v>
      </c>
      <c r="AA509" s="509">
        <v>0.65324320000000002</v>
      </c>
      <c r="AB509" s="509">
        <v>0.65324320000000002</v>
      </c>
      <c r="AC509" s="509">
        <v>0.65324320000000002</v>
      </c>
    </row>
    <row r="510" spans="1:29">
      <c r="A510" s="1" t="s">
        <v>645</v>
      </c>
      <c r="B510" s="459" t="s">
        <v>611</v>
      </c>
      <c r="C510" s="509">
        <v>0.67834080000000008</v>
      </c>
      <c r="D510" s="509">
        <v>0.67834080000000008</v>
      </c>
      <c r="E510" s="509">
        <v>0.67834080000000008</v>
      </c>
      <c r="F510" s="509">
        <v>0.67834080000000008</v>
      </c>
      <c r="G510" s="509">
        <v>0.67834080000000008</v>
      </c>
      <c r="H510" s="509">
        <v>0.67834080000000008</v>
      </c>
      <c r="I510" s="509">
        <v>0.67834080000000008</v>
      </c>
      <c r="J510" s="509">
        <v>0.67834080000000008</v>
      </c>
      <c r="K510" s="509">
        <v>0.67834080000000008</v>
      </c>
      <c r="L510" s="509">
        <v>0.67834080000000008</v>
      </c>
      <c r="M510" s="509">
        <v>0.67834080000000008</v>
      </c>
      <c r="N510" s="509">
        <v>0.67834080000000008</v>
      </c>
      <c r="O510" s="509">
        <v>0.67834080000000008</v>
      </c>
      <c r="P510" s="509">
        <v>0.67834080000000008</v>
      </c>
      <c r="Q510" s="509">
        <v>0.67834080000000008</v>
      </c>
      <c r="R510" s="509">
        <v>0.67834080000000008</v>
      </c>
      <c r="S510" s="509">
        <v>0.67834080000000008</v>
      </c>
      <c r="T510" s="509">
        <v>0.67834080000000008</v>
      </c>
      <c r="U510" s="509">
        <v>0.67834080000000008</v>
      </c>
      <c r="V510" s="509">
        <v>0.67834080000000008</v>
      </c>
      <c r="W510" s="509">
        <v>0.67834080000000008</v>
      </c>
      <c r="X510" s="509">
        <v>0.67834080000000008</v>
      </c>
      <c r="Y510" s="509">
        <v>0.67834080000000008</v>
      </c>
      <c r="Z510" s="509">
        <v>0.67834080000000008</v>
      </c>
      <c r="AA510" s="509">
        <v>0.67834080000000008</v>
      </c>
      <c r="AB510" s="509">
        <v>0.67834080000000008</v>
      </c>
      <c r="AC510" s="509">
        <v>0.67834080000000008</v>
      </c>
    </row>
    <row r="511" spans="1:29">
      <c r="A511" s="1" t="s">
        <v>646</v>
      </c>
      <c r="B511" s="1" t="s">
        <v>611</v>
      </c>
      <c r="C511" s="509">
        <v>0.69571606153846166</v>
      </c>
      <c r="D511" s="509">
        <v>0.69571606153846166</v>
      </c>
      <c r="E511" s="509">
        <v>0.69571606153846166</v>
      </c>
      <c r="F511" s="509">
        <v>0.69571606153846166</v>
      </c>
      <c r="G511" s="509">
        <v>0.69571606153846166</v>
      </c>
      <c r="H511" s="509">
        <v>0.69571606153846166</v>
      </c>
      <c r="I511" s="509">
        <v>0.69571606153846166</v>
      </c>
      <c r="J511" s="509">
        <v>0.69571606153846166</v>
      </c>
      <c r="K511" s="509">
        <v>0.69571606153846166</v>
      </c>
      <c r="L511" s="509">
        <v>0.69571606153846166</v>
      </c>
      <c r="M511" s="509">
        <v>0.69571606153846166</v>
      </c>
      <c r="N511" s="509">
        <v>0.69571606153846166</v>
      </c>
      <c r="O511" s="509">
        <v>0.69571606153846166</v>
      </c>
      <c r="P511" s="509">
        <v>0.69571606153846166</v>
      </c>
      <c r="Q511" s="509">
        <v>0.69571606153846166</v>
      </c>
      <c r="R511" s="509">
        <v>0.69571606153846166</v>
      </c>
      <c r="S511" s="509">
        <v>0.69571606153846166</v>
      </c>
      <c r="T511" s="509">
        <v>0.69571606153846166</v>
      </c>
      <c r="U511" s="509">
        <v>0.69571606153846166</v>
      </c>
      <c r="V511" s="509">
        <v>0.69571606153846166</v>
      </c>
      <c r="W511" s="509">
        <v>0.69571606153846166</v>
      </c>
      <c r="X511" s="509">
        <v>0.69571606153846166</v>
      </c>
      <c r="Y511" s="509">
        <v>0.69571606153846166</v>
      </c>
      <c r="Z511" s="509">
        <v>0.69571606153846166</v>
      </c>
      <c r="AA511" s="509">
        <v>0.69571606153846166</v>
      </c>
      <c r="AB511" s="509">
        <v>0.69571606153846166</v>
      </c>
      <c r="AC511" s="509">
        <v>0.69571606153846166</v>
      </c>
    </row>
    <row r="512" spans="1:29">
      <c r="A512" s="458" t="s">
        <v>649</v>
      </c>
      <c r="B512" s="458" t="s">
        <v>611</v>
      </c>
      <c r="C512" s="514">
        <v>0.71104610999999995</v>
      </c>
      <c r="D512" s="514">
        <v>0.71104610999999995</v>
      </c>
      <c r="E512" s="514">
        <v>0.71104610999999995</v>
      </c>
      <c r="F512" s="514">
        <v>0.71104610999999995</v>
      </c>
      <c r="G512" s="514">
        <v>0.71104610999999995</v>
      </c>
      <c r="H512" s="514">
        <v>0.71104610999999995</v>
      </c>
      <c r="I512" s="514">
        <v>0.71104610999999995</v>
      </c>
      <c r="J512" s="514">
        <v>0.71104610999999995</v>
      </c>
      <c r="K512" s="514">
        <v>0.71104610999999995</v>
      </c>
      <c r="L512" s="514">
        <v>0.71104610999999995</v>
      </c>
      <c r="M512" s="514">
        <v>0.71104610999999995</v>
      </c>
      <c r="N512" s="514">
        <v>0.71104610999999995</v>
      </c>
      <c r="O512" s="514">
        <v>0.71104610999999995</v>
      </c>
      <c r="P512" s="514">
        <v>0.71104610999999995</v>
      </c>
      <c r="Q512" s="514">
        <v>0.71104610999999995</v>
      </c>
      <c r="R512" s="514">
        <v>0.71104610999999995</v>
      </c>
      <c r="S512" s="514">
        <v>0.71104610999999995</v>
      </c>
      <c r="T512" s="514">
        <v>0.71104610999999995</v>
      </c>
      <c r="U512" s="514">
        <v>0.71104610999999995</v>
      </c>
      <c r="V512" s="514">
        <v>0.71104610999999995</v>
      </c>
      <c r="W512" s="514">
        <v>0.71104610999999995</v>
      </c>
      <c r="X512" s="514">
        <v>0.71104610999999995</v>
      </c>
      <c r="Y512" s="514">
        <v>0.71104610999999995</v>
      </c>
      <c r="Z512" s="514">
        <v>0.71104610999999995</v>
      </c>
      <c r="AA512" s="514">
        <v>0.71104610999999995</v>
      </c>
      <c r="AB512" s="514">
        <v>0.71104610999999995</v>
      </c>
      <c r="AC512" s="514">
        <v>0.71104610999999995</v>
      </c>
    </row>
    <row r="513" spans="1:29">
      <c r="A513" s="510" t="s">
        <v>615</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c r="AC514" s="459"/>
    </row>
    <row r="515" spans="1:29">
      <c r="A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c r="AC515" s="459"/>
    </row>
    <row r="516" spans="1:29">
      <c r="A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c r="AC516" s="459"/>
    </row>
    <row r="517" spans="1:29" ht="15.6">
      <c r="A517" s="425" t="s">
        <v>640</v>
      </c>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c r="AC517" s="459"/>
    </row>
    <row r="518" spans="1:29">
      <c r="A518" s="131" t="s">
        <v>641</v>
      </c>
      <c r="B518" s="131" t="s">
        <v>64</v>
      </c>
      <c r="C518" s="131" t="str">
        <f>C505</f>
        <v>IE</v>
      </c>
      <c r="D518" s="131" t="str">
        <f t="shared" ref="D518:AC518" si="401">D505</f>
        <v>IE-CW</v>
      </c>
      <c r="E518" s="131" t="str">
        <f t="shared" si="401"/>
        <v>IE-D</v>
      </c>
      <c r="F518" s="131" t="str">
        <f t="shared" si="401"/>
        <v>IE-KE</v>
      </c>
      <c r="G518" s="131" t="str">
        <f t="shared" si="401"/>
        <v>IE-KK</v>
      </c>
      <c r="H518" s="131" t="str">
        <f t="shared" si="401"/>
        <v>IE-LS</v>
      </c>
      <c r="I518" s="131" t="str">
        <f t="shared" si="401"/>
        <v>IE-LD</v>
      </c>
      <c r="J518" s="131" t="str">
        <f t="shared" si="401"/>
        <v>IE-LH</v>
      </c>
      <c r="K518" s="131" t="str">
        <f t="shared" si="401"/>
        <v>IE-MH</v>
      </c>
      <c r="L518" s="131" t="str">
        <f t="shared" si="401"/>
        <v>IE-OY</v>
      </c>
      <c r="M518" s="131" t="str">
        <f t="shared" si="401"/>
        <v>IE-WH</v>
      </c>
      <c r="N518" s="131" t="str">
        <f t="shared" si="401"/>
        <v>IE-WX</v>
      </c>
      <c r="O518" s="131" t="str">
        <f t="shared" si="401"/>
        <v>IE-WW</v>
      </c>
      <c r="P518" s="131" t="str">
        <f t="shared" si="401"/>
        <v>IE-CE</v>
      </c>
      <c r="Q518" s="131" t="str">
        <f t="shared" si="401"/>
        <v>IE-CO</v>
      </c>
      <c r="R518" s="131" t="str">
        <f t="shared" si="401"/>
        <v>IE-KY</v>
      </c>
      <c r="S518" s="131" t="str">
        <f t="shared" si="401"/>
        <v>IE-LK</v>
      </c>
      <c r="T518" s="131" t="str">
        <f t="shared" si="401"/>
        <v>IE-TA</v>
      </c>
      <c r="U518" s="131" t="str">
        <f t="shared" si="401"/>
        <v>IE-WD</v>
      </c>
      <c r="V518" s="131" t="str">
        <f t="shared" si="401"/>
        <v>IE-G</v>
      </c>
      <c r="W518" s="131" t="str">
        <f t="shared" si="401"/>
        <v>IE-LM</v>
      </c>
      <c r="X518" s="131" t="str">
        <f t="shared" si="401"/>
        <v>IE-MO</v>
      </c>
      <c r="Y518" s="131" t="str">
        <f t="shared" si="401"/>
        <v>IE-RN</v>
      </c>
      <c r="Z518" s="131" t="str">
        <f t="shared" si="401"/>
        <v>IE-SO</v>
      </c>
      <c r="AA518" s="131" t="str">
        <f t="shared" si="401"/>
        <v>IE-CN</v>
      </c>
      <c r="AB518" s="131" t="str">
        <f t="shared" si="401"/>
        <v>IE-DL</v>
      </c>
      <c r="AC518" s="131" t="str">
        <f t="shared" si="401"/>
        <v>IE-MN</v>
      </c>
    </row>
    <row r="519" spans="1:29">
      <c r="A519" s="459" t="s">
        <v>647</v>
      </c>
      <c r="B519" s="459" t="s">
        <v>611</v>
      </c>
      <c r="C519" s="505">
        <f>SUMPRODUCT(C493:C499,C506:C512)</f>
        <v>0.58782667363481544</v>
      </c>
      <c r="D519" s="505">
        <f>IF(D486&gt;1,SUMPRODUCT(D493:D499,D506:D512),$C$230)</f>
        <v>0.55978971428571422</v>
      </c>
      <c r="E519" s="505">
        <f t="shared" ref="E519:AC519" si="402">IF(E486&gt;1,SUMPRODUCT(E493:E499,E506:E512),$C$230)</f>
        <v>0.58837933042447998</v>
      </c>
      <c r="F519" s="505">
        <f t="shared" si="402"/>
        <v>0.59079058817025443</v>
      </c>
      <c r="G519" s="505">
        <f t="shared" si="402"/>
        <v>0.59832871335978832</v>
      </c>
      <c r="H519" s="505">
        <f t="shared" si="402"/>
        <v>0.6044465349489796</v>
      </c>
      <c r="I519" s="505">
        <f t="shared" si="402"/>
        <v>0.57239307428571429</v>
      </c>
      <c r="J519" s="505">
        <f t="shared" si="402"/>
        <v>0.59058078460471564</v>
      </c>
      <c r="K519" s="505">
        <f t="shared" si="402"/>
        <v>0.58923888193664076</v>
      </c>
      <c r="L519" s="505">
        <f t="shared" si="402"/>
        <v>0.55750141950738907</v>
      </c>
      <c r="M519" s="505">
        <f t="shared" si="402"/>
        <v>0.59641300492711358</v>
      </c>
      <c r="N519" s="505">
        <f t="shared" si="402"/>
        <v>0.59342002219858159</v>
      </c>
      <c r="O519" s="505">
        <f t="shared" si="402"/>
        <v>0.58956322797665373</v>
      </c>
      <c r="P519" s="505">
        <f t="shared" si="402"/>
        <v>0.58472721273698258</v>
      </c>
      <c r="Q519" s="505">
        <f t="shared" si="402"/>
        <v>0.58933582893274039</v>
      </c>
      <c r="R519" s="505">
        <f t="shared" si="402"/>
        <v>0.58290120800291534</v>
      </c>
      <c r="S519" s="505">
        <f t="shared" si="402"/>
        <v>0.59408065448315917</v>
      </c>
      <c r="T519" s="505">
        <f t="shared" si="402"/>
        <v>0.58825810446808502</v>
      </c>
      <c r="U519" s="505">
        <f t="shared" si="402"/>
        <v>0.58241497172857126</v>
      </c>
      <c r="V519" s="505">
        <f t="shared" si="402"/>
        <v>0.58974890598997487</v>
      </c>
      <c r="W519" s="505">
        <f t="shared" si="402"/>
        <v>0.55951737277310909</v>
      </c>
      <c r="X519" s="505">
        <f t="shared" si="402"/>
        <v>0.60422522270935952</v>
      </c>
      <c r="Y519" s="505">
        <f t="shared" si="402"/>
        <v>0.55701183085714279</v>
      </c>
      <c r="Z519" s="505">
        <f t="shared" si="402"/>
        <v>0.55750141950738907</v>
      </c>
      <c r="AA519" s="505">
        <f t="shared" si="402"/>
        <v>0.56715331004081626</v>
      </c>
      <c r="AB519" s="505">
        <f t="shared" si="402"/>
        <v>0.56647721142857133</v>
      </c>
      <c r="AC519" s="505">
        <f t="shared" si="402"/>
        <v>0.55655382857142843</v>
      </c>
    </row>
    <row r="520" spans="1:29">
      <c r="A520" s="458"/>
      <c r="B520" s="458" t="s">
        <v>599</v>
      </c>
      <c r="C520" s="508">
        <f>1000/C519</f>
        <v>1701.1817340926677</v>
      </c>
      <c r="D520" s="508">
        <f>1000/D519</f>
        <v>1786.3850915445803</v>
      </c>
      <c r="E520" s="508">
        <f>1000/E519</f>
        <v>1699.5838369756475</v>
      </c>
      <c r="F520" s="508">
        <f>1000/F519</f>
        <v>1692.647141006619</v>
      </c>
      <c r="G520" s="508">
        <f t="shared" ref="G520" si="403">1000/G519</f>
        <v>1671.322097154107</v>
      </c>
      <c r="H520" s="508">
        <f t="shared" ref="H520" si="404">1000/H519</f>
        <v>1654.4060428510993</v>
      </c>
      <c r="I520" s="508">
        <f t="shared" ref="I520" si="405">1000/I519</f>
        <v>1747.0511872420777</v>
      </c>
      <c r="J520" s="508">
        <f t="shared" ref="J520" si="406">1000/J519</f>
        <v>1693.2484531634645</v>
      </c>
      <c r="K520" s="508">
        <f t="shared" ref="K520" si="407">1000/K519</f>
        <v>1697.1045710923186</v>
      </c>
      <c r="L520" s="508">
        <f t="shared" ref="L520" si="408">1000/L519</f>
        <v>1793.717405928051</v>
      </c>
      <c r="M520" s="508">
        <f t="shared" ref="M520" si="409">1000/M519</f>
        <v>1676.6904674089189</v>
      </c>
      <c r="N520" s="508">
        <f t="shared" ref="N520" si="410">1000/N519</f>
        <v>1685.1470503052235</v>
      </c>
      <c r="O520" s="508">
        <f t="shared" ref="O520" si="411">1000/O519</f>
        <v>1696.1709152586418</v>
      </c>
      <c r="P520" s="508">
        <f t="shared" ref="P520" si="412">1000/P519</f>
        <v>1710.1991804335814</v>
      </c>
      <c r="Q520" s="508">
        <f t="shared" ref="Q520" si="413">1000/Q519</f>
        <v>1696.8253937843101</v>
      </c>
      <c r="R520" s="508">
        <f t="shared" ref="R520" si="414">1000/R519</f>
        <v>1715.5565750603121</v>
      </c>
      <c r="S520" s="508">
        <f t="shared" ref="S520" si="415">1000/S519</f>
        <v>1683.2731253805669</v>
      </c>
      <c r="T520" s="508">
        <f t="shared" ref="T520" si="416">1000/T519</f>
        <v>1699.9340806434284</v>
      </c>
      <c r="U520" s="508">
        <f t="shared" ref="U520" si="417">1000/U519</f>
        <v>1716.9888284843751</v>
      </c>
      <c r="V520" s="508">
        <f t="shared" ref="V520" si="418">1000/V519</f>
        <v>1695.6368885862739</v>
      </c>
      <c r="W520" s="508">
        <f t="shared" ref="W520" si="419">1000/W519</f>
        <v>1787.2546030943561</v>
      </c>
      <c r="X520" s="508">
        <f t="shared" ref="X520" si="420">1000/X519</f>
        <v>1655.0120094556421</v>
      </c>
      <c r="Y520" s="508">
        <f t="shared" ref="Y520" si="421">1000/Y519</f>
        <v>1795.2940038296433</v>
      </c>
      <c r="Z520" s="508">
        <f t="shared" ref="Z520" si="422">1000/Z519</f>
        <v>1793.717405928051</v>
      </c>
      <c r="AA520" s="508">
        <f t="shared" ref="AA520" si="423">1000/AA519</f>
        <v>1763.191684322592</v>
      </c>
      <c r="AB520" s="508">
        <f t="shared" ref="AB520" si="424">1000/AB519</f>
        <v>1765.2960786862875</v>
      </c>
      <c r="AC520" s="508">
        <f t="shared" ref="AC520" si="425">1000/AC519</f>
        <v>1796.7713968778482</v>
      </c>
    </row>
    <row r="524" spans="1:29">
      <c r="A524" s="511"/>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row>
    <row r="525" spans="1:29" ht="15.6">
      <c r="A525" s="425" t="s">
        <v>656</v>
      </c>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c r="AC525" s="459"/>
    </row>
    <row r="526" spans="1:29">
      <c r="A526" s="131" t="s">
        <v>606</v>
      </c>
      <c r="B526" s="131" t="s">
        <v>64</v>
      </c>
      <c r="C526" s="131" t="str">
        <f>C518</f>
        <v>IE</v>
      </c>
      <c r="D526" s="131" t="str">
        <f t="shared" ref="D526:AC526" si="426">D518</f>
        <v>IE-CW</v>
      </c>
      <c r="E526" s="131" t="str">
        <f t="shared" si="426"/>
        <v>IE-D</v>
      </c>
      <c r="F526" s="131" t="str">
        <f t="shared" si="426"/>
        <v>IE-KE</v>
      </c>
      <c r="G526" s="131" t="str">
        <f t="shared" si="426"/>
        <v>IE-KK</v>
      </c>
      <c r="H526" s="131" t="str">
        <f t="shared" si="426"/>
        <v>IE-LS</v>
      </c>
      <c r="I526" s="131" t="str">
        <f t="shared" si="426"/>
        <v>IE-LD</v>
      </c>
      <c r="J526" s="131" t="str">
        <f t="shared" si="426"/>
        <v>IE-LH</v>
      </c>
      <c r="K526" s="131" t="str">
        <f t="shared" si="426"/>
        <v>IE-MH</v>
      </c>
      <c r="L526" s="131" t="str">
        <f t="shared" si="426"/>
        <v>IE-OY</v>
      </c>
      <c r="M526" s="131" t="str">
        <f t="shared" si="426"/>
        <v>IE-WH</v>
      </c>
      <c r="N526" s="131" t="str">
        <f t="shared" si="426"/>
        <v>IE-WX</v>
      </c>
      <c r="O526" s="131" t="str">
        <f t="shared" si="426"/>
        <v>IE-WW</v>
      </c>
      <c r="P526" s="131" t="str">
        <f t="shared" si="426"/>
        <v>IE-CE</v>
      </c>
      <c r="Q526" s="131" t="str">
        <f t="shared" si="426"/>
        <v>IE-CO</v>
      </c>
      <c r="R526" s="131" t="str">
        <f t="shared" si="426"/>
        <v>IE-KY</v>
      </c>
      <c r="S526" s="131" t="str">
        <f t="shared" si="426"/>
        <v>IE-LK</v>
      </c>
      <c r="T526" s="131" t="str">
        <f t="shared" si="426"/>
        <v>IE-TA</v>
      </c>
      <c r="U526" s="131" t="str">
        <f t="shared" si="426"/>
        <v>IE-WD</v>
      </c>
      <c r="V526" s="131" t="str">
        <f t="shared" si="426"/>
        <v>IE-G</v>
      </c>
      <c r="W526" s="131" t="str">
        <f t="shared" si="426"/>
        <v>IE-LM</v>
      </c>
      <c r="X526" s="131" t="str">
        <f t="shared" si="426"/>
        <v>IE-MO</v>
      </c>
      <c r="Y526" s="131" t="str">
        <f t="shared" si="426"/>
        <v>IE-RN</v>
      </c>
      <c r="Z526" s="131" t="str">
        <f t="shared" si="426"/>
        <v>IE-SO</v>
      </c>
      <c r="AA526" s="131" t="str">
        <f t="shared" si="426"/>
        <v>IE-CN</v>
      </c>
      <c r="AB526" s="131" t="str">
        <f t="shared" si="426"/>
        <v>IE-DL</v>
      </c>
      <c r="AC526" s="131" t="str">
        <f t="shared" si="426"/>
        <v>IE-MN</v>
      </c>
    </row>
    <row r="527" spans="1:29">
      <c r="A527" s="459" t="s">
        <v>345</v>
      </c>
      <c r="B527" s="459" t="s">
        <v>531</v>
      </c>
      <c r="C527" s="36">
        <f>SUM(D527:AC527)</f>
        <v>5</v>
      </c>
      <c r="D527" s="459">
        <v>0</v>
      </c>
      <c r="E527" s="459">
        <v>4</v>
      </c>
      <c r="F527" s="459">
        <v>0</v>
      </c>
      <c r="G527" s="459">
        <v>0</v>
      </c>
      <c r="H527" s="459">
        <v>0</v>
      </c>
      <c r="I527" s="459">
        <v>0</v>
      </c>
      <c r="J527" s="459">
        <v>0</v>
      </c>
      <c r="K527" s="459">
        <v>0</v>
      </c>
      <c r="L527" s="459">
        <v>0</v>
      </c>
      <c r="M527" s="459">
        <v>0</v>
      </c>
      <c r="N527" s="459">
        <v>0</v>
      </c>
      <c r="O527" s="459">
        <v>0</v>
      </c>
      <c r="P527" s="459">
        <v>0</v>
      </c>
      <c r="Q527" s="459">
        <v>1</v>
      </c>
      <c r="R527" s="459">
        <v>0</v>
      </c>
      <c r="S527" s="459">
        <v>0</v>
      </c>
      <c r="T527" s="459">
        <v>0</v>
      </c>
      <c r="U527" s="459">
        <v>0</v>
      </c>
      <c r="V527" s="459">
        <v>0</v>
      </c>
      <c r="W527" s="459">
        <v>0</v>
      </c>
      <c r="X527" s="459">
        <v>0</v>
      </c>
      <c r="Y527" s="459">
        <v>0</v>
      </c>
      <c r="Z527" s="459">
        <v>0</v>
      </c>
      <c r="AA527" s="459">
        <v>0</v>
      </c>
      <c r="AB527" s="459">
        <v>0</v>
      </c>
      <c r="AC527" s="459">
        <v>0</v>
      </c>
    </row>
    <row r="528" spans="1:29">
      <c r="A528" s="459" t="s">
        <v>346</v>
      </c>
      <c r="B528" s="459" t="s">
        <v>531</v>
      </c>
      <c r="C528" s="36">
        <f t="shared" ref="C528:C533" si="427">SUM(D528:AC528)</f>
        <v>49</v>
      </c>
      <c r="D528" s="459">
        <v>0</v>
      </c>
      <c r="E528" s="459">
        <v>35</v>
      </c>
      <c r="F528" s="459">
        <v>5</v>
      </c>
      <c r="G528" s="459">
        <v>0</v>
      </c>
      <c r="H528" s="459">
        <v>0</v>
      </c>
      <c r="I528" s="459">
        <v>0</v>
      </c>
      <c r="J528" s="459">
        <v>2</v>
      </c>
      <c r="K528" s="459">
        <v>0</v>
      </c>
      <c r="L528" s="459">
        <v>0</v>
      </c>
      <c r="M528" s="459">
        <v>0</v>
      </c>
      <c r="N528" s="459">
        <v>0</v>
      </c>
      <c r="O528" s="459">
        <v>0</v>
      </c>
      <c r="P528" s="459">
        <v>0</v>
      </c>
      <c r="Q528" s="459">
        <v>2</v>
      </c>
      <c r="R528" s="459">
        <v>1</v>
      </c>
      <c r="S528" s="459">
        <v>1</v>
      </c>
      <c r="T528" s="459">
        <v>0</v>
      </c>
      <c r="U528" s="459">
        <v>1</v>
      </c>
      <c r="V528" s="459">
        <v>0</v>
      </c>
      <c r="W528" s="459">
        <v>0</v>
      </c>
      <c r="X528" s="459">
        <v>0</v>
      </c>
      <c r="Y528" s="459">
        <v>0</v>
      </c>
      <c r="Z528" s="459">
        <v>0</v>
      </c>
      <c r="AA528" s="459">
        <v>1</v>
      </c>
      <c r="AB528" s="459">
        <v>1</v>
      </c>
      <c r="AC528" s="459">
        <v>0</v>
      </c>
    </row>
    <row r="529" spans="1:29">
      <c r="A529" s="459" t="s">
        <v>347</v>
      </c>
      <c r="B529" s="459" t="s">
        <v>531</v>
      </c>
      <c r="C529" s="36">
        <f t="shared" si="427"/>
        <v>150</v>
      </c>
      <c r="D529" s="459">
        <v>0</v>
      </c>
      <c r="E529" s="459">
        <v>104</v>
      </c>
      <c r="F529" s="459">
        <v>3</v>
      </c>
      <c r="G529" s="459">
        <v>1</v>
      </c>
      <c r="H529" s="459">
        <v>2</v>
      </c>
      <c r="I529" s="459">
        <v>0</v>
      </c>
      <c r="J529" s="459">
        <v>2</v>
      </c>
      <c r="K529" s="459">
        <v>3</v>
      </c>
      <c r="L529" s="459">
        <v>1</v>
      </c>
      <c r="M529" s="459">
        <v>1</v>
      </c>
      <c r="N529" s="459">
        <v>1</v>
      </c>
      <c r="O529" s="459">
        <v>0</v>
      </c>
      <c r="P529" s="459">
        <v>2</v>
      </c>
      <c r="Q529" s="459">
        <v>12</v>
      </c>
      <c r="R529" s="459">
        <v>3</v>
      </c>
      <c r="S529" s="459">
        <v>8</v>
      </c>
      <c r="T529" s="459">
        <v>1</v>
      </c>
      <c r="U529" s="459">
        <v>1</v>
      </c>
      <c r="V529" s="459">
        <v>2</v>
      </c>
      <c r="W529" s="459">
        <v>0</v>
      </c>
      <c r="X529" s="459">
        <v>1</v>
      </c>
      <c r="Y529" s="459">
        <v>0</v>
      </c>
      <c r="Z529" s="459">
        <v>2</v>
      </c>
      <c r="AA529" s="459">
        <v>0</v>
      </c>
      <c r="AB529" s="459">
        <v>0</v>
      </c>
      <c r="AC529" s="459">
        <v>0</v>
      </c>
    </row>
    <row r="530" spans="1:29">
      <c r="A530" s="459" t="s">
        <v>348</v>
      </c>
      <c r="B530" s="459" t="s">
        <v>531</v>
      </c>
      <c r="C530" s="36">
        <f t="shared" si="427"/>
        <v>1287</v>
      </c>
      <c r="D530" s="459">
        <v>2</v>
      </c>
      <c r="E530" s="459">
        <v>810</v>
      </c>
      <c r="F530" s="459">
        <v>32</v>
      </c>
      <c r="G530" s="459">
        <v>6</v>
      </c>
      <c r="H530" s="459">
        <v>5</v>
      </c>
      <c r="I530" s="459">
        <v>0</v>
      </c>
      <c r="J530" s="459">
        <v>21</v>
      </c>
      <c r="K530" s="459">
        <v>48</v>
      </c>
      <c r="L530" s="459">
        <v>3</v>
      </c>
      <c r="M530" s="459">
        <v>9</v>
      </c>
      <c r="N530" s="459">
        <v>9</v>
      </c>
      <c r="O530" s="459">
        <v>15</v>
      </c>
      <c r="P530" s="459">
        <v>26</v>
      </c>
      <c r="Q530" s="459">
        <v>95</v>
      </c>
      <c r="R530" s="459">
        <v>10</v>
      </c>
      <c r="S530" s="459">
        <v>84</v>
      </c>
      <c r="T530" s="459">
        <v>6</v>
      </c>
      <c r="U530" s="459">
        <v>25</v>
      </c>
      <c r="V530" s="459">
        <v>51</v>
      </c>
      <c r="W530" s="459">
        <v>0</v>
      </c>
      <c r="X530" s="459">
        <v>12</v>
      </c>
      <c r="Y530" s="459">
        <v>1</v>
      </c>
      <c r="Z530" s="459">
        <v>6</v>
      </c>
      <c r="AA530" s="459">
        <v>3</v>
      </c>
      <c r="AB530" s="459">
        <v>7</v>
      </c>
      <c r="AC530" s="459">
        <v>1</v>
      </c>
    </row>
    <row r="531" spans="1:29">
      <c r="A531" s="459" t="s">
        <v>349</v>
      </c>
      <c r="B531" s="459" t="s">
        <v>531</v>
      </c>
      <c r="C531" s="36">
        <f t="shared" si="427"/>
        <v>577</v>
      </c>
      <c r="D531" s="459">
        <v>0</v>
      </c>
      <c r="E531" s="459">
        <v>413</v>
      </c>
      <c r="F531" s="459">
        <v>21</v>
      </c>
      <c r="G531" s="459">
        <v>1</v>
      </c>
      <c r="H531" s="459">
        <v>2</v>
      </c>
      <c r="I531" s="459">
        <v>1</v>
      </c>
      <c r="J531" s="459">
        <v>11</v>
      </c>
      <c r="K531" s="459">
        <v>16</v>
      </c>
      <c r="L531" s="459">
        <v>4</v>
      </c>
      <c r="M531" s="459">
        <v>2</v>
      </c>
      <c r="N531" s="459">
        <v>2</v>
      </c>
      <c r="O531" s="459">
        <v>5</v>
      </c>
      <c r="P531" s="459">
        <v>10</v>
      </c>
      <c r="Q531" s="459">
        <v>27</v>
      </c>
      <c r="R531" s="459">
        <v>4</v>
      </c>
      <c r="S531" s="459">
        <v>13</v>
      </c>
      <c r="T531" s="459">
        <v>1</v>
      </c>
      <c r="U531" s="459">
        <v>3</v>
      </c>
      <c r="V531" s="459">
        <v>33</v>
      </c>
      <c r="W531" s="459">
        <v>0</v>
      </c>
      <c r="X531" s="459">
        <v>2</v>
      </c>
      <c r="Y531" s="459">
        <v>0</v>
      </c>
      <c r="Z531" s="459">
        <v>1</v>
      </c>
      <c r="AA531" s="459">
        <v>2</v>
      </c>
      <c r="AB531" s="459">
        <v>3</v>
      </c>
      <c r="AC531" s="459">
        <v>0</v>
      </c>
    </row>
    <row r="532" spans="1:29">
      <c r="A532" s="459" t="s">
        <v>350</v>
      </c>
      <c r="B532" s="459" t="s">
        <v>531</v>
      </c>
      <c r="C532" s="36">
        <f t="shared" si="427"/>
        <v>161</v>
      </c>
      <c r="D532" s="459">
        <v>3</v>
      </c>
      <c r="E532" s="459">
        <v>103</v>
      </c>
      <c r="F532" s="459">
        <v>2</v>
      </c>
      <c r="G532" s="459">
        <v>0</v>
      </c>
      <c r="H532" s="459">
        <v>0</v>
      </c>
      <c r="I532" s="459">
        <v>0</v>
      </c>
      <c r="J532" s="459">
        <v>1</v>
      </c>
      <c r="K532" s="459">
        <v>10</v>
      </c>
      <c r="L532" s="459">
        <v>0</v>
      </c>
      <c r="M532" s="459">
        <v>0</v>
      </c>
      <c r="N532" s="459">
        <v>1</v>
      </c>
      <c r="O532" s="459">
        <v>4</v>
      </c>
      <c r="P532" s="459">
        <v>1</v>
      </c>
      <c r="Q532" s="459">
        <v>6</v>
      </c>
      <c r="R532" s="459">
        <v>2</v>
      </c>
      <c r="S532" s="459">
        <v>5</v>
      </c>
      <c r="T532" s="459">
        <v>1</v>
      </c>
      <c r="U532" s="459">
        <v>7</v>
      </c>
      <c r="V532" s="459">
        <v>8</v>
      </c>
      <c r="W532" s="459">
        <v>0</v>
      </c>
      <c r="X532" s="459">
        <v>1</v>
      </c>
      <c r="Y532" s="459">
        <v>0</v>
      </c>
      <c r="Z532" s="459">
        <v>1</v>
      </c>
      <c r="AA532" s="459">
        <v>0</v>
      </c>
      <c r="AB532" s="459">
        <v>5</v>
      </c>
      <c r="AC532" s="459">
        <v>0</v>
      </c>
    </row>
    <row r="533" spans="1:29">
      <c r="A533" s="459" t="s">
        <v>351</v>
      </c>
      <c r="B533" s="459" t="s">
        <v>531</v>
      </c>
      <c r="C533" s="36">
        <f t="shared" si="427"/>
        <v>271</v>
      </c>
      <c r="D533" s="459">
        <v>5</v>
      </c>
      <c r="E533" s="459">
        <v>110</v>
      </c>
      <c r="F533" s="459">
        <v>8</v>
      </c>
      <c r="G533" s="459">
        <v>2</v>
      </c>
      <c r="H533" s="459">
        <v>3</v>
      </c>
      <c r="I533" s="459">
        <v>3</v>
      </c>
      <c r="J533" s="459">
        <v>11</v>
      </c>
      <c r="K533" s="459">
        <v>18</v>
      </c>
      <c r="L533" s="459">
        <v>6</v>
      </c>
      <c r="M533" s="459">
        <v>2</v>
      </c>
      <c r="N533" s="459">
        <v>4</v>
      </c>
      <c r="O533" s="459">
        <v>7</v>
      </c>
      <c r="P533" s="459">
        <v>5</v>
      </c>
      <c r="Q533" s="459">
        <v>21</v>
      </c>
      <c r="R533" s="459">
        <v>8</v>
      </c>
      <c r="S533" s="459">
        <v>14</v>
      </c>
      <c r="T533" s="459">
        <v>3</v>
      </c>
      <c r="U533" s="459">
        <v>7</v>
      </c>
      <c r="V533" s="459">
        <v>21</v>
      </c>
      <c r="W533" s="459">
        <v>0</v>
      </c>
      <c r="X533" s="459">
        <v>4</v>
      </c>
      <c r="Y533" s="459">
        <v>2</v>
      </c>
      <c r="Z533" s="459">
        <v>2</v>
      </c>
      <c r="AA533" s="459">
        <v>1</v>
      </c>
      <c r="AB533" s="459">
        <v>1</v>
      </c>
      <c r="AC533" s="459">
        <v>3</v>
      </c>
    </row>
    <row r="534" spans="1:29">
      <c r="A534" s="458" t="s">
        <v>16</v>
      </c>
      <c r="B534" s="458" t="s">
        <v>531</v>
      </c>
      <c r="C534" s="504">
        <f>SUM(D534:AC534)</f>
        <v>2500</v>
      </c>
      <c r="D534" s="504">
        <f t="shared" ref="D534:AC534" si="428">SUM(D527:D533)</f>
        <v>10</v>
      </c>
      <c r="E534" s="504">
        <f t="shared" si="428"/>
        <v>1579</v>
      </c>
      <c r="F534" s="504">
        <f t="shared" si="428"/>
        <v>71</v>
      </c>
      <c r="G534" s="504">
        <f t="shared" si="428"/>
        <v>10</v>
      </c>
      <c r="H534" s="504">
        <f t="shared" si="428"/>
        <v>12</v>
      </c>
      <c r="I534" s="504">
        <f t="shared" si="428"/>
        <v>4</v>
      </c>
      <c r="J534" s="504">
        <f t="shared" si="428"/>
        <v>48</v>
      </c>
      <c r="K534" s="504">
        <f t="shared" si="428"/>
        <v>95</v>
      </c>
      <c r="L534" s="504">
        <f t="shared" si="428"/>
        <v>14</v>
      </c>
      <c r="M534" s="504">
        <f t="shared" si="428"/>
        <v>14</v>
      </c>
      <c r="N534" s="504">
        <f t="shared" si="428"/>
        <v>17</v>
      </c>
      <c r="O534" s="504">
        <f t="shared" si="428"/>
        <v>31</v>
      </c>
      <c r="P534" s="504">
        <f t="shared" si="428"/>
        <v>44</v>
      </c>
      <c r="Q534" s="504">
        <f t="shared" si="428"/>
        <v>164</v>
      </c>
      <c r="R534" s="504">
        <f t="shared" si="428"/>
        <v>28</v>
      </c>
      <c r="S534" s="504">
        <f t="shared" si="428"/>
        <v>125</v>
      </c>
      <c r="T534" s="504">
        <f t="shared" si="428"/>
        <v>12</v>
      </c>
      <c r="U534" s="504">
        <f t="shared" si="428"/>
        <v>44</v>
      </c>
      <c r="V534" s="504">
        <f t="shared" si="428"/>
        <v>115</v>
      </c>
      <c r="W534" s="504">
        <f t="shared" si="428"/>
        <v>0</v>
      </c>
      <c r="X534" s="504">
        <f t="shared" si="428"/>
        <v>20</v>
      </c>
      <c r="Y534" s="504">
        <f t="shared" si="428"/>
        <v>3</v>
      </c>
      <c r="Z534" s="504">
        <f t="shared" si="428"/>
        <v>12</v>
      </c>
      <c r="AA534" s="504">
        <f t="shared" si="428"/>
        <v>7</v>
      </c>
      <c r="AB534" s="504">
        <f t="shared" si="428"/>
        <v>17</v>
      </c>
      <c r="AC534" s="504">
        <f t="shared" si="428"/>
        <v>4</v>
      </c>
    </row>
    <row r="535" spans="1:29">
      <c r="A535" s="459" t="s">
        <v>617</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c r="AC536" s="459"/>
    </row>
    <row r="537" spans="1:29">
      <c r="A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c r="AC537" s="459"/>
    </row>
    <row r="538" spans="1:29">
      <c r="A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row>
    <row r="539" spans="1:29" ht="15.6">
      <c r="A539" s="425" t="s">
        <v>657</v>
      </c>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c r="AC539" s="459"/>
    </row>
    <row r="540" spans="1:29">
      <c r="A540" s="131" t="s">
        <v>606</v>
      </c>
      <c r="B540" s="131" t="s">
        <v>64</v>
      </c>
      <c r="C540" s="131" t="str">
        <f>C526</f>
        <v>IE</v>
      </c>
      <c r="D540" s="131" t="str">
        <f t="shared" ref="D540:AC540" si="429">D526</f>
        <v>IE-CW</v>
      </c>
      <c r="E540" s="131" t="str">
        <f t="shared" si="429"/>
        <v>IE-D</v>
      </c>
      <c r="F540" s="131" t="str">
        <f t="shared" si="429"/>
        <v>IE-KE</v>
      </c>
      <c r="G540" s="131" t="str">
        <f t="shared" si="429"/>
        <v>IE-KK</v>
      </c>
      <c r="H540" s="131" t="str">
        <f t="shared" si="429"/>
        <v>IE-LS</v>
      </c>
      <c r="I540" s="131" t="str">
        <f t="shared" si="429"/>
        <v>IE-LD</v>
      </c>
      <c r="J540" s="131" t="str">
        <f t="shared" si="429"/>
        <v>IE-LH</v>
      </c>
      <c r="K540" s="131" t="str">
        <f t="shared" si="429"/>
        <v>IE-MH</v>
      </c>
      <c r="L540" s="131" t="str">
        <f t="shared" si="429"/>
        <v>IE-OY</v>
      </c>
      <c r="M540" s="131" t="str">
        <f t="shared" si="429"/>
        <v>IE-WH</v>
      </c>
      <c r="N540" s="131" t="str">
        <f t="shared" si="429"/>
        <v>IE-WX</v>
      </c>
      <c r="O540" s="131" t="str">
        <f t="shared" si="429"/>
        <v>IE-WW</v>
      </c>
      <c r="P540" s="131" t="str">
        <f t="shared" si="429"/>
        <v>IE-CE</v>
      </c>
      <c r="Q540" s="131" t="str">
        <f t="shared" si="429"/>
        <v>IE-CO</v>
      </c>
      <c r="R540" s="131" t="str">
        <f t="shared" si="429"/>
        <v>IE-KY</v>
      </c>
      <c r="S540" s="131" t="str">
        <f t="shared" si="429"/>
        <v>IE-LK</v>
      </c>
      <c r="T540" s="131" t="str">
        <f t="shared" si="429"/>
        <v>IE-TA</v>
      </c>
      <c r="U540" s="131" t="str">
        <f t="shared" si="429"/>
        <v>IE-WD</v>
      </c>
      <c r="V540" s="131" t="str">
        <f t="shared" si="429"/>
        <v>IE-G</v>
      </c>
      <c r="W540" s="131" t="str">
        <f t="shared" si="429"/>
        <v>IE-LM</v>
      </c>
      <c r="X540" s="131" t="str">
        <f t="shared" si="429"/>
        <v>IE-MO</v>
      </c>
      <c r="Y540" s="131" t="str">
        <f t="shared" si="429"/>
        <v>IE-RN</v>
      </c>
      <c r="Z540" s="131" t="str">
        <f t="shared" si="429"/>
        <v>IE-SO</v>
      </c>
      <c r="AA540" s="131" t="str">
        <f t="shared" si="429"/>
        <v>IE-CN</v>
      </c>
      <c r="AB540" s="131" t="str">
        <f t="shared" si="429"/>
        <v>IE-DL</v>
      </c>
      <c r="AC540" s="131" t="str">
        <f t="shared" si="429"/>
        <v>IE-MN</v>
      </c>
    </row>
    <row r="541" spans="1:29">
      <c r="A541" s="459" t="s">
        <v>345</v>
      </c>
      <c r="B541" s="507" t="s">
        <v>610</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515" t="e">
        <f>W527/W$534</f>
        <v>#DIV/0!</v>
      </c>
      <c r="X541" s="35">
        <f t="shared" si="430"/>
        <v>0</v>
      </c>
      <c r="Y541" s="35">
        <f t="shared" si="430"/>
        <v>0</v>
      </c>
      <c r="Z541" s="35">
        <f t="shared" si="430"/>
        <v>0</v>
      </c>
      <c r="AA541" s="35">
        <f t="shared" si="430"/>
        <v>0</v>
      </c>
      <c r="AB541" s="35">
        <f t="shared" si="430"/>
        <v>0</v>
      </c>
      <c r="AC541" s="35">
        <f t="shared" si="430"/>
        <v>0</v>
      </c>
    </row>
    <row r="542" spans="1:29">
      <c r="A542" s="459" t="s">
        <v>346</v>
      </c>
      <c r="B542" s="1" t="s">
        <v>610</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459" t="s">
        <v>347</v>
      </c>
      <c r="B543" s="1" t="s">
        <v>610</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459" t="s">
        <v>348</v>
      </c>
      <c r="B544" s="1" t="s">
        <v>610</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459" t="s">
        <v>349</v>
      </c>
      <c r="B545" s="1" t="s">
        <v>610</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459" t="s">
        <v>350</v>
      </c>
      <c r="B546" s="1" t="s">
        <v>610</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459" t="s">
        <v>351</v>
      </c>
      <c r="B547" s="1" t="s">
        <v>610</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458" t="s">
        <v>16</v>
      </c>
      <c r="B548" s="458" t="s">
        <v>610</v>
      </c>
      <c r="C548" s="403">
        <f t="shared" ref="C548:AC548" si="433">SUM(C541:C547)</f>
        <v>1</v>
      </c>
      <c r="D548" s="403">
        <f t="shared" si="433"/>
        <v>1</v>
      </c>
      <c r="E548" s="403">
        <f t="shared" si="433"/>
        <v>1</v>
      </c>
      <c r="F548" s="403">
        <f t="shared" si="433"/>
        <v>0.99999999999999989</v>
      </c>
      <c r="G548" s="403">
        <f t="shared" si="433"/>
        <v>1</v>
      </c>
      <c r="H548" s="403">
        <f t="shared" si="433"/>
        <v>1</v>
      </c>
      <c r="I548" s="403">
        <f t="shared" si="433"/>
        <v>1</v>
      </c>
      <c r="J548" s="403">
        <f t="shared" si="433"/>
        <v>1</v>
      </c>
      <c r="K548" s="403">
        <f t="shared" si="433"/>
        <v>1</v>
      </c>
      <c r="L548" s="403">
        <f t="shared" si="433"/>
        <v>1</v>
      </c>
      <c r="M548" s="403">
        <f t="shared" si="433"/>
        <v>1</v>
      </c>
      <c r="N548" s="403">
        <f t="shared" si="433"/>
        <v>1</v>
      </c>
      <c r="O548" s="403">
        <f t="shared" si="433"/>
        <v>1</v>
      </c>
      <c r="P548" s="403">
        <f t="shared" si="433"/>
        <v>1</v>
      </c>
      <c r="Q548" s="403">
        <f t="shared" si="433"/>
        <v>1</v>
      </c>
      <c r="R548" s="403">
        <f t="shared" si="433"/>
        <v>0.99999999999999989</v>
      </c>
      <c r="S548" s="403">
        <f t="shared" si="433"/>
        <v>1</v>
      </c>
      <c r="T548" s="403">
        <f t="shared" si="433"/>
        <v>1</v>
      </c>
      <c r="U548" s="403">
        <f t="shared" si="433"/>
        <v>1</v>
      </c>
      <c r="V548" s="403">
        <f t="shared" si="433"/>
        <v>1</v>
      </c>
      <c r="W548" s="403" t="e">
        <f t="shared" si="433"/>
        <v>#DIV/0!</v>
      </c>
      <c r="X548" s="403">
        <f t="shared" si="433"/>
        <v>1</v>
      </c>
      <c r="Y548" s="403">
        <f t="shared" si="433"/>
        <v>1</v>
      </c>
      <c r="Z548" s="403">
        <f t="shared" si="433"/>
        <v>1</v>
      </c>
      <c r="AA548" s="403">
        <f t="shared" si="433"/>
        <v>1</v>
      </c>
      <c r="AB548" s="403">
        <f t="shared" si="433"/>
        <v>1</v>
      </c>
      <c r="AC548" s="403">
        <f t="shared" si="433"/>
        <v>1</v>
      </c>
    </row>
    <row r="549" spans="1:29">
      <c r="A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c r="AC549" s="459"/>
    </row>
    <row r="550" spans="1:29">
      <c r="A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row>
    <row r="551" spans="1:29">
      <c r="A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row>
    <row r="552" spans="1:29" ht="15.6">
      <c r="A552" s="425" t="s">
        <v>658</v>
      </c>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row>
    <row r="553" spans="1:29">
      <c r="A553" s="131" t="s">
        <v>606</v>
      </c>
      <c r="B553" s="131" t="s">
        <v>64</v>
      </c>
      <c r="C553" s="131" t="str">
        <f>C540</f>
        <v>IE</v>
      </c>
      <c r="D553" s="131" t="str">
        <f t="shared" ref="D553:AC553" si="434">D540</f>
        <v>IE-CW</v>
      </c>
      <c r="E553" s="131" t="str">
        <f t="shared" si="434"/>
        <v>IE-D</v>
      </c>
      <c r="F553" s="131" t="str">
        <f t="shared" si="434"/>
        <v>IE-KE</v>
      </c>
      <c r="G553" s="131" t="str">
        <f t="shared" si="434"/>
        <v>IE-KK</v>
      </c>
      <c r="H553" s="131" t="str">
        <f t="shared" si="434"/>
        <v>IE-LS</v>
      </c>
      <c r="I553" s="131" t="str">
        <f t="shared" si="434"/>
        <v>IE-LD</v>
      </c>
      <c r="J553" s="131" t="str">
        <f t="shared" si="434"/>
        <v>IE-LH</v>
      </c>
      <c r="K553" s="131" t="str">
        <f t="shared" si="434"/>
        <v>IE-MH</v>
      </c>
      <c r="L553" s="131" t="str">
        <f t="shared" si="434"/>
        <v>IE-OY</v>
      </c>
      <c r="M553" s="131" t="str">
        <f t="shared" si="434"/>
        <v>IE-WH</v>
      </c>
      <c r="N553" s="131" t="str">
        <f t="shared" si="434"/>
        <v>IE-WX</v>
      </c>
      <c r="O553" s="131" t="str">
        <f t="shared" si="434"/>
        <v>IE-WW</v>
      </c>
      <c r="P553" s="131" t="str">
        <f t="shared" si="434"/>
        <v>IE-CE</v>
      </c>
      <c r="Q553" s="131" t="str">
        <f t="shared" si="434"/>
        <v>IE-CO</v>
      </c>
      <c r="R553" s="131" t="str">
        <f t="shared" si="434"/>
        <v>IE-KY</v>
      </c>
      <c r="S553" s="131" t="str">
        <f t="shared" si="434"/>
        <v>IE-LK</v>
      </c>
      <c r="T553" s="131" t="str">
        <f t="shared" si="434"/>
        <v>IE-TA</v>
      </c>
      <c r="U553" s="131" t="str">
        <f t="shared" si="434"/>
        <v>IE-WD</v>
      </c>
      <c r="V553" s="131" t="str">
        <f t="shared" si="434"/>
        <v>IE-G</v>
      </c>
      <c r="W553" s="131" t="str">
        <f t="shared" si="434"/>
        <v>IE-LM</v>
      </c>
      <c r="X553" s="131" t="str">
        <f t="shared" si="434"/>
        <v>IE-MO</v>
      </c>
      <c r="Y553" s="131" t="str">
        <f t="shared" si="434"/>
        <v>IE-RN</v>
      </c>
      <c r="Z553" s="131" t="str">
        <f t="shared" si="434"/>
        <v>IE-SO</v>
      </c>
      <c r="AA553" s="131" t="str">
        <f t="shared" si="434"/>
        <v>IE-CN</v>
      </c>
      <c r="AB553" s="131" t="str">
        <f t="shared" si="434"/>
        <v>IE-DL</v>
      </c>
      <c r="AC553" s="131" t="str">
        <f t="shared" si="434"/>
        <v>IE-MN</v>
      </c>
    </row>
    <row r="554" spans="1:29">
      <c r="A554" s="459" t="s">
        <v>345</v>
      </c>
      <c r="B554" s="459" t="s">
        <v>611</v>
      </c>
      <c r="C554" s="505">
        <v>1.5410369892896236</v>
      </c>
      <c r="D554" s="505">
        <v>1.5410369892896236</v>
      </c>
      <c r="E554" s="505">
        <v>1.5410369892896236</v>
      </c>
      <c r="F554" s="505">
        <v>1.5410369892896236</v>
      </c>
      <c r="G554" s="505">
        <v>1.5410369892896236</v>
      </c>
      <c r="H554" s="505">
        <v>1.5410369892896236</v>
      </c>
      <c r="I554" s="505">
        <v>1.5410369892896236</v>
      </c>
      <c r="J554" s="505">
        <v>1.5410369892896236</v>
      </c>
      <c r="K554" s="505">
        <v>1.5410369892896236</v>
      </c>
      <c r="L554" s="505">
        <v>1.5410369892896236</v>
      </c>
      <c r="M554" s="505">
        <v>1.5410369892896236</v>
      </c>
      <c r="N554" s="505">
        <v>1.5410369892896236</v>
      </c>
      <c r="O554" s="505">
        <v>1.5410369892896236</v>
      </c>
      <c r="P554" s="505">
        <v>1.5410369892896236</v>
      </c>
      <c r="Q554" s="505">
        <v>1.5410369892896236</v>
      </c>
      <c r="R554" s="505">
        <v>1.5410369892896236</v>
      </c>
      <c r="S554" s="505">
        <v>1.5410369892896236</v>
      </c>
      <c r="T554" s="505">
        <v>1.5410369892896236</v>
      </c>
      <c r="U554" s="505">
        <v>1.5410369892896236</v>
      </c>
      <c r="V554" s="505">
        <v>1.5410369892896236</v>
      </c>
      <c r="W554" s="505">
        <v>1.5410369892896236</v>
      </c>
      <c r="X554" s="505">
        <v>1.5410369892896236</v>
      </c>
      <c r="Y554" s="505">
        <v>1.5410369892896236</v>
      </c>
      <c r="Z554" s="505">
        <v>1.5410369892896236</v>
      </c>
      <c r="AA554" s="505">
        <v>1.5410369892896236</v>
      </c>
      <c r="AB554" s="505">
        <v>1.5410369892896236</v>
      </c>
      <c r="AC554" s="505">
        <v>1.5410369892896236</v>
      </c>
    </row>
    <row r="555" spans="1:29">
      <c r="A555" s="459" t="s">
        <v>346</v>
      </c>
      <c r="B555" s="459" t="s">
        <v>611</v>
      </c>
      <c r="C555" s="505">
        <v>1.5689674081337737</v>
      </c>
      <c r="D555" s="505">
        <v>1.5689674081337737</v>
      </c>
      <c r="E555" s="505">
        <v>1.5689674081337737</v>
      </c>
      <c r="F555" s="505">
        <v>1.5689674081337737</v>
      </c>
      <c r="G555" s="505">
        <v>1.5689674081337737</v>
      </c>
      <c r="H555" s="505">
        <v>1.5689674081337737</v>
      </c>
      <c r="I555" s="505">
        <v>1.5689674081337737</v>
      </c>
      <c r="J555" s="505">
        <v>1.5689674081337737</v>
      </c>
      <c r="K555" s="505">
        <v>1.5689674081337737</v>
      </c>
      <c r="L555" s="505">
        <v>1.5689674081337737</v>
      </c>
      <c r="M555" s="505">
        <v>1.5689674081337737</v>
      </c>
      <c r="N555" s="505">
        <v>1.5689674081337737</v>
      </c>
      <c r="O555" s="505">
        <v>1.5689674081337737</v>
      </c>
      <c r="P555" s="505">
        <v>1.5689674081337737</v>
      </c>
      <c r="Q555" s="505">
        <v>1.5689674081337737</v>
      </c>
      <c r="R555" s="505">
        <v>1.5689674081337737</v>
      </c>
      <c r="S555" s="505">
        <v>1.5689674081337737</v>
      </c>
      <c r="T555" s="505">
        <v>1.5689674081337737</v>
      </c>
      <c r="U555" s="505">
        <v>1.5689674081337737</v>
      </c>
      <c r="V555" s="505">
        <v>1.5689674081337737</v>
      </c>
      <c r="W555" s="505">
        <v>1.5689674081337737</v>
      </c>
      <c r="X555" s="505">
        <v>1.5689674081337737</v>
      </c>
      <c r="Y555" s="505">
        <v>1.5689674081337737</v>
      </c>
      <c r="Z555" s="505">
        <v>1.5689674081337737</v>
      </c>
      <c r="AA555" s="505">
        <v>1.5689674081337737</v>
      </c>
      <c r="AB555" s="505">
        <v>1.5689674081337737</v>
      </c>
      <c r="AC555" s="505">
        <v>1.5689674081337737</v>
      </c>
    </row>
    <row r="556" spans="1:29">
      <c r="A556" s="459" t="s">
        <v>347</v>
      </c>
      <c r="B556" s="459" t="s">
        <v>611</v>
      </c>
      <c r="C556" s="505">
        <v>1.7415357309829498</v>
      </c>
      <c r="D556" s="505">
        <v>1.7415357309829498</v>
      </c>
      <c r="E556" s="505">
        <v>1.7415357309829498</v>
      </c>
      <c r="F556" s="505">
        <v>1.7415357309829498</v>
      </c>
      <c r="G556" s="505">
        <v>1.7415357309829498</v>
      </c>
      <c r="H556" s="505">
        <v>1.7415357309829498</v>
      </c>
      <c r="I556" s="505">
        <v>1.7415357309829498</v>
      </c>
      <c r="J556" s="505">
        <v>1.7415357309829498</v>
      </c>
      <c r="K556" s="505">
        <v>1.7415357309829498</v>
      </c>
      <c r="L556" s="505">
        <v>1.7415357309829498</v>
      </c>
      <c r="M556" s="505">
        <v>1.7415357309829498</v>
      </c>
      <c r="N556" s="505">
        <v>1.7415357309829498</v>
      </c>
      <c r="O556" s="505">
        <v>1.7415357309829498</v>
      </c>
      <c r="P556" s="505">
        <v>1.7415357309829498</v>
      </c>
      <c r="Q556" s="505">
        <v>1.7415357309829498</v>
      </c>
      <c r="R556" s="505">
        <v>1.7415357309829498</v>
      </c>
      <c r="S556" s="505">
        <v>1.7415357309829498</v>
      </c>
      <c r="T556" s="505">
        <v>1.7415357309829498</v>
      </c>
      <c r="U556" s="505">
        <v>1.7415357309829498</v>
      </c>
      <c r="V556" s="505">
        <v>1.7415357309829498</v>
      </c>
      <c r="W556" s="505">
        <v>1.7415357309829498</v>
      </c>
      <c r="X556" s="505">
        <v>1.7415357309829498</v>
      </c>
      <c r="Y556" s="505">
        <v>1.7415357309829498</v>
      </c>
      <c r="Z556" s="505">
        <v>1.7415357309829498</v>
      </c>
      <c r="AA556" s="505">
        <v>1.7415357309829498</v>
      </c>
      <c r="AB556" s="505">
        <v>1.7415357309829498</v>
      </c>
      <c r="AC556" s="505">
        <v>1.7415357309829498</v>
      </c>
    </row>
    <row r="557" spans="1:29">
      <c r="A557" s="459" t="s">
        <v>348</v>
      </c>
      <c r="B557" s="459" t="s">
        <v>611</v>
      </c>
      <c r="C557" s="505">
        <v>1.7596865383612372</v>
      </c>
      <c r="D557" s="505">
        <v>1.7596865383612372</v>
      </c>
      <c r="E557" s="505">
        <v>1.7596865383612372</v>
      </c>
      <c r="F557" s="505">
        <v>1.7596865383612372</v>
      </c>
      <c r="G557" s="505">
        <v>1.7596865383612372</v>
      </c>
      <c r="H557" s="505">
        <v>1.7596865383612372</v>
      </c>
      <c r="I557" s="505">
        <v>1.7596865383612372</v>
      </c>
      <c r="J557" s="505">
        <v>1.7596865383612372</v>
      </c>
      <c r="K557" s="505">
        <v>1.7596865383612372</v>
      </c>
      <c r="L557" s="505">
        <v>1.7596865383612372</v>
      </c>
      <c r="M557" s="505">
        <v>1.7596865383612372</v>
      </c>
      <c r="N557" s="505">
        <v>1.7596865383612372</v>
      </c>
      <c r="O557" s="505">
        <v>1.7596865383612372</v>
      </c>
      <c r="P557" s="505">
        <v>1.7596865383612372</v>
      </c>
      <c r="Q557" s="505">
        <v>1.7596865383612372</v>
      </c>
      <c r="R557" s="505">
        <v>1.7596865383612372</v>
      </c>
      <c r="S557" s="505">
        <v>1.7596865383612372</v>
      </c>
      <c r="T557" s="505">
        <v>1.7596865383612372</v>
      </c>
      <c r="U557" s="505">
        <v>1.7596865383612372</v>
      </c>
      <c r="V557" s="505">
        <v>1.7596865383612372</v>
      </c>
      <c r="W557" s="505">
        <v>1.7596865383612372</v>
      </c>
      <c r="X557" s="505">
        <v>1.7596865383612372</v>
      </c>
      <c r="Y557" s="505">
        <v>1.7596865383612372</v>
      </c>
      <c r="Z557" s="505">
        <v>1.7596865383612372</v>
      </c>
      <c r="AA557" s="505">
        <v>1.7596865383612372</v>
      </c>
      <c r="AB557" s="505">
        <v>1.7596865383612372</v>
      </c>
      <c r="AC557" s="505">
        <v>1.7596865383612372</v>
      </c>
    </row>
    <row r="558" spans="1:29">
      <c r="A558" s="459" t="s">
        <v>349</v>
      </c>
      <c r="B558" s="459" t="s">
        <v>611</v>
      </c>
      <c r="C558" s="505">
        <v>1.8433586255014824</v>
      </c>
      <c r="D558" s="505">
        <v>1.8433586255014824</v>
      </c>
      <c r="E558" s="505">
        <v>1.8433586255014824</v>
      </c>
      <c r="F558" s="505">
        <v>1.8433586255014824</v>
      </c>
      <c r="G558" s="505">
        <v>1.8433586255014824</v>
      </c>
      <c r="H558" s="505">
        <v>1.8433586255014824</v>
      </c>
      <c r="I558" s="505">
        <v>1.8433586255014824</v>
      </c>
      <c r="J558" s="505">
        <v>1.8433586255014824</v>
      </c>
      <c r="K558" s="505">
        <v>1.8433586255014824</v>
      </c>
      <c r="L558" s="505">
        <v>1.8433586255014824</v>
      </c>
      <c r="M558" s="505">
        <v>1.8433586255014824</v>
      </c>
      <c r="N558" s="505">
        <v>1.8433586255014824</v>
      </c>
      <c r="O558" s="505">
        <v>1.8433586255014824</v>
      </c>
      <c r="P558" s="505">
        <v>1.8433586255014824</v>
      </c>
      <c r="Q558" s="505">
        <v>1.8433586255014824</v>
      </c>
      <c r="R558" s="505">
        <v>1.8433586255014824</v>
      </c>
      <c r="S558" s="505">
        <v>1.8433586255014824</v>
      </c>
      <c r="T558" s="505">
        <v>1.8433586255014824</v>
      </c>
      <c r="U558" s="505">
        <v>1.8433586255014824</v>
      </c>
      <c r="V558" s="505">
        <v>1.8433586255014824</v>
      </c>
      <c r="W558" s="505">
        <v>1.8433586255014824</v>
      </c>
      <c r="X558" s="505">
        <v>1.8433586255014824</v>
      </c>
      <c r="Y558" s="505">
        <v>1.8433586255014824</v>
      </c>
      <c r="Z558" s="505">
        <v>1.8433586255014824</v>
      </c>
      <c r="AA558" s="505">
        <v>1.8433586255014824</v>
      </c>
      <c r="AB558" s="505">
        <v>1.8433586255014824</v>
      </c>
      <c r="AC558" s="505">
        <v>1.8433586255014824</v>
      </c>
    </row>
    <row r="559" spans="1:29">
      <c r="A559" s="459" t="s">
        <v>350</v>
      </c>
      <c r="B559" s="459" t="s">
        <v>611</v>
      </c>
      <c r="C559" s="505">
        <v>1.8529030871906271</v>
      </c>
      <c r="D559" s="505">
        <v>1.8529030871906271</v>
      </c>
      <c r="E559" s="505">
        <v>1.8529030871906271</v>
      </c>
      <c r="F559" s="505">
        <v>1.8529030871906271</v>
      </c>
      <c r="G559" s="505">
        <v>1.8529030871906271</v>
      </c>
      <c r="H559" s="505">
        <v>1.8529030871906271</v>
      </c>
      <c r="I559" s="505">
        <v>1.8529030871906271</v>
      </c>
      <c r="J559" s="505">
        <v>1.8529030871906271</v>
      </c>
      <c r="K559" s="505">
        <v>1.8529030871906271</v>
      </c>
      <c r="L559" s="505">
        <v>1.8529030871906271</v>
      </c>
      <c r="M559" s="505">
        <v>1.8529030871906271</v>
      </c>
      <c r="N559" s="505">
        <v>1.8529030871906271</v>
      </c>
      <c r="O559" s="505">
        <v>1.8529030871906271</v>
      </c>
      <c r="P559" s="505">
        <v>1.8529030871906271</v>
      </c>
      <c r="Q559" s="505">
        <v>1.8529030871906271</v>
      </c>
      <c r="R559" s="505">
        <v>1.8529030871906271</v>
      </c>
      <c r="S559" s="505">
        <v>1.8529030871906271</v>
      </c>
      <c r="T559" s="505">
        <v>1.8529030871906271</v>
      </c>
      <c r="U559" s="505">
        <v>1.8529030871906271</v>
      </c>
      <c r="V559" s="505">
        <v>1.8529030871906271</v>
      </c>
      <c r="W559" s="505">
        <v>1.8529030871906271</v>
      </c>
      <c r="X559" s="505">
        <v>1.8529030871906271</v>
      </c>
      <c r="Y559" s="505">
        <v>1.8529030871906271</v>
      </c>
      <c r="Z559" s="505">
        <v>1.8529030871906271</v>
      </c>
      <c r="AA559" s="505">
        <v>1.8529030871906271</v>
      </c>
      <c r="AB559" s="505">
        <v>1.8529030871906271</v>
      </c>
      <c r="AC559" s="505">
        <v>1.8529030871906271</v>
      </c>
    </row>
    <row r="560" spans="1:29">
      <c r="A560" s="458" t="s">
        <v>351</v>
      </c>
      <c r="B560" s="458" t="s">
        <v>611</v>
      </c>
      <c r="C560" s="506">
        <v>2.076438345513917</v>
      </c>
      <c r="D560" s="506">
        <v>2.076438345513917</v>
      </c>
      <c r="E560" s="506">
        <v>2.076438345513917</v>
      </c>
      <c r="F560" s="506">
        <v>2.076438345513917</v>
      </c>
      <c r="G560" s="506">
        <v>2.076438345513917</v>
      </c>
      <c r="H560" s="506">
        <v>2.076438345513917</v>
      </c>
      <c r="I560" s="506">
        <v>2.076438345513917</v>
      </c>
      <c r="J560" s="506">
        <v>2.076438345513917</v>
      </c>
      <c r="K560" s="506">
        <v>2.076438345513917</v>
      </c>
      <c r="L560" s="506">
        <v>2.076438345513917</v>
      </c>
      <c r="M560" s="506">
        <v>2.076438345513917</v>
      </c>
      <c r="N560" s="506">
        <v>2.076438345513917</v>
      </c>
      <c r="O560" s="506">
        <v>2.076438345513917</v>
      </c>
      <c r="P560" s="506">
        <v>2.076438345513917</v>
      </c>
      <c r="Q560" s="506">
        <v>2.076438345513917</v>
      </c>
      <c r="R560" s="506">
        <v>2.076438345513917</v>
      </c>
      <c r="S560" s="506">
        <v>2.076438345513917</v>
      </c>
      <c r="T560" s="506">
        <v>2.076438345513917</v>
      </c>
      <c r="U560" s="506">
        <v>2.076438345513917</v>
      </c>
      <c r="V560" s="506">
        <v>2.076438345513917</v>
      </c>
      <c r="W560" s="506">
        <v>2.076438345513917</v>
      </c>
      <c r="X560" s="506">
        <v>2.076438345513917</v>
      </c>
      <c r="Y560" s="506">
        <v>2.076438345513917</v>
      </c>
      <c r="Z560" s="506">
        <v>2.076438345513917</v>
      </c>
      <c r="AA560" s="506">
        <v>2.076438345513917</v>
      </c>
      <c r="AB560" s="506">
        <v>2.076438345513917</v>
      </c>
      <c r="AC560" s="506">
        <v>2.076438345513917</v>
      </c>
    </row>
    <row r="561" spans="1:29">
      <c r="A561" s="510" t="s">
        <v>615</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row>
    <row r="563" spans="1:29">
      <c r="A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row>
    <row r="564" spans="1:29">
      <c r="A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row>
    <row r="565" spans="1:29" ht="15.6">
      <c r="A565" s="425" t="s">
        <v>658</v>
      </c>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row>
    <row r="566" spans="1:29">
      <c r="A566" s="131" t="s">
        <v>606</v>
      </c>
      <c r="B566" s="131" t="s">
        <v>64</v>
      </c>
      <c r="C566" s="131" t="str">
        <f t="shared" ref="C566:AC566" si="435">C553</f>
        <v>IE</v>
      </c>
      <c r="D566" s="131" t="str">
        <f t="shared" si="435"/>
        <v>IE-CW</v>
      </c>
      <c r="E566" s="131" t="str">
        <f t="shared" si="435"/>
        <v>IE-D</v>
      </c>
      <c r="F566" s="131" t="str">
        <f t="shared" si="435"/>
        <v>IE-KE</v>
      </c>
      <c r="G566" s="131" t="str">
        <f t="shared" si="435"/>
        <v>IE-KK</v>
      </c>
      <c r="H566" s="131" t="str">
        <f t="shared" si="435"/>
        <v>IE-LS</v>
      </c>
      <c r="I566" s="131" t="str">
        <f t="shared" si="435"/>
        <v>IE-LD</v>
      </c>
      <c r="J566" s="131" t="str">
        <f t="shared" si="435"/>
        <v>IE-LH</v>
      </c>
      <c r="K566" s="131" t="str">
        <f t="shared" si="435"/>
        <v>IE-MH</v>
      </c>
      <c r="L566" s="131" t="str">
        <f t="shared" si="435"/>
        <v>IE-OY</v>
      </c>
      <c r="M566" s="131" t="str">
        <f t="shared" si="435"/>
        <v>IE-WH</v>
      </c>
      <c r="N566" s="131" t="str">
        <f t="shared" si="435"/>
        <v>IE-WX</v>
      </c>
      <c r="O566" s="131" t="str">
        <f t="shared" si="435"/>
        <v>IE-WW</v>
      </c>
      <c r="P566" s="131" t="str">
        <f t="shared" si="435"/>
        <v>IE-CE</v>
      </c>
      <c r="Q566" s="131" t="str">
        <f t="shared" si="435"/>
        <v>IE-CO</v>
      </c>
      <c r="R566" s="131" t="str">
        <f t="shared" si="435"/>
        <v>IE-KY</v>
      </c>
      <c r="S566" s="131" t="str">
        <f t="shared" si="435"/>
        <v>IE-LK</v>
      </c>
      <c r="T566" s="131" t="str">
        <f t="shared" si="435"/>
        <v>IE-TA</v>
      </c>
      <c r="U566" s="131" t="str">
        <f t="shared" si="435"/>
        <v>IE-WD</v>
      </c>
      <c r="V566" s="131" t="str">
        <f t="shared" si="435"/>
        <v>IE-G</v>
      </c>
      <c r="W566" s="131" t="str">
        <f t="shared" si="435"/>
        <v>IE-LM</v>
      </c>
      <c r="X566" s="131" t="str">
        <f t="shared" si="435"/>
        <v>IE-MO</v>
      </c>
      <c r="Y566" s="131" t="str">
        <f t="shared" si="435"/>
        <v>IE-RN</v>
      </c>
      <c r="Z566" s="131" t="str">
        <f t="shared" si="435"/>
        <v>IE-SO</v>
      </c>
      <c r="AA566" s="131" t="str">
        <f t="shared" si="435"/>
        <v>IE-CN</v>
      </c>
      <c r="AB566" s="131" t="str">
        <f t="shared" si="435"/>
        <v>IE-DL</v>
      </c>
      <c r="AC566" s="131" t="str">
        <f t="shared" si="435"/>
        <v>IE-MN</v>
      </c>
    </row>
    <row r="567" spans="1:29">
      <c r="A567" s="459" t="s">
        <v>627</v>
      </c>
      <c r="B567" s="459" t="s">
        <v>611</v>
      </c>
      <c r="C567" s="505">
        <f t="shared" ref="C567:V567" si="436">SUMPRODUCT(C541:C547,C554:C560)</f>
        <v>1.8140726552198705</v>
      </c>
      <c r="D567" s="505">
        <f t="shared" si="436"/>
        <v>1.9460274065863941</v>
      </c>
      <c r="E567" s="505">
        <f t="shared" si="436"/>
        <v>1.8037417147916066</v>
      </c>
      <c r="F567" s="505">
        <f t="shared" si="436"/>
        <v>1.8085529230310002</v>
      </c>
      <c r="G567" s="505">
        <f t="shared" si="436"/>
        <v>1.8295890277679689</v>
      </c>
      <c r="H567" s="505">
        <f t="shared" si="436"/>
        <v>1.8497947034430671</v>
      </c>
      <c r="I567" s="505">
        <f t="shared" si="436"/>
        <v>2.0181684155108082</v>
      </c>
      <c r="J567" s="505">
        <f t="shared" si="436"/>
        <v>1.8446894448370716</v>
      </c>
      <c r="K567" s="505">
        <f t="shared" si="436"/>
        <v>1.8430338961417763</v>
      </c>
      <c r="L567" s="505">
        <f t="shared" si="436"/>
        <v>1.9180471372254353</v>
      </c>
      <c r="M567" s="505">
        <f t="shared" si="436"/>
        <v>1.815593465590349</v>
      </c>
      <c r="N567" s="505">
        <f t="shared" si="436"/>
        <v>1.8484757821460791</v>
      </c>
      <c r="O567" s="505">
        <f t="shared" si="436"/>
        <v>1.8567345796866417</v>
      </c>
      <c r="P567" s="505">
        <f t="shared" si="436"/>
        <v>1.8159909665712068</v>
      </c>
      <c r="Q567" s="505">
        <f t="shared" si="436"/>
        <v>1.8124446852996714</v>
      </c>
      <c r="R567" s="505">
        <f t="shared" si="436"/>
        <v>1.8600424080426254</v>
      </c>
      <c r="S567" s="505">
        <f t="shared" si="436"/>
        <v>1.8049058950640684</v>
      </c>
      <c r="T567" s="505">
        <f t="shared" si="436"/>
        <v>1.8521026425320195</v>
      </c>
      <c r="U567" s="505">
        <f t="shared" si="436"/>
        <v>1.8258666478087255</v>
      </c>
      <c r="V567" s="505">
        <f t="shared" si="436"/>
        <v>1.8477073870717844</v>
      </c>
      <c r="W567" s="505">
        <f>C567</f>
        <v>1.8140726552198705</v>
      </c>
      <c r="X567" s="505">
        <f t="shared" ref="X567:AC567" si="437">SUMPRODUCT(X541:X547,X554:X560)</f>
        <v>1.8351573955783527</v>
      </c>
      <c r="Y567" s="505">
        <f t="shared" si="437"/>
        <v>1.970854409796357</v>
      </c>
      <c r="Z567" s="505">
        <f t="shared" si="437"/>
        <v>1.8241940913211054</v>
      </c>
      <c r="AA567" s="505">
        <f t="shared" si="437"/>
        <v>1.8015975171049097</v>
      </c>
      <c r="AB567" s="505">
        <f t="shared" si="437"/>
        <v>1.8092825196843492</v>
      </c>
      <c r="AC567" s="505">
        <f t="shared" si="437"/>
        <v>1.9972503937257469</v>
      </c>
    </row>
    <row r="568" spans="1:29">
      <c r="A568" s="458"/>
      <c r="B568" s="458" t="s">
        <v>599</v>
      </c>
      <c r="C568" s="508">
        <f>1000/C567</f>
        <v>551.24583743797041</v>
      </c>
      <c r="D568" s="508">
        <f>1000/D567</f>
        <v>513.86737751763769</v>
      </c>
      <c r="E568" s="508">
        <f>1000/E567</f>
        <v>554.40310095369387</v>
      </c>
      <c r="F568" s="508">
        <f>1000/F567</f>
        <v>552.92824847175291</v>
      </c>
      <c r="G568" s="508">
        <f t="shared" ref="G568" si="438">1000/G567</f>
        <v>546.57083357127647</v>
      </c>
      <c r="H568" s="508">
        <f t="shared" ref="H568" si="439">1000/H567</f>
        <v>540.60053158259996</v>
      </c>
      <c r="I568" s="508">
        <f t="shared" ref="I568" si="440">1000/I567</f>
        <v>495.49878608465644</v>
      </c>
      <c r="J568" s="508">
        <f t="shared" ref="J568" si="441">1000/J567</f>
        <v>542.09666716465813</v>
      </c>
      <c r="K568" s="508">
        <f t="shared" ref="K568" si="442">1000/K567</f>
        <v>542.58361829015132</v>
      </c>
      <c r="L568" s="508">
        <f t="shared" ref="L568" si="443">1000/L567</f>
        <v>521.36362062850924</v>
      </c>
      <c r="M568" s="508">
        <f t="shared" ref="M568" si="444">1000/M567</f>
        <v>550.78409288879277</v>
      </c>
      <c r="N568" s="508">
        <f t="shared" ref="N568" si="445">1000/N567</f>
        <v>540.98625995467501</v>
      </c>
      <c r="O568" s="508">
        <f t="shared" ref="O568" si="446">1000/O567</f>
        <v>538.57994079518278</v>
      </c>
      <c r="P568" s="508">
        <f t="shared" ref="P568" si="447">1000/P567</f>
        <v>550.66353214747062</v>
      </c>
      <c r="Q568" s="508">
        <f t="shared" ref="Q568" si="448">1000/Q567</f>
        <v>551.74097621338387</v>
      </c>
      <c r="R568" s="508">
        <f t="shared" ref="R568" si="449">1000/R567</f>
        <v>537.62215080479154</v>
      </c>
      <c r="S568" s="508">
        <f t="shared" ref="S568" si="450">1000/S567</f>
        <v>554.04550604811629</v>
      </c>
      <c r="T568" s="508">
        <f t="shared" ref="T568" si="451">1000/T567</f>
        <v>539.92687934017226</v>
      </c>
      <c r="U568" s="508">
        <f t="shared" ref="U568" si="452">1000/U567</f>
        <v>547.68512322634751</v>
      </c>
      <c r="V568" s="508">
        <f t="shared" ref="V568" si="453">1000/V567</f>
        <v>541.21123669088274</v>
      </c>
      <c r="W568" s="508">
        <f t="shared" ref="W568" si="454">1000/W567</f>
        <v>551.24583743797041</v>
      </c>
      <c r="X568" s="508">
        <f t="shared" ref="X568" si="455">1000/X567</f>
        <v>544.91238866454205</v>
      </c>
      <c r="Y568" s="508">
        <f t="shared" ref="Y568" si="456">1000/Y567</f>
        <v>507.39415099836179</v>
      </c>
      <c r="Z568" s="508">
        <f t="shared" ref="Z568" si="457">1000/Z567</f>
        <v>548.18728158240378</v>
      </c>
      <c r="AA568" s="508">
        <f t="shared" ref="AA568" si="458">1000/AA567</f>
        <v>555.06293192885687</v>
      </c>
      <c r="AB568" s="508">
        <f t="shared" ref="AB568" si="459">1000/AB567</f>
        <v>552.70527909287591</v>
      </c>
      <c r="AC568" s="508">
        <f t="shared" ref="AC568" si="460">1000/AC567</f>
        <v>500.68834791143138</v>
      </c>
    </row>
    <row r="572" spans="1:29">
      <c r="A572" s="511"/>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row>
    <row r="573" spans="1:29" ht="15.6">
      <c r="A573" s="425" t="s">
        <v>659</v>
      </c>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row>
    <row r="574" spans="1:29">
      <c r="A574" s="131" t="s">
        <v>606</v>
      </c>
      <c r="B574" s="131" t="s">
        <v>64</v>
      </c>
      <c r="C574" s="131" t="str">
        <f>C566</f>
        <v>IE</v>
      </c>
      <c r="D574" s="131" t="str">
        <f t="shared" ref="D574:AC574" si="461">D566</f>
        <v>IE-CW</v>
      </c>
      <c r="E574" s="131" t="str">
        <f t="shared" si="461"/>
        <v>IE-D</v>
      </c>
      <c r="F574" s="131" t="str">
        <f t="shared" si="461"/>
        <v>IE-KE</v>
      </c>
      <c r="G574" s="131" t="str">
        <f t="shared" si="461"/>
        <v>IE-KK</v>
      </c>
      <c r="H574" s="131" t="str">
        <f t="shared" si="461"/>
        <v>IE-LS</v>
      </c>
      <c r="I574" s="131" t="str">
        <f t="shared" si="461"/>
        <v>IE-LD</v>
      </c>
      <c r="J574" s="131" t="str">
        <f t="shared" si="461"/>
        <v>IE-LH</v>
      </c>
      <c r="K574" s="131" t="str">
        <f t="shared" si="461"/>
        <v>IE-MH</v>
      </c>
      <c r="L574" s="131" t="str">
        <f t="shared" si="461"/>
        <v>IE-OY</v>
      </c>
      <c r="M574" s="131" t="str">
        <f t="shared" si="461"/>
        <v>IE-WH</v>
      </c>
      <c r="N574" s="131" t="str">
        <f t="shared" si="461"/>
        <v>IE-WX</v>
      </c>
      <c r="O574" s="131" t="str">
        <f t="shared" si="461"/>
        <v>IE-WW</v>
      </c>
      <c r="P574" s="131" t="str">
        <f t="shared" si="461"/>
        <v>IE-CE</v>
      </c>
      <c r="Q574" s="131" t="str">
        <f t="shared" si="461"/>
        <v>IE-CO</v>
      </c>
      <c r="R574" s="131" t="str">
        <f t="shared" si="461"/>
        <v>IE-KY</v>
      </c>
      <c r="S574" s="131" t="str">
        <f t="shared" si="461"/>
        <v>IE-LK</v>
      </c>
      <c r="T574" s="131" t="str">
        <f t="shared" si="461"/>
        <v>IE-TA</v>
      </c>
      <c r="U574" s="131" t="str">
        <f t="shared" si="461"/>
        <v>IE-WD</v>
      </c>
      <c r="V574" s="131" t="str">
        <f t="shared" si="461"/>
        <v>IE-G</v>
      </c>
      <c r="W574" s="131" t="str">
        <f t="shared" si="461"/>
        <v>IE-LM</v>
      </c>
      <c r="X574" s="131" t="str">
        <f t="shared" si="461"/>
        <v>IE-MO</v>
      </c>
      <c r="Y574" s="131" t="str">
        <f t="shared" si="461"/>
        <v>IE-RN</v>
      </c>
      <c r="Z574" s="131" t="str">
        <f t="shared" si="461"/>
        <v>IE-SO</v>
      </c>
      <c r="AA574" s="131" t="str">
        <f t="shared" si="461"/>
        <v>IE-CN</v>
      </c>
      <c r="AB574" s="131" t="str">
        <f t="shared" si="461"/>
        <v>IE-DL</v>
      </c>
      <c r="AC574" s="131" t="str">
        <f t="shared" si="461"/>
        <v>IE-MN</v>
      </c>
    </row>
    <row r="575" spans="1:29">
      <c r="A575" s="459" t="s">
        <v>345</v>
      </c>
      <c r="B575" s="459" t="s">
        <v>531</v>
      </c>
      <c r="C575" s="36">
        <f>SUM(D575:AC575)</f>
        <v>3</v>
      </c>
      <c r="D575" s="459">
        <v>0</v>
      </c>
      <c r="E575" s="459">
        <v>3</v>
      </c>
      <c r="F575" s="459">
        <v>0</v>
      </c>
      <c r="G575" s="459">
        <v>0</v>
      </c>
      <c r="H575" s="459">
        <v>0</v>
      </c>
      <c r="I575" s="459">
        <v>0</v>
      </c>
      <c r="J575" s="459">
        <v>0</v>
      </c>
      <c r="K575" s="459">
        <v>0</v>
      </c>
      <c r="L575" s="459">
        <v>0</v>
      </c>
      <c r="M575" s="459">
        <v>0</v>
      </c>
      <c r="N575" s="459">
        <v>0</v>
      </c>
      <c r="O575" s="459">
        <v>0</v>
      </c>
      <c r="P575" s="459">
        <v>0</v>
      </c>
      <c r="Q575" s="459">
        <v>0</v>
      </c>
      <c r="R575" s="459">
        <v>0</v>
      </c>
      <c r="S575" s="459">
        <v>0</v>
      </c>
      <c r="T575" s="459">
        <v>0</v>
      </c>
      <c r="U575" s="459">
        <v>0</v>
      </c>
      <c r="V575" s="459">
        <v>0</v>
      </c>
      <c r="W575" s="459">
        <v>0</v>
      </c>
      <c r="X575" s="459">
        <v>0</v>
      </c>
      <c r="Y575" s="459">
        <v>0</v>
      </c>
      <c r="Z575" s="459">
        <v>0</v>
      </c>
      <c r="AA575" s="459">
        <v>0</v>
      </c>
      <c r="AB575" s="459">
        <v>0</v>
      </c>
      <c r="AC575" s="459">
        <v>0</v>
      </c>
    </row>
    <row r="576" spans="1:29">
      <c r="A576" s="459" t="s">
        <v>346</v>
      </c>
      <c r="B576" s="459" t="s">
        <v>531</v>
      </c>
      <c r="C576" s="36">
        <f t="shared" ref="C576:C581" si="462">SUM(D576:AC576)</f>
        <v>0</v>
      </c>
      <c r="D576" s="459">
        <v>0</v>
      </c>
      <c r="E576" s="459">
        <v>0</v>
      </c>
      <c r="F576" s="459">
        <v>0</v>
      </c>
      <c r="G576" s="459">
        <v>0</v>
      </c>
      <c r="H576" s="459">
        <v>0</v>
      </c>
      <c r="I576" s="459">
        <v>0</v>
      </c>
      <c r="J576" s="459">
        <v>0</v>
      </c>
      <c r="K576" s="459">
        <v>0</v>
      </c>
      <c r="L576" s="459">
        <v>0</v>
      </c>
      <c r="M576" s="459">
        <v>0</v>
      </c>
      <c r="N576" s="459">
        <v>0</v>
      </c>
      <c r="O576" s="459">
        <v>0</v>
      </c>
      <c r="P576" s="459">
        <v>0</v>
      </c>
      <c r="Q576" s="459">
        <v>0</v>
      </c>
      <c r="R576" s="459">
        <v>0</v>
      </c>
      <c r="S576" s="459">
        <v>0</v>
      </c>
      <c r="T576" s="459">
        <v>0</v>
      </c>
      <c r="U576" s="459">
        <v>0</v>
      </c>
      <c r="V576" s="459">
        <v>0</v>
      </c>
      <c r="W576" s="459">
        <v>0</v>
      </c>
      <c r="X576" s="459">
        <v>0</v>
      </c>
      <c r="Y576" s="459">
        <v>0</v>
      </c>
      <c r="Z576" s="459">
        <v>0</v>
      </c>
      <c r="AA576" s="459">
        <v>0</v>
      </c>
      <c r="AB576" s="459">
        <v>0</v>
      </c>
      <c r="AC576" s="459">
        <v>0</v>
      </c>
    </row>
    <row r="577" spans="1:29">
      <c r="A577" s="459" t="s">
        <v>347</v>
      </c>
      <c r="B577" s="459" t="s">
        <v>531</v>
      </c>
      <c r="C577" s="36">
        <f t="shared" si="462"/>
        <v>225</v>
      </c>
      <c r="D577" s="459">
        <v>1</v>
      </c>
      <c r="E577" s="459">
        <v>63</v>
      </c>
      <c r="F577" s="459">
        <v>7</v>
      </c>
      <c r="G577" s="459">
        <v>2</v>
      </c>
      <c r="H577" s="459">
        <v>2</v>
      </c>
      <c r="I577" s="459">
        <v>1</v>
      </c>
      <c r="J577" s="459">
        <v>6</v>
      </c>
      <c r="K577" s="459">
        <v>3</v>
      </c>
      <c r="L577" s="459">
        <v>0</v>
      </c>
      <c r="M577" s="459">
        <v>0</v>
      </c>
      <c r="N577" s="459">
        <v>0</v>
      </c>
      <c r="O577" s="459">
        <v>2</v>
      </c>
      <c r="P577" s="459">
        <v>5</v>
      </c>
      <c r="Q577" s="459">
        <v>103</v>
      </c>
      <c r="R577" s="459">
        <v>5</v>
      </c>
      <c r="S577" s="459">
        <v>8</v>
      </c>
      <c r="T577" s="459">
        <v>2</v>
      </c>
      <c r="U577" s="459">
        <v>4</v>
      </c>
      <c r="V577" s="459">
        <v>2</v>
      </c>
      <c r="W577" s="459">
        <v>1</v>
      </c>
      <c r="X577" s="459">
        <v>1</v>
      </c>
      <c r="Y577" s="459">
        <v>1</v>
      </c>
      <c r="Z577" s="459">
        <v>2</v>
      </c>
      <c r="AA577" s="459">
        <v>4</v>
      </c>
      <c r="AB577" s="459">
        <v>0</v>
      </c>
      <c r="AC577" s="459">
        <v>0</v>
      </c>
    </row>
    <row r="578" spans="1:29">
      <c r="A578" s="459" t="s">
        <v>348</v>
      </c>
      <c r="B578" s="459" t="s">
        <v>531</v>
      </c>
      <c r="C578" s="36">
        <f t="shared" si="462"/>
        <v>5215</v>
      </c>
      <c r="D578" s="459">
        <v>40</v>
      </c>
      <c r="E578" s="459">
        <v>3035</v>
      </c>
      <c r="F578" s="459">
        <v>217</v>
      </c>
      <c r="G578" s="459">
        <v>74</v>
      </c>
      <c r="H578" s="459">
        <v>71</v>
      </c>
      <c r="I578" s="459">
        <v>16</v>
      </c>
      <c r="J578" s="459">
        <v>120</v>
      </c>
      <c r="K578" s="459">
        <v>251</v>
      </c>
      <c r="L578" s="459">
        <v>27</v>
      </c>
      <c r="M578" s="459">
        <v>73</v>
      </c>
      <c r="N578" s="459">
        <v>70</v>
      </c>
      <c r="O578" s="459">
        <v>69</v>
      </c>
      <c r="P578" s="459">
        <v>49</v>
      </c>
      <c r="Q578" s="459">
        <v>375</v>
      </c>
      <c r="R578" s="459">
        <v>64</v>
      </c>
      <c r="S578" s="459">
        <v>93</v>
      </c>
      <c r="T578" s="459">
        <v>37</v>
      </c>
      <c r="U578" s="459">
        <v>83</v>
      </c>
      <c r="V578" s="459">
        <v>189</v>
      </c>
      <c r="W578" s="459">
        <v>10</v>
      </c>
      <c r="X578" s="459">
        <v>54</v>
      </c>
      <c r="Y578" s="459">
        <v>31</v>
      </c>
      <c r="Z578" s="459">
        <v>46</v>
      </c>
      <c r="AA578" s="459">
        <v>39</v>
      </c>
      <c r="AB578" s="459">
        <v>67</v>
      </c>
      <c r="AC578" s="459">
        <v>15</v>
      </c>
    </row>
    <row r="579" spans="1:29">
      <c r="A579" s="459" t="s">
        <v>349</v>
      </c>
      <c r="B579" s="459" t="s">
        <v>531</v>
      </c>
      <c r="C579" s="36">
        <f t="shared" si="462"/>
        <v>673</v>
      </c>
      <c r="D579" s="459">
        <v>9</v>
      </c>
      <c r="E579" s="459">
        <v>344</v>
      </c>
      <c r="F579" s="459">
        <v>34</v>
      </c>
      <c r="G579" s="459">
        <v>8</v>
      </c>
      <c r="H579" s="459">
        <v>8</v>
      </c>
      <c r="I579" s="459">
        <v>3</v>
      </c>
      <c r="J579" s="459">
        <v>17</v>
      </c>
      <c r="K579" s="459">
        <v>35</v>
      </c>
      <c r="L579" s="459">
        <v>4</v>
      </c>
      <c r="M579" s="459">
        <v>8</v>
      </c>
      <c r="N579" s="459">
        <v>11</v>
      </c>
      <c r="O579" s="459">
        <v>11</v>
      </c>
      <c r="P579" s="459">
        <v>7</v>
      </c>
      <c r="Q579" s="459">
        <v>51</v>
      </c>
      <c r="R579" s="459">
        <v>16</v>
      </c>
      <c r="S579" s="459">
        <v>25</v>
      </c>
      <c r="T579" s="459">
        <v>8</v>
      </c>
      <c r="U579" s="459">
        <v>7</v>
      </c>
      <c r="V579" s="459">
        <v>28</v>
      </c>
      <c r="W579" s="459">
        <v>5</v>
      </c>
      <c r="X579" s="459">
        <v>10</v>
      </c>
      <c r="Y579" s="459">
        <v>5</v>
      </c>
      <c r="Z579" s="459">
        <v>5</v>
      </c>
      <c r="AA579" s="459">
        <v>6</v>
      </c>
      <c r="AB579" s="459">
        <v>7</v>
      </c>
      <c r="AC579" s="459">
        <v>1</v>
      </c>
    </row>
    <row r="580" spans="1:29">
      <c r="A580" s="459" t="s">
        <v>350</v>
      </c>
      <c r="B580" s="459" t="s">
        <v>531</v>
      </c>
      <c r="C580" s="36">
        <f t="shared" si="462"/>
        <v>8244</v>
      </c>
      <c r="D580" s="459">
        <v>74</v>
      </c>
      <c r="E580" s="459">
        <v>3896</v>
      </c>
      <c r="F580" s="459">
        <v>316</v>
      </c>
      <c r="G580" s="459">
        <v>76</v>
      </c>
      <c r="H580" s="459">
        <v>95</v>
      </c>
      <c r="I580" s="459">
        <v>49</v>
      </c>
      <c r="J580" s="459">
        <v>268</v>
      </c>
      <c r="K580" s="459">
        <v>395</v>
      </c>
      <c r="L580" s="459">
        <v>81</v>
      </c>
      <c r="M580" s="459">
        <v>142</v>
      </c>
      <c r="N580" s="459">
        <v>106</v>
      </c>
      <c r="O580" s="459">
        <v>135</v>
      </c>
      <c r="P580" s="459">
        <v>130</v>
      </c>
      <c r="Q580" s="459">
        <v>776</v>
      </c>
      <c r="R580" s="459">
        <v>193</v>
      </c>
      <c r="S580" s="459">
        <v>219</v>
      </c>
      <c r="T580" s="459">
        <v>120</v>
      </c>
      <c r="U580" s="459">
        <v>111</v>
      </c>
      <c r="V580" s="459">
        <v>404</v>
      </c>
      <c r="W580" s="459">
        <v>38</v>
      </c>
      <c r="X580" s="459">
        <v>133</v>
      </c>
      <c r="Y580" s="459">
        <v>71</v>
      </c>
      <c r="Z580" s="459">
        <v>69</v>
      </c>
      <c r="AA580" s="459">
        <v>85</v>
      </c>
      <c r="AB580" s="459">
        <v>220</v>
      </c>
      <c r="AC580" s="459">
        <v>42</v>
      </c>
    </row>
    <row r="581" spans="1:29">
      <c r="A581" s="459" t="s">
        <v>351</v>
      </c>
      <c r="B581" s="459" t="s">
        <v>531</v>
      </c>
      <c r="C581" s="36">
        <f t="shared" si="462"/>
        <v>3103</v>
      </c>
      <c r="D581" s="459">
        <v>23</v>
      </c>
      <c r="E581" s="459">
        <v>1173</v>
      </c>
      <c r="F581" s="459">
        <v>141</v>
      </c>
      <c r="G581" s="459">
        <v>44</v>
      </c>
      <c r="H581" s="459">
        <v>24</v>
      </c>
      <c r="I581" s="459">
        <v>14</v>
      </c>
      <c r="J581" s="459">
        <v>97</v>
      </c>
      <c r="K581" s="459">
        <v>148</v>
      </c>
      <c r="L581" s="459">
        <v>38</v>
      </c>
      <c r="M581" s="459">
        <v>36</v>
      </c>
      <c r="N581" s="459">
        <v>63</v>
      </c>
      <c r="O581" s="459">
        <v>98</v>
      </c>
      <c r="P581" s="459">
        <v>110</v>
      </c>
      <c r="Q581" s="459">
        <v>233</v>
      </c>
      <c r="R581" s="459">
        <v>158</v>
      </c>
      <c r="S581" s="459">
        <v>142</v>
      </c>
      <c r="T581" s="459">
        <v>74</v>
      </c>
      <c r="U581" s="459">
        <v>57</v>
      </c>
      <c r="V581" s="459">
        <v>199</v>
      </c>
      <c r="W581" s="459">
        <v>11</v>
      </c>
      <c r="X581" s="459">
        <v>72</v>
      </c>
      <c r="Y581" s="459">
        <v>21</v>
      </c>
      <c r="Z581" s="459">
        <v>33</v>
      </c>
      <c r="AA581" s="459">
        <v>23</v>
      </c>
      <c r="AB581" s="459">
        <v>54</v>
      </c>
      <c r="AC581" s="459">
        <v>17</v>
      </c>
    </row>
    <row r="582" spans="1:29">
      <c r="A582" s="458" t="s">
        <v>16</v>
      </c>
      <c r="B582" s="458" t="s">
        <v>531</v>
      </c>
      <c r="C582" s="504">
        <f>SUM(D582:AC582)</f>
        <v>17463</v>
      </c>
      <c r="D582" s="504">
        <f t="shared" ref="D582:AC582" si="463">SUM(D575:D581)</f>
        <v>147</v>
      </c>
      <c r="E582" s="504">
        <f t="shared" si="463"/>
        <v>8514</v>
      </c>
      <c r="F582" s="504">
        <f t="shared" si="463"/>
        <v>715</v>
      </c>
      <c r="G582" s="504">
        <f t="shared" si="463"/>
        <v>204</v>
      </c>
      <c r="H582" s="504">
        <f t="shared" si="463"/>
        <v>200</v>
      </c>
      <c r="I582" s="504">
        <f t="shared" si="463"/>
        <v>83</v>
      </c>
      <c r="J582" s="504">
        <f t="shared" si="463"/>
        <v>508</v>
      </c>
      <c r="K582" s="504">
        <f t="shared" si="463"/>
        <v>832</v>
      </c>
      <c r="L582" s="504">
        <f t="shared" si="463"/>
        <v>150</v>
      </c>
      <c r="M582" s="504">
        <f t="shared" si="463"/>
        <v>259</v>
      </c>
      <c r="N582" s="504">
        <f t="shared" si="463"/>
        <v>250</v>
      </c>
      <c r="O582" s="504">
        <f t="shared" si="463"/>
        <v>315</v>
      </c>
      <c r="P582" s="504">
        <f t="shared" si="463"/>
        <v>301</v>
      </c>
      <c r="Q582" s="504">
        <f t="shared" si="463"/>
        <v>1538</v>
      </c>
      <c r="R582" s="504">
        <f t="shared" si="463"/>
        <v>436</v>
      </c>
      <c r="S582" s="504">
        <f t="shared" si="463"/>
        <v>487</v>
      </c>
      <c r="T582" s="504">
        <f t="shared" si="463"/>
        <v>241</v>
      </c>
      <c r="U582" s="504">
        <f t="shared" si="463"/>
        <v>262</v>
      </c>
      <c r="V582" s="504">
        <f t="shared" si="463"/>
        <v>822</v>
      </c>
      <c r="W582" s="504">
        <f t="shared" si="463"/>
        <v>65</v>
      </c>
      <c r="X582" s="504">
        <f t="shared" si="463"/>
        <v>270</v>
      </c>
      <c r="Y582" s="504">
        <f t="shared" si="463"/>
        <v>129</v>
      </c>
      <c r="Z582" s="504">
        <f t="shared" si="463"/>
        <v>155</v>
      </c>
      <c r="AA582" s="504">
        <f t="shared" si="463"/>
        <v>157</v>
      </c>
      <c r="AB582" s="504">
        <f t="shared" si="463"/>
        <v>348</v>
      </c>
      <c r="AC582" s="504">
        <f t="shared" si="463"/>
        <v>75</v>
      </c>
    </row>
    <row r="583" spans="1:29">
      <c r="A583" s="459" t="s">
        <v>617</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row>
    <row r="585" spans="1:29">
      <c r="A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c r="AC585" s="459"/>
    </row>
    <row r="586" spans="1:29">
      <c r="A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row>
    <row r="587" spans="1:29" ht="15.6">
      <c r="A587" s="425" t="s">
        <v>660</v>
      </c>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row>
    <row r="588" spans="1:29">
      <c r="A588" s="131" t="s">
        <v>606</v>
      </c>
      <c r="B588" s="131" t="s">
        <v>64</v>
      </c>
      <c r="C588" s="131" t="str">
        <f>C574</f>
        <v>IE</v>
      </c>
      <c r="D588" s="131" t="str">
        <f t="shared" ref="D588:AC588" si="464">D574</f>
        <v>IE-CW</v>
      </c>
      <c r="E588" s="131" t="str">
        <f t="shared" si="464"/>
        <v>IE-D</v>
      </c>
      <c r="F588" s="131" t="str">
        <f t="shared" si="464"/>
        <v>IE-KE</v>
      </c>
      <c r="G588" s="131" t="str">
        <f t="shared" si="464"/>
        <v>IE-KK</v>
      </c>
      <c r="H588" s="131" t="str">
        <f t="shared" si="464"/>
        <v>IE-LS</v>
      </c>
      <c r="I588" s="131" t="str">
        <f t="shared" si="464"/>
        <v>IE-LD</v>
      </c>
      <c r="J588" s="131" t="str">
        <f t="shared" si="464"/>
        <v>IE-LH</v>
      </c>
      <c r="K588" s="131" t="str">
        <f t="shared" si="464"/>
        <v>IE-MH</v>
      </c>
      <c r="L588" s="131" t="str">
        <f t="shared" si="464"/>
        <v>IE-OY</v>
      </c>
      <c r="M588" s="131" t="str">
        <f t="shared" si="464"/>
        <v>IE-WH</v>
      </c>
      <c r="N588" s="131" t="str">
        <f t="shared" si="464"/>
        <v>IE-WX</v>
      </c>
      <c r="O588" s="131" t="str">
        <f t="shared" si="464"/>
        <v>IE-WW</v>
      </c>
      <c r="P588" s="131" t="str">
        <f t="shared" si="464"/>
        <v>IE-CE</v>
      </c>
      <c r="Q588" s="131" t="str">
        <f t="shared" si="464"/>
        <v>IE-CO</v>
      </c>
      <c r="R588" s="131" t="str">
        <f t="shared" si="464"/>
        <v>IE-KY</v>
      </c>
      <c r="S588" s="131" t="str">
        <f t="shared" si="464"/>
        <v>IE-LK</v>
      </c>
      <c r="T588" s="131" t="str">
        <f t="shared" si="464"/>
        <v>IE-TA</v>
      </c>
      <c r="U588" s="131" t="str">
        <f t="shared" si="464"/>
        <v>IE-WD</v>
      </c>
      <c r="V588" s="131" t="str">
        <f t="shared" si="464"/>
        <v>IE-G</v>
      </c>
      <c r="W588" s="131" t="str">
        <f t="shared" si="464"/>
        <v>IE-LM</v>
      </c>
      <c r="X588" s="131" t="str">
        <f t="shared" si="464"/>
        <v>IE-MO</v>
      </c>
      <c r="Y588" s="131" t="str">
        <f t="shared" si="464"/>
        <v>IE-RN</v>
      </c>
      <c r="Z588" s="131" t="str">
        <f t="shared" si="464"/>
        <v>IE-SO</v>
      </c>
      <c r="AA588" s="131" t="str">
        <f t="shared" si="464"/>
        <v>IE-CN</v>
      </c>
      <c r="AB588" s="131" t="str">
        <f t="shared" si="464"/>
        <v>IE-DL</v>
      </c>
      <c r="AC588" s="131" t="str">
        <f t="shared" si="464"/>
        <v>IE-MN</v>
      </c>
    </row>
    <row r="589" spans="1:29">
      <c r="A589" s="459" t="s">
        <v>345</v>
      </c>
      <c r="B589" s="507" t="s">
        <v>610</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459" t="s">
        <v>346</v>
      </c>
      <c r="B590" s="1" t="s">
        <v>610</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459" t="s">
        <v>347</v>
      </c>
      <c r="B591" s="1" t="s">
        <v>610</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459" t="s">
        <v>348</v>
      </c>
      <c r="B592" s="1" t="s">
        <v>610</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459" t="s">
        <v>349</v>
      </c>
      <c r="B593" s="1" t="s">
        <v>610</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459" t="s">
        <v>350</v>
      </c>
      <c r="B594" s="1" t="s">
        <v>610</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459" t="s">
        <v>351</v>
      </c>
      <c r="B595" s="1" t="s">
        <v>610</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458" t="s">
        <v>16</v>
      </c>
      <c r="B596" s="458" t="s">
        <v>610</v>
      </c>
      <c r="C596" s="403">
        <f t="shared" ref="C596:AC596" si="467">SUM(C589:C595)</f>
        <v>1</v>
      </c>
      <c r="D596" s="403">
        <f t="shared" si="467"/>
        <v>1</v>
      </c>
      <c r="E596" s="403">
        <f t="shared" si="467"/>
        <v>1</v>
      </c>
      <c r="F596" s="403">
        <f t="shared" si="467"/>
        <v>1</v>
      </c>
      <c r="G596" s="403">
        <f t="shared" si="467"/>
        <v>1</v>
      </c>
      <c r="H596" s="403">
        <f t="shared" si="467"/>
        <v>0.99999999999999989</v>
      </c>
      <c r="I596" s="403">
        <f t="shared" si="467"/>
        <v>1</v>
      </c>
      <c r="J596" s="403">
        <f t="shared" si="467"/>
        <v>0.99999999999999989</v>
      </c>
      <c r="K596" s="403">
        <f t="shared" si="467"/>
        <v>1</v>
      </c>
      <c r="L596" s="403">
        <f t="shared" si="467"/>
        <v>1</v>
      </c>
      <c r="M596" s="403">
        <f t="shared" si="467"/>
        <v>1</v>
      </c>
      <c r="N596" s="403">
        <f t="shared" si="467"/>
        <v>1</v>
      </c>
      <c r="O596" s="403">
        <f t="shared" si="467"/>
        <v>1</v>
      </c>
      <c r="P596" s="403">
        <f t="shared" si="467"/>
        <v>1</v>
      </c>
      <c r="Q596" s="403">
        <f t="shared" si="467"/>
        <v>1</v>
      </c>
      <c r="R596" s="403">
        <f t="shared" si="467"/>
        <v>1</v>
      </c>
      <c r="S596" s="403">
        <f t="shared" si="467"/>
        <v>1</v>
      </c>
      <c r="T596" s="403">
        <f t="shared" si="467"/>
        <v>1</v>
      </c>
      <c r="U596" s="403">
        <f t="shared" si="467"/>
        <v>0.99999999999999989</v>
      </c>
      <c r="V596" s="403">
        <f t="shared" si="467"/>
        <v>1</v>
      </c>
      <c r="W596" s="403">
        <f t="shared" si="467"/>
        <v>1</v>
      </c>
      <c r="X596" s="403">
        <f t="shared" si="467"/>
        <v>1</v>
      </c>
      <c r="Y596" s="403">
        <f t="shared" si="467"/>
        <v>1</v>
      </c>
      <c r="Z596" s="403">
        <f t="shared" si="467"/>
        <v>1</v>
      </c>
      <c r="AA596" s="403">
        <f t="shared" si="467"/>
        <v>1</v>
      </c>
      <c r="AB596" s="403">
        <f t="shared" si="467"/>
        <v>1</v>
      </c>
      <c r="AC596" s="403">
        <f t="shared" si="467"/>
        <v>1</v>
      </c>
    </row>
    <row r="597" spans="1:29">
      <c r="A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row>
    <row r="598" spans="1:29">
      <c r="A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row>
    <row r="599" spans="1:29">
      <c r="A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row>
    <row r="600" spans="1:29" ht="15.6">
      <c r="A600" s="425" t="s">
        <v>661</v>
      </c>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row>
    <row r="601" spans="1:29">
      <c r="A601" s="131" t="s">
        <v>606</v>
      </c>
      <c r="B601" s="131" t="s">
        <v>64</v>
      </c>
      <c r="C601" s="131" t="str">
        <f>C588</f>
        <v>IE</v>
      </c>
      <c r="D601" s="131" t="str">
        <f t="shared" ref="D601:AC601" si="468">D588</f>
        <v>IE-CW</v>
      </c>
      <c r="E601" s="131" t="str">
        <f t="shared" si="468"/>
        <v>IE-D</v>
      </c>
      <c r="F601" s="131" t="str">
        <f t="shared" si="468"/>
        <v>IE-KE</v>
      </c>
      <c r="G601" s="131" t="str">
        <f t="shared" si="468"/>
        <v>IE-KK</v>
      </c>
      <c r="H601" s="131" t="str">
        <f t="shared" si="468"/>
        <v>IE-LS</v>
      </c>
      <c r="I601" s="131" t="str">
        <f t="shared" si="468"/>
        <v>IE-LD</v>
      </c>
      <c r="J601" s="131" t="str">
        <f t="shared" si="468"/>
        <v>IE-LH</v>
      </c>
      <c r="K601" s="131" t="str">
        <f t="shared" si="468"/>
        <v>IE-MH</v>
      </c>
      <c r="L601" s="131" t="str">
        <f t="shared" si="468"/>
        <v>IE-OY</v>
      </c>
      <c r="M601" s="131" t="str">
        <f t="shared" si="468"/>
        <v>IE-WH</v>
      </c>
      <c r="N601" s="131" t="str">
        <f t="shared" si="468"/>
        <v>IE-WX</v>
      </c>
      <c r="O601" s="131" t="str">
        <f t="shared" si="468"/>
        <v>IE-WW</v>
      </c>
      <c r="P601" s="131" t="str">
        <f t="shared" si="468"/>
        <v>IE-CE</v>
      </c>
      <c r="Q601" s="131" t="str">
        <f t="shared" si="468"/>
        <v>IE-CO</v>
      </c>
      <c r="R601" s="131" t="str">
        <f t="shared" si="468"/>
        <v>IE-KY</v>
      </c>
      <c r="S601" s="131" t="str">
        <f t="shared" si="468"/>
        <v>IE-LK</v>
      </c>
      <c r="T601" s="131" t="str">
        <f t="shared" si="468"/>
        <v>IE-TA</v>
      </c>
      <c r="U601" s="131" t="str">
        <f t="shared" si="468"/>
        <v>IE-WD</v>
      </c>
      <c r="V601" s="131" t="str">
        <f t="shared" si="468"/>
        <v>IE-G</v>
      </c>
      <c r="W601" s="131" t="str">
        <f t="shared" si="468"/>
        <v>IE-LM</v>
      </c>
      <c r="X601" s="131" t="str">
        <f t="shared" si="468"/>
        <v>IE-MO</v>
      </c>
      <c r="Y601" s="131" t="str">
        <f t="shared" si="468"/>
        <v>IE-RN</v>
      </c>
      <c r="Z601" s="131" t="str">
        <f t="shared" si="468"/>
        <v>IE-SO</v>
      </c>
      <c r="AA601" s="131" t="str">
        <f t="shared" si="468"/>
        <v>IE-CN</v>
      </c>
      <c r="AB601" s="131" t="str">
        <f t="shared" si="468"/>
        <v>IE-DL</v>
      </c>
      <c r="AC601" s="131" t="str">
        <f t="shared" si="468"/>
        <v>IE-MN</v>
      </c>
    </row>
    <row r="602" spans="1:29">
      <c r="A602" s="459" t="s">
        <v>345</v>
      </c>
      <c r="B602" s="459" t="s">
        <v>611</v>
      </c>
      <c r="C602" s="505">
        <v>1.376629219195896</v>
      </c>
      <c r="D602" s="505">
        <v>1.376629219195896</v>
      </c>
      <c r="E602" s="505">
        <v>1.376629219195896</v>
      </c>
      <c r="F602" s="505">
        <v>1.376629219195896</v>
      </c>
      <c r="G602" s="505">
        <v>1.376629219195896</v>
      </c>
      <c r="H602" s="505">
        <v>1.376629219195896</v>
      </c>
      <c r="I602" s="505">
        <v>1.376629219195896</v>
      </c>
      <c r="J602" s="505">
        <v>1.376629219195896</v>
      </c>
      <c r="K602" s="505">
        <v>1.376629219195896</v>
      </c>
      <c r="L602" s="505">
        <v>1.376629219195896</v>
      </c>
      <c r="M602" s="505">
        <v>1.376629219195896</v>
      </c>
      <c r="N602" s="505">
        <v>1.376629219195896</v>
      </c>
      <c r="O602" s="505">
        <v>1.376629219195896</v>
      </c>
      <c r="P602" s="505">
        <v>1.376629219195896</v>
      </c>
      <c r="Q602" s="505">
        <v>1.376629219195896</v>
      </c>
      <c r="R602" s="505">
        <v>1.376629219195896</v>
      </c>
      <c r="S602" s="505">
        <v>1.376629219195896</v>
      </c>
      <c r="T602" s="505">
        <v>1.376629219195896</v>
      </c>
      <c r="U602" s="505">
        <v>1.376629219195896</v>
      </c>
      <c r="V602" s="505">
        <v>1.376629219195896</v>
      </c>
      <c r="W602" s="505">
        <v>1.376629219195896</v>
      </c>
      <c r="X602" s="505">
        <v>1.376629219195896</v>
      </c>
      <c r="Y602" s="505">
        <v>1.376629219195896</v>
      </c>
      <c r="Z602" s="505">
        <v>1.376629219195896</v>
      </c>
      <c r="AA602" s="505">
        <v>1.376629219195896</v>
      </c>
      <c r="AB602" s="505">
        <v>1.376629219195896</v>
      </c>
      <c r="AC602" s="505">
        <v>1.376629219195896</v>
      </c>
    </row>
    <row r="603" spans="1:29">
      <c r="A603" s="459" t="s">
        <v>346</v>
      </c>
      <c r="B603" s="459" t="s">
        <v>611</v>
      </c>
      <c r="C603" s="505">
        <v>1.3798479828493471</v>
      </c>
      <c r="D603" s="505">
        <v>1.3798479828493471</v>
      </c>
      <c r="E603" s="505">
        <v>1.3798479828493471</v>
      </c>
      <c r="F603" s="505">
        <v>1.3798479828493471</v>
      </c>
      <c r="G603" s="505">
        <v>1.3798479828493471</v>
      </c>
      <c r="H603" s="505">
        <v>1.3798479828493471</v>
      </c>
      <c r="I603" s="505">
        <v>1.3798479828493471</v>
      </c>
      <c r="J603" s="505">
        <v>1.3798479828493471</v>
      </c>
      <c r="K603" s="505">
        <v>1.3798479828493471</v>
      </c>
      <c r="L603" s="505">
        <v>1.3798479828493471</v>
      </c>
      <c r="M603" s="505">
        <v>1.3798479828493471</v>
      </c>
      <c r="N603" s="505">
        <v>1.3798479828493471</v>
      </c>
      <c r="O603" s="505">
        <v>1.3798479828493471</v>
      </c>
      <c r="P603" s="505">
        <v>1.3798479828493471</v>
      </c>
      <c r="Q603" s="505">
        <v>1.3798479828493471</v>
      </c>
      <c r="R603" s="505">
        <v>1.3798479828493471</v>
      </c>
      <c r="S603" s="505">
        <v>1.3798479828493471</v>
      </c>
      <c r="T603" s="505">
        <v>1.3798479828493471</v>
      </c>
      <c r="U603" s="505">
        <v>1.3798479828493471</v>
      </c>
      <c r="V603" s="505">
        <v>1.3798479828493471</v>
      </c>
      <c r="W603" s="505">
        <v>1.3798479828493471</v>
      </c>
      <c r="X603" s="505">
        <v>1.3798479828493471</v>
      </c>
      <c r="Y603" s="505">
        <v>1.3798479828493471</v>
      </c>
      <c r="Z603" s="505">
        <v>1.3798479828493471</v>
      </c>
      <c r="AA603" s="505">
        <v>1.3798479828493471</v>
      </c>
      <c r="AB603" s="505">
        <v>1.3798479828493471</v>
      </c>
      <c r="AC603" s="505">
        <v>1.3798479828493471</v>
      </c>
    </row>
    <row r="604" spans="1:29">
      <c r="A604" s="459" t="s">
        <v>347</v>
      </c>
      <c r="B604" s="459" t="s">
        <v>611</v>
      </c>
      <c r="C604" s="505">
        <v>1.4199749047648353</v>
      </c>
      <c r="D604" s="505">
        <v>1.4199749047648353</v>
      </c>
      <c r="E604" s="505">
        <v>1.4199749047648353</v>
      </c>
      <c r="F604" s="505">
        <v>1.4199749047648353</v>
      </c>
      <c r="G604" s="505">
        <v>1.4199749047648353</v>
      </c>
      <c r="H604" s="505">
        <v>1.4199749047648353</v>
      </c>
      <c r="I604" s="505">
        <v>1.4199749047648353</v>
      </c>
      <c r="J604" s="505">
        <v>1.4199749047648353</v>
      </c>
      <c r="K604" s="505">
        <v>1.4199749047648353</v>
      </c>
      <c r="L604" s="505">
        <v>1.4199749047648353</v>
      </c>
      <c r="M604" s="505">
        <v>1.4199749047648353</v>
      </c>
      <c r="N604" s="505">
        <v>1.4199749047648353</v>
      </c>
      <c r="O604" s="505">
        <v>1.4199749047648353</v>
      </c>
      <c r="P604" s="505">
        <v>1.4199749047648353</v>
      </c>
      <c r="Q604" s="505">
        <v>1.4199749047648353</v>
      </c>
      <c r="R604" s="505">
        <v>1.4199749047648353</v>
      </c>
      <c r="S604" s="505">
        <v>1.4199749047648353</v>
      </c>
      <c r="T604" s="505">
        <v>1.4199749047648353</v>
      </c>
      <c r="U604" s="505">
        <v>1.4199749047648353</v>
      </c>
      <c r="V604" s="505">
        <v>1.4199749047648353</v>
      </c>
      <c r="W604" s="505">
        <v>1.4199749047648353</v>
      </c>
      <c r="X604" s="505">
        <v>1.4199749047648353</v>
      </c>
      <c r="Y604" s="505">
        <v>1.4199749047648353</v>
      </c>
      <c r="Z604" s="505">
        <v>1.4199749047648353</v>
      </c>
      <c r="AA604" s="505">
        <v>1.4199749047648353</v>
      </c>
      <c r="AB604" s="505">
        <v>1.4199749047648353</v>
      </c>
      <c r="AC604" s="505">
        <v>1.4199749047648353</v>
      </c>
    </row>
    <row r="605" spans="1:29">
      <c r="A605" s="459" t="s">
        <v>348</v>
      </c>
      <c r="B605" s="459" t="s">
        <v>611</v>
      </c>
      <c r="C605" s="505">
        <v>1.4290054727038648</v>
      </c>
      <c r="D605" s="505">
        <v>1.4290054727038648</v>
      </c>
      <c r="E605" s="505">
        <v>1.4290054727038648</v>
      </c>
      <c r="F605" s="505">
        <v>1.4290054727038648</v>
      </c>
      <c r="G605" s="505">
        <v>1.4290054727038648</v>
      </c>
      <c r="H605" s="505">
        <v>1.4290054727038648</v>
      </c>
      <c r="I605" s="505">
        <v>1.4290054727038648</v>
      </c>
      <c r="J605" s="505">
        <v>1.4290054727038648</v>
      </c>
      <c r="K605" s="505">
        <v>1.4290054727038648</v>
      </c>
      <c r="L605" s="505">
        <v>1.4290054727038648</v>
      </c>
      <c r="M605" s="505">
        <v>1.4290054727038648</v>
      </c>
      <c r="N605" s="505">
        <v>1.4290054727038648</v>
      </c>
      <c r="O605" s="505">
        <v>1.4290054727038648</v>
      </c>
      <c r="P605" s="505">
        <v>1.4290054727038648</v>
      </c>
      <c r="Q605" s="505">
        <v>1.4290054727038648</v>
      </c>
      <c r="R605" s="505">
        <v>1.4290054727038648</v>
      </c>
      <c r="S605" s="505">
        <v>1.4290054727038648</v>
      </c>
      <c r="T605" s="505">
        <v>1.4290054727038648</v>
      </c>
      <c r="U605" s="505">
        <v>1.4290054727038648</v>
      </c>
      <c r="V605" s="505">
        <v>1.4290054727038648</v>
      </c>
      <c r="W605" s="505">
        <v>1.4290054727038648</v>
      </c>
      <c r="X605" s="505">
        <v>1.4290054727038648</v>
      </c>
      <c r="Y605" s="505">
        <v>1.4290054727038648</v>
      </c>
      <c r="Z605" s="505">
        <v>1.4290054727038648</v>
      </c>
      <c r="AA605" s="505">
        <v>1.4290054727038648</v>
      </c>
      <c r="AB605" s="505">
        <v>1.4290054727038648</v>
      </c>
      <c r="AC605" s="505">
        <v>1.4290054727038648</v>
      </c>
    </row>
    <row r="606" spans="1:29">
      <c r="A606" s="459" t="s">
        <v>349</v>
      </c>
      <c r="B606" s="459" t="s">
        <v>611</v>
      </c>
      <c r="C606" s="505">
        <v>1.6214274500716734</v>
      </c>
      <c r="D606" s="505">
        <v>1.6214274500716734</v>
      </c>
      <c r="E606" s="505">
        <v>1.6214274500716734</v>
      </c>
      <c r="F606" s="505">
        <v>1.6214274500716734</v>
      </c>
      <c r="G606" s="505">
        <v>1.6214274500716734</v>
      </c>
      <c r="H606" s="505">
        <v>1.6214274500716734</v>
      </c>
      <c r="I606" s="505">
        <v>1.6214274500716734</v>
      </c>
      <c r="J606" s="505">
        <v>1.6214274500716734</v>
      </c>
      <c r="K606" s="505">
        <v>1.6214274500716734</v>
      </c>
      <c r="L606" s="505">
        <v>1.6214274500716734</v>
      </c>
      <c r="M606" s="505">
        <v>1.6214274500716734</v>
      </c>
      <c r="N606" s="505">
        <v>1.6214274500716734</v>
      </c>
      <c r="O606" s="505">
        <v>1.6214274500716734</v>
      </c>
      <c r="P606" s="505">
        <v>1.6214274500716734</v>
      </c>
      <c r="Q606" s="505">
        <v>1.6214274500716734</v>
      </c>
      <c r="R606" s="505">
        <v>1.6214274500716734</v>
      </c>
      <c r="S606" s="505">
        <v>1.6214274500716734</v>
      </c>
      <c r="T606" s="505">
        <v>1.6214274500716734</v>
      </c>
      <c r="U606" s="505">
        <v>1.6214274500716734</v>
      </c>
      <c r="V606" s="505">
        <v>1.6214274500716734</v>
      </c>
      <c r="W606" s="505">
        <v>1.6214274500716734</v>
      </c>
      <c r="X606" s="505">
        <v>1.6214274500716734</v>
      </c>
      <c r="Y606" s="505">
        <v>1.6214274500716734</v>
      </c>
      <c r="Z606" s="505">
        <v>1.6214274500716734</v>
      </c>
      <c r="AA606" s="505">
        <v>1.6214274500716734</v>
      </c>
      <c r="AB606" s="505">
        <v>1.6214274500716734</v>
      </c>
      <c r="AC606" s="505">
        <v>1.6214274500716734</v>
      </c>
    </row>
    <row r="607" spans="1:29">
      <c r="A607" s="459" t="s">
        <v>350</v>
      </c>
      <c r="B607" s="459" t="s">
        <v>611</v>
      </c>
      <c r="C607" s="505">
        <v>1.7083807871715502</v>
      </c>
      <c r="D607" s="505">
        <v>1.7083807871715502</v>
      </c>
      <c r="E607" s="505">
        <v>1.7083807871715502</v>
      </c>
      <c r="F607" s="505">
        <v>1.7083807871715502</v>
      </c>
      <c r="G607" s="505">
        <v>1.7083807871715502</v>
      </c>
      <c r="H607" s="505">
        <v>1.7083807871715502</v>
      </c>
      <c r="I607" s="505">
        <v>1.7083807871715502</v>
      </c>
      <c r="J607" s="505">
        <v>1.7083807871715502</v>
      </c>
      <c r="K607" s="505">
        <v>1.7083807871715502</v>
      </c>
      <c r="L607" s="505">
        <v>1.7083807871715502</v>
      </c>
      <c r="M607" s="505">
        <v>1.7083807871715502</v>
      </c>
      <c r="N607" s="505">
        <v>1.7083807871715502</v>
      </c>
      <c r="O607" s="505">
        <v>1.7083807871715502</v>
      </c>
      <c r="P607" s="505">
        <v>1.7083807871715502</v>
      </c>
      <c r="Q607" s="505">
        <v>1.7083807871715502</v>
      </c>
      <c r="R607" s="505">
        <v>1.7083807871715502</v>
      </c>
      <c r="S607" s="505">
        <v>1.7083807871715502</v>
      </c>
      <c r="T607" s="505">
        <v>1.7083807871715502</v>
      </c>
      <c r="U607" s="505">
        <v>1.7083807871715502</v>
      </c>
      <c r="V607" s="505">
        <v>1.7083807871715502</v>
      </c>
      <c r="W607" s="505">
        <v>1.7083807871715502</v>
      </c>
      <c r="X607" s="505">
        <v>1.7083807871715502</v>
      </c>
      <c r="Y607" s="505">
        <v>1.7083807871715502</v>
      </c>
      <c r="Z607" s="505">
        <v>1.7083807871715502</v>
      </c>
      <c r="AA607" s="505">
        <v>1.7083807871715502</v>
      </c>
      <c r="AB607" s="505">
        <v>1.7083807871715502</v>
      </c>
      <c r="AC607" s="505">
        <v>1.7083807871715502</v>
      </c>
    </row>
    <row r="608" spans="1:29">
      <c r="A608" s="458" t="s">
        <v>351</v>
      </c>
      <c r="B608" s="458" t="s">
        <v>611</v>
      </c>
      <c r="C608" s="506">
        <v>1.8833978763305677</v>
      </c>
      <c r="D608" s="506">
        <v>1.8833978763305677</v>
      </c>
      <c r="E608" s="506">
        <v>1.8833978763305677</v>
      </c>
      <c r="F608" s="506">
        <v>1.8833978763305677</v>
      </c>
      <c r="G608" s="506">
        <v>1.8833978763305677</v>
      </c>
      <c r="H608" s="506">
        <v>1.8833978763305677</v>
      </c>
      <c r="I608" s="506">
        <v>1.8833978763305677</v>
      </c>
      <c r="J608" s="506">
        <v>1.8833978763305677</v>
      </c>
      <c r="K608" s="506">
        <v>1.8833978763305677</v>
      </c>
      <c r="L608" s="506">
        <v>1.8833978763305677</v>
      </c>
      <c r="M608" s="506">
        <v>1.8833978763305677</v>
      </c>
      <c r="N608" s="506">
        <v>1.8833978763305677</v>
      </c>
      <c r="O608" s="506">
        <v>1.8833978763305677</v>
      </c>
      <c r="P608" s="506">
        <v>1.8833978763305677</v>
      </c>
      <c r="Q608" s="506">
        <v>1.8833978763305677</v>
      </c>
      <c r="R608" s="506">
        <v>1.8833978763305677</v>
      </c>
      <c r="S608" s="506">
        <v>1.8833978763305677</v>
      </c>
      <c r="T608" s="506">
        <v>1.8833978763305677</v>
      </c>
      <c r="U608" s="506">
        <v>1.8833978763305677</v>
      </c>
      <c r="V608" s="506">
        <v>1.8833978763305677</v>
      </c>
      <c r="W608" s="506">
        <v>1.8833978763305677</v>
      </c>
      <c r="X608" s="506">
        <v>1.8833978763305677</v>
      </c>
      <c r="Y608" s="506">
        <v>1.8833978763305677</v>
      </c>
      <c r="Z608" s="506">
        <v>1.8833978763305677</v>
      </c>
      <c r="AA608" s="506">
        <v>1.8833978763305677</v>
      </c>
      <c r="AB608" s="506">
        <v>1.8833978763305677</v>
      </c>
      <c r="AC608" s="506">
        <v>1.8833978763305677</v>
      </c>
    </row>
    <row r="609" spans="1:29">
      <c r="A609" s="510" t="s">
        <v>615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row>
    <row r="611" spans="1:29">
      <c r="A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row>
    <row r="612" spans="1:29">
      <c r="A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row>
    <row r="613" spans="1:29" ht="15.6">
      <c r="A613" s="425" t="s">
        <v>661</v>
      </c>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row>
    <row r="614" spans="1:29">
      <c r="A614" s="131" t="s">
        <v>606</v>
      </c>
      <c r="B614" s="131" t="s">
        <v>64</v>
      </c>
      <c r="C614" s="131" t="str">
        <f t="shared" ref="C614:AC614" si="469">C601</f>
        <v>IE</v>
      </c>
      <c r="D614" s="131" t="str">
        <f t="shared" si="469"/>
        <v>IE-CW</v>
      </c>
      <c r="E614" s="131" t="str">
        <f t="shared" si="469"/>
        <v>IE-D</v>
      </c>
      <c r="F614" s="131" t="str">
        <f t="shared" si="469"/>
        <v>IE-KE</v>
      </c>
      <c r="G614" s="131" t="str">
        <f t="shared" si="469"/>
        <v>IE-KK</v>
      </c>
      <c r="H614" s="131" t="str">
        <f t="shared" si="469"/>
        <v>IE-LS</v>
      </c>
      <c r="I614" s="131" t="str">
        <f t="shared" si="469"/>
        <v>IE-LD</v>
      </c>
      <c r="J614" s="131" t="str">
        <f t="shared" si="469"/>
        <v>IE-LH</v>
      </c>
      <c r="K614" s="131" t="str">
        <f t="shared" si="469"/>
        <v>IE-MH</v>
      </c>
      <c r="L614" s="131" t="str">
        <f t="shared" si="469"/>
        <v>IE-OY</v>
      </c>
      <c r="M614" s="131" t="str">
        <f t="shared" si="469"/>
        <v>IE-WH</v>
      </c>
      <c r="N614" s="131" t="str">
        <f t="shared" si="469"/>
        <v>IE-WX</v>
      </c>
      <c r="O614" s="131" t="str">
        <f t="shared" si="469"/>
        <v>IE-WW</v>
      </c>
      <c r="P614" s="131" t="str">
        <f t="shared" si="469"/>
        <v>IE-CE</v>
      </c>
      <c r="Q614" s="131" t="str">
        <f t="shared" si="469"/>
        <v>IE-CO</v>
      </c>
      <c r="R614" s="131" t="str">
        <f t="shared" si="469"/>
        <v>IE-KY</v>
      </c>
      <c r="S614" s="131" t="str">
        <f t="shared" si="469"/>
        <v>IE-LK</v>
      </c>
      <c r="T614" s="131" t="str">
        <f t="shared" si="469"/>
        <v>IE-TA</v>
      </c>
      <c r="U614" s="131" t="str">
        <f t="shared" si="469"/>
        <v>IE-WD</v>
      </c>
      <c r="V614" s="131" t="str">
        <f t="shared" si="469"/>
        <v>IE-G</v>
      </c>
      <c r="W614" s="131" t="str">
        <f t="shared" si="469"/>
        <v>IE-LM</v>
      </c>
      <c r="X614" s="131" t="str">
        <f t="shared" si="469"/>
        <v>IE-MO</v>
      </c>
      <c r="Y614" s="131" t="str">
        <f t="shared" si="469"/>
        <v>IE-RN</v>
      </c>
      <c r="Z614" s="131" t="str">
        <f t="shared" si="469"/>
        <v>IE-SO</v>
      </c>
      <c r="AA614" s="131" t="str">
        <f t="shared" si="469"/>
        <v>IE-CN</v>
      </c>
      <c r="AB614" s="131" t="str">
        <f t="shared" si="469"/>
        <v>IE-DL</v>
      </c>
      <c r="AC614" s="131" t="str">
        <f t="shared" si="469"/>
        <v>IE-MN</v>
      </c>
    </row>
    <row r="615" spans="1:29">
      <c r="A615" s="459" t="s">
        <v>627</v>
      </c>
      <c r="B615" s="459" t="s">
        <v>611</v>
      </c>
      <c r="C615" s="505">
        <f t="shared" ref="C615:V615" si="470">SUMPRODUCT(C589:C595,C602:C608)</f>
        <v>1.648925343582121</v>
      </c>
      <c r="D615" s="505">
        <f t="shared" si="470"/>
        <v>1.6524583011555254</v>
      </c>
      <c r="E615" s="505">
        <f t="shared" si="470"/>
        <v>1.6271397950310984</v>
      </c>
      <c r="F615" s="505">
        <f t="shared" si="470"/>
        <v>1.6511468175123767</v>
      </c>
      <c r="G615" s="505">
        <f t="shared" si="470"/>
        <v>1.6385501018322151</v>
      </c>
      <c r="H615" s="505">
        <f t="shared" si="470"/>
        <v>1.6238424089265415</v>
      </c>
      <c r="I615" s="505">
        <f t="shared" si="470"/>
        <v>1.677428598292477</v>
      </c>
      <c r="J615" s="505">
        <f t="shared" si="470"/>
        <v>1.6694890113588812</v>
      </c>
      <c r="K615" s="505">
        <f t="shared" si="470"/>
        <v>1.6505331198860089</v>
      </c>
      <c r="L615" s="505">
        <f t="shared" si="470"/>
        <v>1.7001121374983212</v>
      </c>
      <c r="M615" s="505">
        <f t="shared" si="470"/>
        <v>1.6512788202093285</v>
      </c>
      <c r="N615" s="505">
        <f t="shared" si="470"/>
        <v>1.670434058756276</v>
      </c>
      <c r="O615" s="505">
        <f t="shared" si="470"/>
        <v>1.6967664365886974</v>
      </c>
      <c r="P615" s="505">
        <f t="shared" si="470"/>
        <v>1.7200478523770075</v>
      </c>
      <c r="Q615" s="505">
        <f t="shared" si="470"/>
        <v>1.6445789749275215</v>
      </c>
      <c r="R615" s="505">
        <f t="shared" si="470"/>
        <v>1.7242968356934796</v>
      </c>
      <c r="S615" s="505">
        <f t="shared" si="470"/>
        <v>1.6968601340469815</v>
      </c>
      <c r="T615" s="505">
        <f t="shared" si="470"/>
        <v>1.7139490008680254</v>
      </c>
      <c r="U615" s="505">
        <f t="shared" si="470"/>
        <v>1.6512263066063597</v>
      </c>
      <c r="V615" s="505">
        <f t="shared" si="470"/>
        <v>1.6828515427733044</v>
      </c>
      <c r="W615" s="505">
        <f>C615</f>
        <v>1.648925343582121</v>
      </c>
      <c r="X615" s="505">
        <f t="shared" ref="X615:AC615" si="471">SUMPRODUCT(X589:X595,X602:X608)</f>
        <v>1.6948882841522495</v>
      </c>
      <c r="Y615" s="505">
        <f t="shared" si="471"/>
        <v>1.6641292488454651</v>
      </c>
      <c r="Z615" s="505">
        <f t="shared" si="471"/>
        <v>1.6562047937936228</v>
      </c>
      <c r="AA615" s="505">
        <f t="shared" si="471"/>
        <v>1.6539502918479294</v>
      </c>
      <c r="AB615" s="505">
        <f t="shared" si="471"/>
        <v>1.6800017739116448</v>
      </c>
      <c r="AC615" s="505">
        <f t="shared" si="471"/>
        <v>1.691016886659392</v>
      </c>
    </row>
    <row r="616" spans="1:29">
      <c r="A616" s="458"/>
      <c r="B616" s="458" t="s">
        <v>599</v>
      </c>
      <c r="C616" s="508">
        <f>1000/C615</f>
        <v>606.45559478611847</v>
      </c>
      <c r="D616" s="508">
        <f>1000/D615</f>
        <v>605.15899209119129</v>
      </c>
      <c r="E616" s="508">
        <f>1000/E615</f>
        <v>614.57534445028284</v>
      </c>
      <c r="F616" s="508">
        <f>1000/F615</f>
        <v>605.63966171500329</v>
      </c>
      <c r="G616" s="508">
        <f t="shared" ref="G616" si="472">1000/G615</f>
        <v>610.29565033245376</v>
      </c>
      <c r="H616" s="508">
        <f t="shared" ref="H616" si="473">1000/H615</f>
        <v>615.82330557622322</v>
      </c>
      <c r="I616" s="508">
        <f t="shared" ref="I616" si="474">1000/I615</f>
        <v>596.15056105394933</v>
      </c>
      <c r="J616" s="508">
        <f t="shared" ref="J616" si="475">1000/J615</f>
        <v>598.9856735780786</v>
      </c>
      <c r="K616" s="508">
        <f t="shared" ref="K616" si="476">1000/K615</f>
        <v>605.86484933368877</v>
      </c>
      <c r="L616" s="508">
        <f t="shared" ref="L616" si="477">1000/L615</f>
        <v>588.19649477444398</v>
      </c>
      <c r="M616" s="508">
        <f t="shared" ref="M616" si="478">1000/M615</f>
        <v>605.59124707554383</v>
      </c>
      <c r="N616" s="508">
        <f t="shared" ref="N616" si="479">1000/N615</f>
        <v>598.64679767398388</v>
      </c>
      <c r="O616" s="508">
        <f t="shared" ref="O616" si="480">1000/O615</f>
        <v>589.35630646400148</v>
      </c>
      <c r="P616" s="508">
        <f t="shared" ref="P616" si="481">1000/P615</f>
        <v>581.3791742003325</v>
      </c>
      <c r="Q616" s="508">
        <f t="shared" ref="Q616" si="482">1000/Q615</f>
        <v>608.05836341430256</v>
      </c>
      <c r="R616" s="508">
        <f t="shared" ref="R616" si="483">1000/R615</f>
        <v>579.94654939897225</v>
      </c>
      <c r="S616" s="508">
        <f t="shared" ref="S616" si="484">1000/S615</f>
        <v>589.32376330571071</v>
      </c>
      <c r="T616" s="508">
        <f t="shared" ref="T616" si="485">1000/T615</f>
        <v>583.44793193586997</v>
      </c>
      <c r="U616" s="508">
        <f t="shared" ref="U616" si="486">1000/U615</f>
        <v>605.6105065666161</v>
      </c>
      <c r="V616" s="508">
        <f t="shared" ref="V616" si="487">1000/V615</f>
        <v>594.2294816760965</v>
      </c>
      <c r="W616" s="508">
        <f t="shared" ref="W616" si="488">1000/W615</f>
        <v>606.45559478611847</v>
      </c>
      <c r="X616" s="508">
        <f t="shared" ref="X616" si="489">1000/X615</f>
        <v>590.00938843599408</v>
      </c>
      <c r="Y616" s="508">
        <f t="shared" ref="Y616" si="490">1000/Y615</f>
        <v>600.914863249821</v>
      </c>
      <c r="Z616" s="508">
        <f t="shared" ref="Z616" si="491">1000/Z615</f>
        <v>603.79006494085081</v>
      </c>
      <c r="AA616" s="508">
        <f t="shared" ref="AA616" si="492">1000/AA615</f>
        <v>604.61309201905806</v>
      </c>
      <c r="AB616" s="508">
        <f t="shared" ref="AB616" si="493">1000/AB615</f>
        <v>595.23746672697996</v>
      </c>
      <c r="AC616" s="508">
        <f t="shared" ref="AC616" si="494">1000/AC615</f>
        <v>591.36015014935924</v>
      </c>
    </row>
    <row r="620" spans="1:29">
      <c r="A620" s="511"/>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row>
    <row r="621" spans="1:29" ht="15.6">
      <c r="A621" s="401" t="s">
        <v>662</v>
      </c>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row>
    <row r="622" spans="1:29">
      <c r="A622" s="131" t="s">
        <v>606</v>
      </c>
      <c r="B622" s="131" t="s">
        <v>64</v>
      </c>
      <c r="C622" s="131" t="str">
        <f t="shared" ref="C622:AC622" si="495">C614</f>
        <v>IE</v>
      </c>
      <c r="D622" s="131" t="str">
        <f t="shared" si="495"/>
        <v>IE-CW</v>
      </c>
      <c r="E622" s="131" t="str">
        <f t="shared" si="495"/>
        <v>IE-D</v>
      </c>
      <c r="F622" s="131" t="str">
        <f t="shared" si="495"/>
        <v>IE-KE</v>
      </c>
      <c r="G622" s="131" t="str">
        <f t="shared" si="495"/>
        <v>IE-KK</v>
      </c>
      <c r="H622" s="131" t="str">
        <f t="shared" si="495"/>
        <v>IE-LS</v>
      </c>
      <c r="I622" s="131" t="str">
        <f t="shared" si="495"/>
        <v>IE-LD</v>
      </c>
      <c r="J622" s="131" t="str">
        <f t="shared" si="495"/>
        <v>IE-LH</v>
      </c>
      <c r="K622" s="131" t="str">
        <f t="shared" si="495"/>
        <v>IE-MH</v>
      </c>
      <c r="L622" s="131" t="str">
        <f t="shared" si="495"/>
        <v>IE-OY</v>
      </c>
      <c r="M622" s="131" t="str">
        <f t="shared" si="495"/>
        <v>IE-WH</v>
      </c>
      <c r="N622" s="131" t="str">
        <f t="shared" si="495"/>
        <v>IE-WX</v>
      </c>
      <c r="O622" s="131" t="str">
        <f t="shared" si="495"/>
        <v>IE-WW</v>
      </c>
      <c r="P622" s="131" t="str">
        <f t="shared" si="495"/>
        <v>IE-CE</v>
      </c>
      <c r="Q622" s="131" t="str">
        <f t="shared" si="495"/>
        <v>IE-CO</v>
      </c>
      <c r="R622" s="131" t="str">
        <f t="shared" si="495"/>
        <v>IE-KY</v>
      </c>
      <c r="S622" s="131" t="str">
        <f t="shared" si="495"/>
        <v>IE-LK</v>
      </c>
      <c r="T622" s="131" t="str">
        <f t="shared" si="495"/>
        <v>IE-TA</v>
      </c>
      <c r="U622" s="131" t="str">
        <f t="shared" si="495"/>
        <v>IE-WD</v>
      </c>
      <c r="V622" s="131" t="str">
        <f t="shared" si="495"/>
        <v>IE-G</v>
      </c>
      <c r="W622" s="131" t="str">
        <f t="shared" si="495"/>
        <v>IE-LM</v>
      </c>
      <c r="X622" s="131" t="str">
        <f t="shared" si="495"/>
        <v>IE-MO</v>
      </c>
      <c r="Y622" s="131" t="str">
        <f t="shared" si="495"/>
        <v>IE-RN</v>
      </c>
      <c r="Z622" s="131" t="str">
        <f t="shared" si="495"/>
        <v>IE-SO</v>
      </c>
      <c r="AA622" s="131" t="str">
        <f t="shared" si="495"/>
        <v>IE-CN</v>
      </c>
      <c r="AB622" s="131" t="str">
        <f t="shared" si="495"/>
        <v>IE-DL</v>
      </c>
      <c r="AC622" s="131" t="str">
        <f t="shared" si="495"/>
        <v>IE-MN</v>
      </c>
    </row>
    <row r="623" spans="1:29">
      <c r="A623" s="459" t="s">
        <v>345</v>
      </c>
      <c r="B623" s="459" t="s">
        <v>531</v>
      </c>
      <c r="C623" s="9">
        <f>SUM(D623:AC623)</f>
        <v>18</v>
      </c>
      <c r="D623" s="459">
        <v>0</v>
      </c>
      <c r="E623" s="459">
        <v>10</v>
      </c>
      <c r="F623" s="459">
        <v>0</v>
      </c>
      <c r="G623" s="459">
        <v>0</v>
      </c>
      <c r="H623" s="459">
        <v>2</v>
      </c>
      <c r="I623" s="459">
        <v>0</v>
      </c>
      <c r="J623" s="459">
        <v>0</v>
      </c>
      <c r="K623" s="459">
        <v>1</v>
      </c>
      <c r="L623" s="459">
        <v>0</v>
      </c>
      <c r="M623" s="459">
        <v>0</v>
      </c>
      <c r="N623" s="459">
        <v>0</v>
      </c>
      <c r="O623" s="459">
        <v>0</v>
      </c>
      <c r="P623" s="459">
        <v>0</v>
      </c>
      <c r="Q623" s="459">
        <v>3</v>
      </c>
      <c r="R623" s="459">
        <v>1</v>
      </c>
      <c r="S623" s="459">
        <v>0</v>
      </c>
      <c r="T623" s="459">
        <v>0</v>
      </c>
      <c r="U623" s="459">
        <v>0</v>
      </c>
      <c r="V623" s="459">
        <v>0</v>
      </c>
      <c r="W623" s="459">
        <v>0</v>
      </c>
      <c r="X623" s="459">
        <v>0</v>
      </c>
      <c r="Y623" s="459">
        <v>0</v>
      </c>
      <c r="Z623" s="459">
        <v>0</v>
      </c>
      <c r="AA623" s="459">
        <v>1</v>
      </c>
      <c r="AB623" s="459">
        <v>0</v>
      </c>
      <c r="AC623" s="459">
        <v>0</v>
      </c>
    </row>
    <row r="624" spans="1:29">
      <c r="A624" s="459" t="s">
        <v>346</v>
      </c>
      <c r="B624" s="459" t="s">
        <v>531</v>
      </c>
      <c r="C624" s="9">
        <f t="shared" ref="C624:C629" si="496">SUM(D624:AC624)</f>
        <v>0</v>
      </c>
      <c r="D624" s="459">
        <v>0</v>
      </c>
      <c r="E624" s="459">
        <v>0</v>
      </c>
      <c r="F624" s="459">
        <v>0</v>
      </c>
      <c r="G624" s="459">
        <v>0</v>
      </c>
      <c r="H624" s="459">
        <v>0</v>
      </c>
      <c r="I624" s="459">
        <v>0</v>
      </c>
      <c r="J624" s="459">
        <v>0</v>
      </c>
      <c r="K624" s="459">
        <v>0</v>
      </c>
      <c r="L624" s="459">
        <v>0</v>
      </c>
      <c r="M624" s="459">
        <v>0</v>
      </c>
      <c r="N624" s="459">
        <v>0</v>
      </c>
      <c r="O624" s="459">
        <v>0</v>
      </c>
      <c r="P624" s="459">
        <v>0</v>
      </c>
      <c r="Q624" s="459">
        <v>0</v>
      </c>
      <c r="R624" s="459">
        <v>0</v>
      </c>
      <c r="S624" s="459">
        <v>0</v>
      </c>
      <c r="T624" s="459">
        <v>0</v>
      </c>
      <c r="U624" s="459">
        <v>0</v>
      </c>
      <c r="V624" s="459">
        <v>0</v>
      </c>
      <c r="W624" s="459">
        <v>0</v>
      </c>
      <c r="X624" s="459">
        <v>0</v>
      </c>
      <c r="Y624" s="459">
        <v>0</v>
      </c>
      <c r="Z624" s="459">
        <v>0</v>
      </c>
      <c r="AA624" s="459">
        <v>0</v>
      </c>
      <c r="AB624" s="459">
        <v>0</v>
      </c>
      <c r="AC624" s="459">
        <v>0</v>
      </c>
    </row>
    <row r="625" spans="1:29">
      <c r="A625" s="459" t="s">
        <v>347</v>
      </c>
      <c r="B625" s="459" t="s">
        <v>531</v>
      </c>
      <c r="C625" s="9">
        <f t="shared" si="496"/>
        <v>49</v>
      </c>
      <c r="D625" s="459">
        <v>0</v>
      </c>
      <c r="E625" s="459">
        <v>39</v>
      </c>
      <c r="F625" s="459">
        <v>2</v>
      </c>
      <c r="G625" s="459">
        <v>0</v>
      </c>
      <c r="H625" s="459">
        <v>2</v>
      </c>
      <c r="I625" s="459">
        <v>0</v>
      </c>
      <c r="J625" s="459">
        <v>2</v>
      </c>
      <c r="K625" s="459">
        <v>3</v>
      </c>
      <c r="L625" s="459">
        <v>0</v>
      </c>
      <c r="M625" s="459">
        <v>0</v>
      </c>
      <c r="N625" s="459">
        <v>0</v>
      </c>
      <c r="O625" s="459">
        <v>0</v>
      </c>
      <c r="P625" s="459">
        <v>0</v>
      </c>
      <c r="Q625" s="459">
        <v>0</v>
      </c>
      <c r="R625" s="459">
        <v>0</v>
      </c>
      <c r="S625" s="459">
        <v>1</v>
      </c>
      <c r="T625" s="459">
        <v>0</v>
      </c>
      <c r="U625" s="459">
        <v>0</v>
      </c>
      <c r="V625" s="459">
        <v>0</v>
      </c>
      <c r="W625" s="459">
        <v>0</v>
      </c>
      <c r="X625" s="459">
        <v>0</v>
      </c>
      <c r="Y625" s="459">
        <v>0</v>
      </c>
      <c r="Z625" s="459">
        <v>0</v>
      </c>
      <c r="AA625" s="459">
        <v>0</v>
      </c>
      <c r="AB625" s="459">
        <v>0</v>
      </c>
      <c r="AC625" s="459">
        <v>0</v>
      </c>
    </row>
    <row r="626" spans="1:29">
      <c r="A626" s="459" t="s">
        <v>348</v>
      </c>
      <c r="B626" s="459" t="s">
        <v>531</v>
      </c>
      <c r="C626" s="9">
        <f t="shared" si="496"/>
        <v>165</v>
      </c>
      <c r="D626" s="459">
        <v>1</v>
      </c>
      <c r="E626" s="459">
        <v>131</v>
      </c>
      <c r="F626" s="459">
        <v>5</v>
      </c>
      <c r="G626" s="459">
        <v>0</v>
      </c>
      <c r="H626" s="459">
        <v>0</v>
      </c>
      <c r="I626" s="459">
        <v>0</v>
      </c>
      <c r="J626" s="459">
        <v>1</v>
      </c>
      <c r="K626" s="459">
        <v>6</v>
      </c>
      <c r="L626" s="459">
        <v>0</v>
      </c>
      <c r="M626" s="459">
        <v>2</v>
      </c>
      <c r="N626" s="459">
        <v>0</v>
      </c>
      <c r="O626" s="459">
        <v>2</v>
      </c>
      <c r="P626" s="459">
        <v>2</v>
      </c>
      <c r="Q626" s="459">
        <v>2</v>
      </c>
      <c r="R626" s="459">
        <v>0</v>
      </c>
      <c r="S626" s="459">
        <v>9</v>
      </c>
      <c r="T626" s="459">
        <v>0</v>
      </c>
      <c r="U626" s="459">
        <v>0</v>
      </c>
      <c r="V626" s="459">
        <v>3</v>
      </c>
      <c r="W626" s="459">
        <v>0</v>
      </c>
      <c r="X626" s="459">
        <v>1</v>
      </c>
      <c r="Y626" s="459">
        <v>0</v>
      </c>
      <c r="Z626" s="459">
        <v>0</v>
      </c>
      <c r="AA626" s="459">
        <v>0</v>
      </c>
      <c r="AB626" s="459">
        <v>0</v>
      </c>
      <c r="AC626" s="459">
        <v>0</v>
      </c>
    </row>
    <row r="627" spans="1:29">
      <c r="A627" s="459" t="s">
        <v>349</v>
      </c>
      <c r="B627" s="459" t="s">
        <v>531</v>
      </c>
      <c r="C627" s="9">
        <f t="shared" si="496"/>
        <v>1018</v>
      </c>
      <c r="D627" s="459">
        <v>2</v>
      </c>
      <c r="E627" s="459">
        <v>810</v>
      </c>
      <c r="F627" s="459">
        <v>28</v>
      </c>
      <c r="G627" s="459">
        <v>0</v>
      </c>
      <c r="H627" s="459">
        <v>11</v>
      </c>
      <c r="I627" s="459">
        <v>0</v>
      </c>
      <c r="J627" s="459">
        <v>15</v>
      </c>
      <c r="K627" s="459">
        <v>38</v>
      </c>
      <c r="L627" s="459">
        <v>3</v>
      </c>
      <c r="M627" s="459">
        <v>3</v>
      </c>
      <c r="N627" s="459">
        <v>3</v>
      </c>
      <c r="O627" s="459">
        <v>9</v>
      </c>
      <c r="P627" s="459">
        <v>5</v>
      </c>
      <c r="Q627" s="459">
        <v>41</v>
      </c>
      <c r="R627" s="459">
        <v>3</v>
      </c>
      <c r="S627" s="459">
        <v>31</v>
      </c>
      <c r="T627" s="459">
        <v>1</v>
      </c>
      <c r="U627" s="459">
        <v>0</v>
      </c>
      <c r="V627" s="459">
        <v>12</v>
      </c>
      <c r="W627" s="459">
        <v>0</v>
      </c>
      <c r="X627" s="459">
        <v>1</v>
      </c>
      <c r="Y627" s="459">
        <v>0</v>
      </c>
      <c r="Z627" s="459">
        <v>1</v>
      </c>
      <c r="AA627" s="459">
        <v>0</v>
      </c>
      <c r="AB627" s="459">
        <v>1</v>
      </c>
      <c r="AC627" s="459">
        <v>0</v>
      </c>
    </row>
    <row r="628" spans="1:29">
      <c r="A628" s="459" t="s">
        <v>350</v>
      </c>
      <c r="B628" s="459" t="s">
        <v>531</v>
      </c>
      <c r="C628" s="9">
        <f t="shared" si="496"/>
        <v>17</v>
      </c>
      <c r="D628" s="459">
        <v>0</v>
      </c>
      <c r="E628" s="459">
        <v>10</v>
      </c>
      <c r="F628" s="459">
        <v>0</v>
      </c>
      <c r="G628" s="459">
        <v>0</v>
      </c>
      <c r="H628" s="459">
        <v>0</v>
      </c>
      <c r="I628" s="459">
        <v>0</v>
      </c>
      <c r="J628" s="459">
        <v>0</v>
      </c>
      <c r="K628" s="459">
        <v>1</v>
      </c>
      <c r="L628" s="459">
        <v>0</v>
      </c>
      <c r="M628" s="459">
        <v>0</v>
      </c>
      <c r="N628" s="459">
        <v>0</v>
      </c>
      <c r="O628" s="459">
        <v>0</v>
      </c>
      <c r="P628" s="459">
        <v>0</v>
      </c>
      <c r="Q628" s="459">
        <v>2</v>
      </c>
      <c r="R628" s="459">
        <v>0</v>
      </c>
      <c r="S628" s="459">
        <v>1</v>
      </c>
      <c r="T628" s="459">
        <v>1</v>
      </c>
      <c r="U628" s="459">
        <v>1</v>
      </c>
      <c r="V628" s="459">
        <v>0</v>
      </c>
      <c r="W628" s="459">
        <v>0</v>
      </c>
      <c r="X628" s="459">
        <v>0</v>
      </c>
      <c r="Y628" s="459">
        <v>0</v>
      </c>
      <c r="Z628" s="459">
        <v>1</v>
      </c>
      <c r="AA628" s="459">
        <v>0</v>
      </c>
      <c r="AB628" s="459">
        <v>0</v>
      </c>
      <c r="AC628" s="459">
        <v>0</v>
      </c>
    </row>
    <row r="629" spans="1:29">
      <c r="A629" s="459" t="s">
        <v>351</v>
      </c>
      <c r="B629" s="459" t="s">
        <v>531</v>
      </c>
      <c r="C629" s="9">
        <f t="shared" si="496"/>
        <v>83</v>
      </c>
      <c r="D629" s="459">
        <v>1</v>
      </c>
      <c r="E629" s="459">
        <v>55</v>
      </c>
      <c r="F629" s="459">
        <v>2</v>
      </c>
      <c r="G629" s="459">
        <v>1</v>
      </c>
      <c r="H629" s="459">
        <v>1</v>
      </c>
      <c r="I629" s="459">
        <v>0</v>
      </c>
      <c r="J629" s="459">
        <v>7</v>
      </c>
      <c r="K629" s="459">
        <v>2</v>
      </c>
      <c r="L629" s="459">
        <v>0</v>
      </c>
      <c r="M629" s="459">
        <v>1</v>
      </c>
      <c r="N629" s="459">
        <v>0</v>
      </c>
      <c r="O629" s="459">
        <v>2</v>
      </c>
      <c r="P629" s="459">
        <v>0</v>
      </c>
      <c r="Q629" s="459">
        <v>1</v>
      </c>
      <c r="R629" s="459">
        <v>0</v>
      </c>
      <c r="S629" s="459">
        <v>0</v>
      </c>
      <c r="T629" s="459">
        <v>1</v>
      </c>
      <c r="U629" s="459">
        <v>0</v>
      </c>
      <c r="V629" s="459">
        <v>9</v>
      </c>
      <c r="W629" s="459">
        <v>0</v>
      </c>
      <c r="X629" s="459">
        <v>0</v>
      </c>
      <c r="Y629" s="459">
        <v>0</v>
      </c>
      <c r="Z629" s="459">
        <v>0</v>
      </c>
      <c r="AA629" s="459">
        <v>0</v>
      </c>
      <c r="AB629" s="459">
        <v>0</v>
      </c>
      <c r="AC629" s="459">
        <v>0</v>
      </c>
    </row>
    <row r="630" spans="1:29">
      <c r="A630" s="458" t="s">
        <v>16</v>
      </c>
      <c r="B630" s="458" t="s">
        <v>531</v>
      </c>
      <c r="C630" s="504">
        <f>SUM(C623:C629)</f>
        <v>1350</v>
      </c>
      <c r="D630" s="504">
        <f>SUM(D623:D629)</f>
        <v>4</v>
      </c>
      <c r="E630" s="504">
        <f t="shared" ref="E630" si="497">SUM(E623:E629)</f>
        <v>1055</v>
      </c>
      <c r="F630" s="504">
        <f t="shared" ref="F630" si="498">SUM(F623:F629)</f>
        <v>37</v>
      </c>
      <c r="G630" s="504">
        <f t="shared" ref="G630" si="499">SUM(G623:G629)</f>
        <v>1</v>
      </c>
      <c r="H630" s="504">
        <f t="shared" ref="H630" si="500">SUM(H623:H629)</f>
        <v>16</v>
      </c>
      <c r="I630" s="504">
        <f t="shared" ref="I630" si="501">SUM(I623:I629)</f>
        <v>0</v>
      </c>
      <c r="J630" s="504">
        <f t="shared" ref="J630" si="502">SUM(J623:J629)</f>
        <v>25</v>
      </c>
      <c r="K630" s="504">
        <f t="shared" ref="K630" si="503">SUM(K623:K629)</f>
        <v>51</v>
      </c>
      <c r="L630" s="504">
        <f t="shared" ref="L630" si="504">SUM(L623:L629)</f>
        <v>3</v>
      </c>
      <c r="M630" s="504">
        <f t="shared" ref="M630" si="505">SUM(M623:M629)</f>
        <v>6</v>
      </c>
      <c r="N630" s="504">
        <f t="shared" ref="N630" si="506">SUM(N623:N629)</f>
        <v>3</v>
      </c>
      <c r="O630" s="504">
        <f t="shared" ref="O630" si="507">SUM(O623:O629)</f>
        <v>13</v>
      </c>
      <c r="P630" s="504">
        <f t="shared" ref="P630" si="508">SUM(P623:P629)</f>
        <v>7</v>
      </c>
      <c r="Q630" s="504">
        <f t="shared" ref="Q630" si="509">SUM(Q623:Q629)</f>
        <v>49</v>
      </c>
      <c r="R630" s="504">
        <f t="shared" ref="R630" si="510">SUM(R623:R629)</f>
        <v>4</v>
      </c>
      <c r="S630" s="504">
        <f t="shared" ref="S630" si="511">SUM(S623:S629)</f>
        <v>42</v>
      </c>
      <c r="T630" s="504">
        <f t="shared" ref="T630" si="512">SUM(T623:T629)</f>
        <v>3</v>
      </c>
      <c r="U630" s="504">
        <f t="shared" ref="U630" si="513">SUM(U623:U629)</f>
        <v>1</v>
      </c>
      <c r="V630" s="504">
        <f t="shared" ref="V630" si="514">SUM(V623:V629)</f>
        <v>24</v>
      </c>
      <c r="W630" s="504">
        <f t="shared" ref="W630" si="515">SUM(W623:W629)</f>
        <v>0</v>
      </c>
      <c r="X630" s="504">
        <f t="shared" ref="X630" si="516">SUM(X623:X629)</f>
        <v>2</v>
      </c>
      <c r="Y630" s="504">
        <f t="shared" ref="Y630" si="517">SUM(Y623:Y629)</f>
        <v>0</v>
      </c>
      <c r="Z630" s="504">
        <f t="shared" ref="Z630" si="518">SUM(Z623:Z629)</f>
        <v>2</v>
      </c>
      <c r="AA630" s="504">
        <f t="shared" ref="AA630" si="519">SUM(AA623:AA629)</f>
        <v>1</v>
      </c>
      <c r="AB630" s="504">
        <f t="shared" ref="AB630" si="520">SUM(AB623:AB629)</f>
        <v>1</v>
      </c>
      <c r="AC630" s="504">
        <f t="shared" ref="AC630" si="521">SUM(AC623:AC629)</f>
        <v>0</v>
      </c>
    </row>
    <row r="631" spans="1:29">
      <c r="A631" s="459" t="s">
        <v>617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row>
    <row r="633" spans="1:29">
      <c r="A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row>
    <row r="634" spans="1:29">
      <c r="A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row>
    <row r="635" spans="1:29" ht="15.6">
      <c r="A635" s="401" t="s">
        <v>663</v>
      </c>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row>
    <row r="636" spans="1:29">
      <c r="A636" s="131" t="s">
        <v>606</v>
      </c>
      <c r="B636" s="131" t="s">
        <v>64</v>
      </c>
      <c r="C636" s="131" t="str">
        <f>C622</f>
        <v>IE</v>
      </c>
      <c r="D636" s="131" t="str">
        <f t="shared" ref="D636:AC636" si="522">D622</f>
        <v>IE-CW</v>
      </c>
      <c r="E636" s="131" t="str">
        <f t="shared" si="522"/>
        <v>IE-D</v>
      </c>
      <c r="F636" s="131" t="str">
        <f t="shared" si="522"/>
        <v>IE-KE</v>
      </c>
      <c r="G636" s="131" t="str">
        <f t="shared" si="522"/>
        <v>IE-KK</v>
      </c>
      <c r="H636" s="131" t="str">
        <f t="shared" si="522"/>
        <v>IE-LS</v>
      </c>
      <c r="I636" s="131" t="str">
        <f t="shared" si="522"/>
        <v>IE-LD</v>
      </c>
      <c r="J636" s="131" t="str">
        <f t="shared" si="522"/>
        <v>IE-LH</v>
      </c>
      <c r="K636" s="131" t="str">
        <f t="shared" si="522"/>
        <v>IE-MH</v>
      </c>
      <c r="L636" s="131" t="str">
        <f t="shared" si="522"/>
        <v>IE-OY</v>
      </c>
      <c r="M636" s="131" t="str">
        <f t="shared" si="522"/>
        <v>IE-WH</v>
      </c>
      <c r="N636" s="131" t="str">
        <f t="shared" si="522"/>
        <v>IE-WX</v>
      </c>
      <c r="O636" s="131" t="str">
        <f t="shared" si="522"/>
        <v>IE-WW</v>
      </c>
      <c r="P636" s="131" t="str">
        <f t="shared" si="522"/>
        <v>IE-CE</v>
      </c>
      <c r="Q636" s="131" t="str">
        <f t="shared" si="522"/>
        <v>IE-CO</v>
      </c>
      <c r="R636" s="131" t="str">
        <f t="shared" si="522"/>
        <v>IE-KY</v>
      </c>
      <c r="S636" s="131" t="str">
        <f t="shared" si="522"/>
        <v>IE-LK</v>
      </c>
      <c r="T636" s="131" t="str">
        <f t="shared" si="522"/>
        <v>IE-TA</v>
      </c>
      <c r="U636" s="131" t="str">
        <f t="shared" si="522"/>
        <v>IE-WD</v>
      </c>
      <c r="V636" s="131" t="str">
        <f t="shared" si="522"/>
        <v>IE-G</v>
      </c>
      <c r="W636" s="131" t="str">
        <f t="shared" si="522"/>
        <v>IE-LM</v>
      </c>
      <c r="X636" s="131" t="str">
        <f t="shared" si="522"/>
        <v>IE-MO</v>
      </c>
      <c r="Y636" s="131" t="str">
        <f t="shared" si="522"/>
        <v>IE-RN</v>
      </c>
      <c r="Z636" s="131" t="str">
        <f t="shared" si="522"/>
        <v>IE-SO</v>
      </c>
      <c r="AA636" s="131" t="str">
        <f t="shared" si="522"/>
        <v>IE-CN</v>
      </c>
      <c r="AB636" s="131" t="str">
        <f t="shared" si="522"/>
        <v>IE-DL</v>
      </c>
      <c r="AC636" s="131" t="str">
        <f t="shared" si="522"/>
        <v>IE-MN</v>
      </c>
    </row>
    <row r="637" spans="1:29">
      <c r="A637" s="459" t="s">
        <v>345</v>
      </c>
      <c r="B637" s="507" t="s">
        <v>610</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459" t="s">
        <v>346</v>
      </c>
      <c r="B638" s="1" t="s">
        <v>610</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459" t="s">
        <v>347</v>
      </c>
      <c r="B639" s="1" t="s">
        <v>610</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459" t="s">
        <v>348</v>
      </c>
      <c r="B640" s="1" t="s">
        <v>610</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459" t="s">
        <v>349</v>
      </c>
      <c r="B641" s="1" t="s">
        <v>610</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459" t="s">
        <v>350</v>
      </c>
      <c r="B642" s="1" t="s">
        <v>610</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459" t="s">
        <v>351</v>
      </c>
      <c r="B643" s="1" t="s">
        <v>610</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458" t="s">
        <v>16</v>
      </c>
      <c r="B644" s="458" t="s">
        <v>610</v>
      </c>
      <c r="C644" s="403">
        <f t="shared" ref="C644:AC644" si="525">SUM(C637:C643)</f>
        <v>1.0000000000000002</v>
      </c>
      <c r="D644" s="403">
        <f t="shared" si="525"/>
        <v>1</v>
      </c>
      <c r="E644" s="403">
        <f t="shared" si="525"/>
        <v>1</v>
      </c>
      <c r="F644" s="403">
        <f t="shared" si="525"/>
        <v>1</v>
      </c>
      <c r="G644" s="403">
        <f t="shared" si="525"/>
        <v>1</v>
      </c>
      <c r="H644" s="403">
        <f t="shared" si="525"/>
        <v>1</v>
      </c>
      <c r="I644" s="403" t="e">
        <f t="shared" si="525"/>
        <v>#DIV/0!</v>
      </c>
      <c r="J644" s="403">
        <f t="shared" si="525"/>
        <v>1</v>
      </c>
      <c r="K644" s="403">
        <f t="shared" si="525"/>
        <v>1</v>
      </c>
      <c r="L644" s="403">
        <f t="shared" si="525"/>
        <v>1</v>
      </c>
      <c r="M644" s="403">
        <f t="shared" si="525"/>
        <v>0.99999999999999989</v>
      </c>
      <c r="N644" s="403">
        <f t="shared" si="525"/>
        <v>1</v>
      </c>
      <c r="O644" s="403">
        <f t="shared" si="525"/>
        <v>1</v>
      </c>
      <c r="P644" s="403">
        <f t="shared" si="525"/>
        <v>1</v>
      </c>
      <c r="Q644" s="403">
        <f t="shared" si="525"/>
        <v>1</v>
      </c>
      <c r="R644" s="403">
        <f t="shared" si="525"/>
        <v>1</v>
      </c>
      <c r="S644" s="403">
        <f t="shared" si="525"/>
        <v>1</v>
      </c>
      <c r="T644" s="403">
        <f t="shared" si="525"/>
        <v>1</v>
      </c>
      <c r="U644" s="403">
        <f t="shared" si="525"/>
        <v>1</v>
      </c>
      <c r="V644" s="403">
        <f t="shared" si="525"/>
        <v>1</v>
      </c>
      <c r="W644" s="403" t="e">
        <f t="shared" si="525"/>
        <v>#DIV/0!</v>
      </c>
      <c r="X644" s="403">
        <f t="shared" si="525"/>
        <v>1</v>
      </c>
      <c r="Y644" s="403" t="e">
        <f t="shared" si="525"/>
        <v>#DIV/0!</v>
      </c>
      <c r="Z644" s="403">
        <f t="shared" si="525"/>
        <v>1</v>
      </c>
      <c r="AA644" s="403">
        <f t="shared" si="525"/>
        <v>1</v>
      </c>
      <c r="AB644" s="403">
        <f t="shared" si="525"/>
        <v>1</v>
      </c>
      <c r="AC644" s="403" t="e">
        <f t="shared" si="525"/>
        <v>#DIV/0!</v>
      </c>
    </row>
    <row r="645" spans="1:29">
      <c r="A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row>
    <row r="646" spans="1:29">
      <c r="A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row>
    <row r="647" spans="1:29">
      <c r="A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row>
    <row r="648" spans="1:29" ht="15.6">
      <c r="A648" s="425" t="s">
        <v>664</v>
      </c>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row>
    <row r="649" spans="1:29">
      <c r="A649" s="131" t="s">
        <v>606</v>
      </c>
      <c r="B649" s="131" t="s">
        <v>64</v>
      </c>
      <c r="C649" s="131" t="str">
        <f>C636</f>
        <v>IE</v>
      </c>
      <c r="D649" s="131" t="str">
        <f t="shared" ref="D649:AC649" si="526">D636</f>
        <v>IE-CW</v>
      </c>
      <c r="E649" s="131" t="str">
        <f t="shared" si="526"/>
        <v>IE-D</v>
      </c>
      <c r="F649" s="131" t="str">
        <f t="shared" si="526"/>
        <v>IE-KE</v>
      </c>
      <c r="G649" s="131" t="str">
        <f t="shared" si="526"/>
        <v>IE-KK</v>
      </c>
      <c r="H649" s="131" t="str">
        <f t="shared" si="526"/>
        <v>IE-LS</v>
      </c>
      <c r="I649" s="131" t="str">
        <f t="shared" si="526"/>
        <v>IE-LD</v>
      </c>
      <c r="J649" s="131" t="str">
        <f t="shared" si="526"/>
        <v>IE-LH</v>
      </c>
      <c r="K649" s="131" t="str">
        <f t="shared" si="526"/>
        <v>IE-MH</v>
      </c>
      <c r="L649" s="131" t="str">
        <f t="shared" si="526"/>
        <v>IE-OY</v>
      </c>
      <c r="M649" s="131" t="str">
        <f t="shared" si="526"/>
        <v>IE-WH</v>
      </c>
      <c r="N649" s="131" t="str">
        <f t="shared" si="526"/>
        <v>IE-WX</v>
      </c>
      <c r="O649" s="131" t="str">
        <f t="shared" si="526"/>
        <v>IE-WW</v>
      </c>
      <c r="P649" s="131" t="str">
        <f t="shared" si="526"/>
        <v>IE-CE</v>
      </c>
      <c r="Q649" s="131" t="str">
        <f t="shared" si="526"/>
        <v>IE-CO</v>
      </c>
      <c r="R649" s="131" t="str">
        <f t="shared" si="526"/>
        <v>IE-KY</v>
      </c>
      <c r="S649" s="131" t="str">
        <f t="shared" si="526"/>
        <v>IE-LK</v>
      </c>
      <c r="T649" s="131" t="str">
        <f t="shared" si="526"/>
        <v>IE-TA</v>
      </c>
      <c r="U649" s="131" t="str">
        <f t="shared" si="526"/>
        <v>IE-WD</v>
      </c>
      <c r="V649" s="131" t="str">
        <f t="shared" si="526"/>
        <v>IE-G</v>
      </c>
      <c r="W649" s="131" t="str">
        <f t="shared" si="526"/>
        <v>IE-LM</v>
      </c>
      <c r="X649" s="131" t="str">
        <f t="shared" si="526"/>
        <v>IE-MO</v>
      </c>
      <c r="Y649" s="131" t="str">
        <f t="shared" si="526"/>
        <v>IE-RN</v>
      </c>
      <c r="Z649" s="131" t="str">
        <f t="shared" si="526"/>
        <v>IE-SO</v>
      </c>
      <c r="AA649" s="131" t="str">
        <f t="shared" si="526"/>
        <v>IE-CN</v>
      </c>
      <c r="AB649" s="131" t="str">
        <f t="shared" si="526"/>
        <v>IE-DL</v>
      </c>
      <c r="AC649" s="131" t="str">
        <f t="shared" si="526"/>
        <v>IE-MN</v>
      </c>
    </row>
    <row r="650" spans="1:29">
      <c r="A650" s="459" t="s">
        <v>345</v>
      </c>
      <c r="B650" s="459" t="s">
        <v>611</v>
      </c>
      <c r="C650" s="505">
        <v>1.171188111860114</v>
      </c>
      <c r="D650" s="505">
        <v>1.171188111860114</v>
      </c>
      <c r="E650" s="505">
        <v>1.171188111860114</v>
      </c>
      <c r="F650" s="505">
        <v>1.171188111860114</v>
      </c>
      <c r="G650" s="505">
        <v>1.171188111860114</v>
      </c>
      <c r="H650" s="505">
        <v>1.171188111860114</v>
      </c>
      <c r="I650" s="505">
        <v>1.171188111860114</v>
      </c>
      <c r="J650" s="505">
        <v>1.171188111860114</v>
      </c>
      <c r="K650" s="505">
        <v>1.171188111860114</v>
      </c>
      <c r="L650" s="505">
        <v>1.171188111860114</v>
      </c>
      <c r="M650" s="505">
        <v>1.171188111860114</v>
      </c>
      <c r="N650" s="505">
        <v>1.171188111860114</v>
      </c>
      <c r="O650" s="505">
        <v>1.171188111860114</v>
      </c>
      <c r="P650" s="505">
        <v>1.171188111860114</v>
      </c>
      <c r="Q650" s="505">
        <v>1.171188111860114</v>
      </c>
      <c r="R650" s="505">
        <v>1.171188111860114</v>
      </c>
      <c r="S650" s="505">
        <v>1.171188111860114</v>
      </c>
      <c r="T650" s="505">
        <v>1.171188111860114</v>
      </c>
      <c r="U650" s="505">
        <v>1.171188111860114</v>
      </c>
      <c r="V650" s="505">
        <v>1.171188111860114</v>
      </c>
      <c r="W650" s="505">
        <v>1.171188111860114</v>
      </c>
      <c r="X650" s="505">
        <v>1.171188111860114</v>
      </c>
      <c r="Y650" s="505">
        <v>1.171188111860114</v>
      </c>
      <c r="Z650" s="505">
        <v>1.171188111860114</v>
      </c>
      <c r="AA650" s="505">
        <v>1.171188111860114</v>
      </c>
      <c r="AB650" s="505">
        <v>1.171188111860114</v>
      </c>
      <c r="AC650" s="505">
        <v>1.171188111860114</v>
      </c>
    </row>
    <row r="651" spans="1:29">
      <c r="A651" s="459" t="s">
        <v>346</v>
      </c>
      <c r="B651" s="459" t="s">
        <v>611</v>
      </c>
      <c r="C651" s="505">
        <v>1.192415230181668</v>
      </c>
      <c r="D651" s="505">
        <v>1.192415230181668</v>
      </c>
      <c r="E651" s="505">
        <v>1.192415230181668</v>
      </c>
      <c r="F651" s="505">
        <v>1.192415230181668</v>
      </c>
      <c r="G651" s="505">
        <v>1.192415230181668</v>
      </c>
      <c r="H651" s="505">
        <v>1.192415230181668</v>
      </c>
      <c r="I651" s="505">
        <v>1.192415230181668</v>
      </c>
      <c r="J651" s="505">
        <v>1.192415230181668</v>
      </c>
      <c r="K651" s="505">
        <v>1.192415230181668</v>
      </c>
      <c r="L651" s="505">
        <v>1.192415230181668</v>
      </c>
      <c r="M651" s="505">
        <v>1.192415230181668</v>
      </c>
      <c r="N651" s="505">
        <v>1.192415230181668</v>
      </c>
      <c r="O651" s="505">
        <v>1.192415230181668</v>
      </c>
      <c r="P651" s="505">
        <v>1.192415230181668</v>
      </c>
      <c r="Q651" s="505">
        <v>1.192415230181668</v>
      </c>
      <c r="R651" s="505">
        <v>1.192415230181668</v>
      </c>
      <c r="S651" s="505">
        <v>1.192415230181668</v>
      </c>
      <c r="T651" s="505">
        <v>1.192415230181668</v>
      </c>
      <c r="U651" s="505">
        <v>1.192415230181668</v>
      </c>
      <c r="V651" s="505">
        <v>1.192415230181668</v>
      </c>
      <c r="W651" s="505">
        <v>1.192415230181668</v>
      </c>
      <c r="X651" s="505">
        <v>1.192415230181668</v>
      </c>
      <c r="Y651" s="505">
        <v>1.192415230181668</v>
      </c>
      <c r="Z651" s="505">
        <v>1.192415230181668</v>
      </c>
      <c r="AA651" s="505">
        <v>1.192415230181668</v>
      </c>
      <c r="AB651" s="505">
        <v>1.192415230181668</v>
      </c>
      <c r="AC651" s="505">
        <v>1.192415230181668</v>
      </c>
    </row>
    <row r="652" spans="1:29">
      <c r="A652" s="459" t="s">
        <v>347</v>
      </c>
      <c r="B652" s="459" t="s">
        <v>611</v>
      </c>
      <c r="C652" s="505">
        <v>1.3235671555470419</v>
      </c>
      <c r="D652" s="505">
        <v>1.3235671555470419</v>
      </c>
      <c r="E652" s="505">
        <v>1.3235671555470419</v>
      </c>
      <c r="F652" s="505">
        <v>1.3235671555470419</v>
      </c>
      <c r="G652" s="505">
        <v>1.3235671555470419</v>
      </c>
      <c r="H652" s="505">
        <v>1.3235671555470419</v>
      </c>
      <c r="I652" s="505">
        <v>1.3235671555470419</v>
      </c>
      <c r="J652" s="505">
        <v>1.3235671555470419</v>
      </c>
      <c r="K652" s="505">
        <v>1.3235671555470419</v>
      </c>
      <c r="L652" s="505">
        <v>1.3235671555470419</v>
      </c>
      <c r="M652" s="505">
        <v>1.3235671555470419</v>
      </c>
      <c r="N652" s="505">
        <v>1.3235671555470419</v>
      </c>
      <c r="O652" s="505">
        <v>1.3235671555470419</v>
      </c>
      <c r="P652" s="505">
        <v>1.3235671555470419</v>
      </c>
      <c r="Q652" s="505">
        <v>1.3235671555470419</v>
      </c>
      <c r="R652" s="505">
        <v>1.3235671555470419</v>
      </c>
      <c r="S652" s="505">
        <v>1.3235671555470419</v>
      </c>
      <c r="T652" s="505">
        <v>1.3235671555470419</v>
      </c>
      <c r="U652" s="505">
        <v>1.3235671555470419</v>
      </c>
      <c r="V652" s="505">
        <v>1.3235671555470419</v>
      </c>
      <c r="W652" s="505">
        <v>1.3235671555470419</v>
      </c>
      <c r="X652" s="505">
        <v>1.3235671555470419</v>
      </c>
      <c r="Y652" s="505">
        <v>1.3235671555470419</v>
      </c>
      <c r="Z652" s="505">
        <v>1.3235671555470419</v>
      </c>
      <c r="AA652" s="505">
        <v>1.3235671555470419</v>
      </c>
      <c r="AB652" s="505">
        <v>1.3235671555470419</v>
      </c>
      <c r="AC652" s="505">
        <v>1.3235671555470419</v>
      </c>
    </row>
    <row r="653" spans="1:29">
      <c r="A653" s="459" t="s">
        <v>348</v>
      </c>
      <c r="B653" s="459" t="s">
        <v>611</v>
      </c>
      <c r="C653" s="505">
        <v>1.3373617691545401</v>
      </c>
      <c r="D653" s="505">
        <v>1.3373617691545401</v>
      </c>
      <c r="E653" s="505">
        <v>1.3373617691545401</v>
      </c>
      <c r="F653" s="505">
        <v>1.3373617691545401</v>
      </c>
      <c r="G653" s="505">
        <v>1.3373617691545401</v>
      </c>
      <c r="H653" s="505">
        <v>1.3373617691545401</v>
      </c>
      <c r="I653" s="505">
        <v>1.3373617691545401</v>
      </c>
      <c r="J653" s="505">
        <v>1.3373617691545401</v>
      </c>
      <c r="K653" s="505">
        <v>1.3373617691545401</v>
      </c>
      <c r="L653" s="505">
        <v>1.3373617691545401</v>
      </c>
      <c r="M653" s="505">
        <v>1.3373617691545401</v>
      </c>
      <c r="N653" s="505">
        <v>1.3373617691545401</v>
      </c>
      <c r="O653" s="505">
        <v>1.3373617691545401</v>
      </c>
      <c r="P653" s="505">
        <v>1.3373617691545401</v>
      </c>
      <c r="Q653" s="505">
        <v>1.3373617691545401</v>
      </c>
      <c r="R653" s="505">
        <v>1.3373617691545401</v>
      </c>
      <c r="S653" s="505">
        <v>1.3373617691545401</v>
      </c>
      <c r="T653" s="505">
        <v>1.3373617691545401</v>
      </c>
      <c r="U653" s="505">
        <v>1.3373617691545401</v>
      </c>
      <c r="V653" s="505">
        <v>1.3373617691545401</v>
      </c>
      <c r="W653" s="505">
        <v>1.3373617691545401</v>
      </c>
      <c r="X653" s="505">
        <v>1.3373617691545401</v>
      </c>
      <c r="Y653" s="505">
        <v>1.3373617691545401</v>
      </c>
      <c r="Z653" s="505">
        <v>1.3373617691545401</v>
      </c>
      <c r="AA653" s="505">
        <v>1.3373617691545401</v>
      </c>
      <c r="AB653" s="505">
        <v>1.3373617691545401</v>
      </c>
      <c r="AC653" s="505">
        <v>1.3373617691545401</v>
      </c>
    </row>
    <row r="654" spans="1:29">
      <c r="A654" s="459" t="s">
        <v>349</v>
      </c>
      <c r="B654" s="459" t="s">
        <v>611</v>
      </c>
      <c r="C654" s="505">
        <v>1.4009525553811268</v>
      </c>
      <c r="D654" s="505">
        <v>1.4009525553811268</v>
      </c>
      <c r="E654" s="505">
        <v>1.4009525553811268</v>
      </c>
      <c r="F654" s="505">
        <v>1.4009525553811268</v>
      </c>
      <c r="G654" s="505">
        <v>1.4009525553811268</v>
      </c>
      <c r="H654" s="505">
        <v>1.4009525553811268</v>
      </c>
      <c r="I654" s="505">
        <v>1.4009525553811268</v>
      </c>
      <c r="J654" s="505">
        <v>1.4009525553811268</v>
      </c>
      <c r="K654" s="505">
        <v>1.4009525553811268</v>
      </c>
      <c r="L654" s="505">
        <v>1.4009525553811268</v>
      </c>
      <c r="M654" s="505">
        <v>1.4009525553811268</v>
      </c>
      <c r="N654" s="505">
        <v>1.4009525553811268</v>
      </c>
      <c r="O654" s="505">
        <v>1.4009525553811268</v>
      </c>
      <c r="P654" s="505">
        <v>1.4009525553811268</v>
      </c>
      <c r="Q654" s="505">
        <v>1.4009525553811268</v>
      </c>
      <c r="R654" s="505">
        <v>1.4009525553811268</v>
      </c>
      <c r="S654" s="505">
        <v>1.4009525553811268</v>
      </c>
      <c r="T654" s="505">
        <v>1.4009525553811268</v>
      </c>
      <c r="U654" s="505">
        <v>1.4009525553811268</v>
      </c>
      <c r="V654" s="505">
        <v>1.4009525553811268</v>
      </c>
      <c r="W654" s="505">
        <v>1.4009525553811268</v>
      </c>
      <c r="X654" s="505">
        <v>1.4009525553811268</v>
      </c>
      <c r="Y654" s="505">
        <v>1.4009525553811268</v>
      </c>
      <c r="Z654" s="505">
        <v>1.4009525553811268</v>
      </c>
      <c r="AA654" s="505">
        <v>1.4009525553811268</v>
      </c>
      <c r="AB654" s="505">
        <v>1.4009525553811268</v>
      </c>
      <c r="AC654" s="505">
        <v>1.4009525553811268</v>
      </c>
    </row>
    <row r="655" spans="1:29">
      <c r="A655" s="459" t="s">
        <v>350</v>
      </c>
      <c r="B655" s="459" t="s">
        <v>611</v>
      </c>
      <c r="C655" s="505">
        <v>1.4082063462648766</v>
      </c>
      <c r="D655" s="505">
        <v>1.4082063462648766</v>
      </c>
      <c r="E655" s="505">
        <v>1.4082063462648766</v>
      </c>
      <c r="F655" s="505">
        <v>1.4082063462648766</v>
      </c>
      <c r="G655" s="505">
        <v>1.4082063462648766</v>
      </c>
      <c r="H655" s="505">
        <v>1.4082063462648766</v>
      </c>
      <c r="I655" s="505">
        <v>1.4082063462648766</v>
      </c>
      <c r="J655" s="505">
        <v>1.4082063462648766</v>
      </c>
      <c r="K655" s="505">
        <v>1.4082063462648766</v>
      </c>
      <c r="L655" s="505">
        <v>1.4082063462648766</v>
      </c>
      <c r="M655" s="505">
        <v>1.4082063462648766</v>
      </c>
      <c r="N655" s="505">
        <v>1.4082063462648766</v>
      </c>
      <c r="O655" s="505">
        <v>1.4082063462648766</v>
      </c>
      <c r="P655" s="505">
        <v>1.4082063462648766</v>
      </c>
      <c r="Q655" s="505">
        <v>1.4082063462648766</v>
      </c>
      <c r="R655" s="505">
        <v>1.4082063462648766</v>
      </c>
      <c r="S655" s="505">
        <v>1.4082063462648766</v>
      </c>
      <c r="T655" s="505">
        <v>1.4082063462648766</v>
      </c>
      <c r="U655" s="505">
        <v>1.4082063462648766</v>
      </c>
      <c r="V655" s="505">
        <v>1.4082063462648766</v>
      </c>
      <c r="W655" s="505">
        <v>1.4082063462648766</v>
      </c>
      <c r="X655" s="505">
        <v>1.4082063462648766</v>
      </c>
      <c r="Y655" s="505">
        <v>1.4082063462648766</v>
      </c>
      <c r="Z655" s="505">
        <v>1.4082063462648766</v>
      </c>
      <c r="AA655" s="505">
        <v>1.4082063462648766</v>
      </c>
      <c r="AB655" s="505">
        <v>1.4082063462648766</v>
      </c>
      <c r="AC655" s="505">
        <v>1.4082063462648766</v>
      </c>
    </row>
    <row r="656" spans="1:29">
      <c r="A656" s="458" t="s">
        <v>351</v>
      </c>
      <c r="B656" s="458" t="s">
        <v>611</v>
      </c>
      <c r="C656" s="506">
        <v>1.5780931425905766</v>
      </c>
      <c r="D656" s="506">
        <v>1.5780931425905766</v>
      </c>
      <c r="E656" s="506">
        <v>1.5780931425905766</v>
      </c>
      <c r="F656" s="506">
        <v>1.5780931425905766</v>
      </c>
      <c r="G656" s="506">
        <v>1.5780931425905766</v>
      </c>
      <c r="H656" s="506">
        <v>1.5780931425905766</v>
      </c>
      <c r="I656" s="506">
        <v>1.5780931425905766</v>
      </c>
      <c r="J656" s="506">
        <v>1.5780931425905766</v>
      </c>
      <c r="K656" s="506">
        <v>1.5780931425905766</v>
      </c>
      <c r="L656" s="506">
        <v>1.5780931425905766</v>
      </c>
      <c r="M656" s="506">
        <v>1.5780931425905766</v>
      </c>
      <c r="N656" s="506">
        <v>1.5780931425905766</v>
      </c>
      <c r="O656" s="506">
        <v>1.5780931425905766</v>
      </c>
      <c r="P656" s="506">
        <v>1.5780931425905766</v>
      </c>
      <c r="Q656" s="506">
        <v>1.5780931425905766</v>
      </c>
      <c r="R656" s="506">
        <v>1.5780931425905766</v>
      </c>
      <c r="S656" s="506">
        <v>1.5780931425905766</v>
      </c>
      <c r="T656" s="506">
        <v>1.5780931425905766</v>
      </c>
      <c r="U656" s="506">
        <v>1.5780931425905766</v>
      </c>
      <c r="V656" s="506">
        <v>1.5780931425905766</v>
      </c>
      <c r="W656" s="506">
        <v>1.5780931425905766</v>
      </c>
      <c r="X656" s="506">
        <v>1.5780931425905766</v>
      </c>
      <c r="Y656" s="506">
        <v>1.5780931425905766</v>
      </c>
      <c r="Z656" s="506">
        <v>1.5780931425905766</v>
      </c>
      <c r="AA656" s="506">
        <v>1.5780931425905766</v>
      </c>
      <c r="AB656" s="506">
        <v>1.5780931425905766</v>
      </c>
      <c r="AC656" s="506">
        <v>1.5780931425905766</v>
      </c>
    </row>
    <row r="657" spans="1:29">
      <c r="A657" s="510" t="s">
        <v>615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row>
    <row r="659" spans="1:29">
      <c r="A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row>
    <row r="660" spans="1:29">
      <c r="A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c r="AC660" s="459"/>
    </row>
    <row r="661" spans="1:29" ht="15.6">
      <c r="A661" s="425" t="s">
        <v>664</v>
      </c>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131" t="s">
        <v>606</v>
      </c>
      <c r="B662" s="131" t="s">
        <v>64</v>
      </c>
      <c r="C662" s="131" t="str">
        <f>C649</f>
        <v>IE</v>
      </c>
      <c r="D662" s="131" t="str">
        <f t="shared" ref="D662:AC662" si="527">D649</f>
        <v>IE-CW</v>
      </c>
      <c r="E662" s="131" t="str">
        <f t="shared" si="527"/>
        <v>IE-D</v>
      </c>
      <c r="F662" s="131" t="str">
        <f t="shared" si="527"/>
        <v>IE-KE</v>
      </c>
      <c r="G662" s="131" t="str">
        <f t="shared" si="527"/>
        <v>IE-KK</v>
      </c>
      <c r="H662" s="131" t="str">
        <f t="shared" si="527"/>
        <v>IE-LS</v>
      </c>
      <c r="I662" s="131" t="str">
        <f t="shared" si="527"/>
        <v>IE-LD</v>
      </c>
      <c r="J662" s="131" t="str">
        <f t="shared" si="527"/>
        <v>IE-LH</v>
      </c>
      <c r="K662" s="131" t="str">
        <f t="shared" si="527"/>
        <v>IE-MH</v>
      </c>
      <c r="L662" s="131" t="str">
        <f t="shared" si="527"/>
        <v>IE-OY</v>
      </c>
      <c r="M662" s="131" t="str">
        <f t="shared" si="527"/>
        <v>IE-WH</v>
      </c>
      <c r="N662" s="131" t="str">
        <f t="shared" si="527"/>
        <v>IE-WX</v>
      </c>
      <c r="O662" s="131" t="str">
        <f t="shared" si="527"/>
        <v>IE-WW</v>
      </c>
      <c r="P662" s="131" t="str">
        <f t="shared" si="527"/>
        <v>IE-CE</v>
      </c>
      <c r="Q662" s="131" t="str">
        <f t="shared" si="527"/>
        <v>IE-CO</v>
      </c>
      <c r="R662" s="131" t="str">
        <f t="shared" si="527"/>
        <v>IE-KY</v>
      </c>
      <c r="S662" s="131" t="str">
        <f t="shared" si="527"/>
        <v>IE-LK</v>
      </c>
      <c r="T662" s="131" t="str">
        <f t="shared" si="527"/>
        <v>IE-TA</v>
      </c>
      <c r="U662" s="131" t="str">
        <f t="shared" si="527"/>
        <v>IE-WD</v>
      </c>
      <c r="V662" s="131" t="str">
        <f t="shared" si="527"/>
        <v>IE-G</v>
      </c>
      <c r="W662" s="131" t="str">
        <f t="shared" si="527"/>
        <v>IE-LM</v>
      </c>
      <c r="X662" s="131" t="str">
        <f t="shared" si="527"/>
        <v>IE-MO</v>
      </c>
      <c r="Y662" s="131" t="str">
        <f t="shared" si="527"/>
        <v>IE-RN</v>
      </c>
      <c r="Z662" s="131" t="str">
        <f t="shared" si="527"/>
        <v>IE-SO</v>
      </c>
      <c r="AA662" s="131" t="str">
        <f t="shared" si="527"/>
        <v>IE-CN</v>
      </c>
      <c r="AB662" s="131" t="str">
        <f t="shared" si="527"/>
        <v>IE-DL</v>
      </c>
      <c r="AC662" s="131" t="str">
        <f t="shared" si="527"/>
        <v>IE-MN</v>
      </c>
    </row>
    <row r="663" spans="1:29">
      <c r="A663" s="459" t="s">
        <v>627</v>
      </c>
      <c r="B663" s="459" t="s">
        <v>611</v>
      </c>
      <c r="C663" s="505">
        <f t="shared" ref="C663:H663" si="528">SUMPRODUCT(C637:C643,C650:C656)</f>
        <v>1.3982902286261438</v>
      </c>
      <c r="D663" s="505">
        <f t="shared" si="528"/>
        <v>1.4293400056268426</v>
      </c>
      <c r="E663" s="505">
        <f t="shared" si="528"/>
        <v>1.3973214674009706</v>
      </c>
      <c r="F663" s="505">
        <f t="shared" si="528"/>
        <v>1.3977513781816078</v>
      </c>
      <c r="G663" s="505">
        <f t="shared" si="528"/>
        <v>1.5780931425905766</v>
      </c>
      <c r="H663" s="505">
        <f t="shared" si="528"/>
        <v>1.37363011166233</v>
      </c>
      <c r="I663" s="505">
        <f>C663</f>
        <v>1.3982902286261438</v>
      </c>
      <c r="J663" s="505">
        <f t="shared" ref="J663:V663" si="529">SUMPRODUCT(J637:J643,J650:J656)</f>
        <v>1.4418174563639825</v>
      </c>
      <c r="K663" s="505">
        <f t="shared" si="529"/>
        <v>1.3915029397913203</v>
      </c>
      <c r="L663" s="505">
        <f t="shared" si="529"/>
        <v>1.4009525553811268</v>
      </c>
      <c r="M663" s="505">
        <f t="shared" si="529"/>
        <v>1.4092790578405063</v>
      </c>
      <c r="N663" s="505">
        <f t="shared" si="529"/>
        <v>1.4009525553811268</v>
      </c>
      <c r="O663" s="505">
        <f t="shared" si="529"/>
        <v>1.4184217555323364</v>
      </c>
      <c r="P663" s="505">
        <f t="shared" si="529"/>
        <v>1.3827837593163879</v>
      </c>
      <c r="Q663" s="505">
        <f t="shared" si="529"/>
        <v>1.3882009893803255</v>
      </c>
      <c r="R663" s="505">
        <f t="shared" si="529"/>
        <v>1.3435114445008736</v>
      </c>
      <c r="S663" s="505">
        <f t="shared" si="529"/>
        <v>1.3856561581194693</v>
      </c>
      <c r="T663" s="505">
        <f t="shared" si="529"/>
        <v>1.4624173480788598</v>
      </c>
      <c r="U663" s="505">
        <f t="shared" si="529"/>
        <v>1.4082063462648766</v>
      </c>
      <c r="V663" s="505">
        <f t="shared" si="529"/>
        <v>1.4594314273063471</v>
      </c>
      <c r="W663" s="505">
        <f>C663</f>
        <v>1.3982902286261438</v>
      </c>
      <c r="X663" s="505">
        <f>SUMPRODUCT(X637:X643,X650:X656)</f>
        <v>1.3691571622678333</v>
      </c>
      <c r="Y663" s="505">
        <f>C663</f>
        <v>1.3982902286261438</v>
      </c>
      <c r="Z663" s="505">
        <f>SUMPRODUCT(Z637:Z643,Z650:Z656)</f>
        <v>1.4045794508230016</v>
      </c>
      <c r="AA663" s="505">
        <f>SUMPRODUCT(AA637:AA643,AA650:AA656)</f>
        <v>1.171188111860114</v>
      </c>
      <c r="AB663" s="505">
        <f>SUMPRODUCT(AB637:AB643,AB650:AB656)</f>
        <v>1.4009525553811268</v>
      </c>
      <c r="AC663" s="505">
        <f>C663</f>
        <v>1.3982902286261438</v>
      </c>
    </row>
    <row r="664" spans="1:29">
      <c r="A664" s="458"/>
      <c r="B664" s="458" t="s">
        <v>599</v>
      </c>
      <c r="C664" s="508">
        <f>1000/C663</f>
        <v>715.15911327115953</v>
      </c>
      <c r="D664" s="508">
        <f>1000/D663</f>
        <v>699.62359974766548</v>
      </c>
      <c r="E664" s="508">
        <f>1000/E663</f>
        <v>715.65493218966151</v>
      </c>
      <c r="F664" s="508">
        <f>1000/F663</f>
        <v>715.43481595485252</v>
      </c>
      <c r="G664" s="508">
        <f t="shared" ref="G664" si="530">1000/G663</f>
        <v>633.67615827695272</v>
      </c>
      <c r="H664" s="508">
        <f t="shared" ref="H664" si="531">1000/H663</f>
        <v>727.99801890614287</v>
      </c>
      <c r="I664" s="508">
        <f t="shared" ref="I664" si="532">1000/I663</f>
        <v>715.15911327115953</v>
      </c>
      <c r="J664" s="508">
        <f t="shared" ref="J664" si="533">1000/J663</f>
        <v>693.56907532651826</v>
      </c>
      <c r="K664" s="508">
        <f t="shared" ref="K664" si="534">1000/K663</f>
        <v>718.64742172227614</v>
      </c>
      <c r="L664" s="508">
        <f t="shared" ref="L664" si="535">1000/L663</f>
        <v>713.80004708864078</v>
      </c>
      <c r="M664" s="508">
        <f t="shared" ref="M664" si="536">1000/M663</f>
        <v>709.58267238593555</v>
      </c>
      <c r="N664" s="508">
        <f t="shared" ref="N664" si="537">1000/N663</f>
        <v>713.80004708864078</v>
      </c>
      <c r="O664" s="508">
        <f t="shared" ref="O664" si="538">1000/O663</f>
        <v>705.00892706957814</v>
      </c>
      <c r="P664" s="508">
        <f t="shared" ref="P664" si="539">1000/P663</f>
        <v>723.17887251899299</v>
      </c>
      <c r="Q664" s="508">
        <f t="shared" ref="Q664" si="540">1000/Q663</f>
        <v>720.35678381585558</v>
      </c>
      <c r="R664" s="508">
        <f t="shared" ref="R664" si="541">1000/R663</f>
        <v>744.31818507620449</v>
      </c>
      <c r="S664" s="508">
        <f t="shared" ref="S664" si="542">1000/S663</f>
        <v>721.67975737728534</v>
      </c>
      <c r="T664" s="508">
        <f t="shared" ref="T664" si="543">1000/T663</f>
        <v>683.7993280876176</v>
      </c>
      <c r="U664" s="508">
        <f t="shared" ref="U664" si="544">1000/U663</f>
        <v>710.12320222274082</v>
      </c>
      <c r="V664" s="508">
        <f t="shared" ref="V664" si="545">1000/V663</f>
        <v>685.1983459378331</v>
      </c>
      <c r="W664" s="508">
        <f t="shared" ref="W664" si="546">1000/W663</f>
        <v>715.15911327115953</v>
      </c>
      <c r="X664" s="508">
        <f t="shared" ref="X664" si="547">1000/X663</f>
        <v>730.37634214587035</v>
      </c>
      <c r="Y664" s="508">
        <f t="shared" ref="Y664" si="548">1000/Y663</f>
        <v>715.15911327115953</v>
      </c>
      <c r="Z664" s="508">
        <f t="shared" ref="Z664" si="549">1000/Z663</f>
        <v>711.95687749387071</v>
      </c>
      <c r="AA664" s="508">
        <f t="shared" ref="AA664" si="550">1000/AA663</f>
        <v>853.83380336039431</v>
      </c>
      <c r="AB664" s="508">
        <f t="shared" ref="AB664" si="551">1000/AB663</f>
        <v>713.80004708864078</v>
      </c>
      <c r="AC664" s="508">
        <f t="shared" ref="AC664" si="552">1000/AC663</f>
        <v>715.15911327115953</v>
      </c>
    </row>
    <row r="668" spans="1:29" s="11" customFormat="1"/>
    <row r="673" spans="1:14">
      <c r="H673" s="459"/>
      <c r="I673" s="459"/>
      <c r="J673" s="459"/>
      <c r="K673" s="459"/>
    </row>
    <row r="674" spans="1:14">
      <c r="A674" t="s">
        <v>804</v>
      </c>
      <c r="H674" s="459"/>
      <c r="I674" s="459"/>
      <c r="J674" s="459"/>
      <c r="K674" s="459"/>
    </row>
    <row r="675" spans="1:14">
      <c r="A675" s="16" t="s">
        <v>2</v>
      </c>
      <c r="B675" s="16"/>
      <c r="C675" s="16">
        <v>2014</v>
      </c>
      <c r="D675" s="16">
        <v>2015</v>
      </c>
      <c r="E675" s="16">
        <v>2016</v>
      </c>
      <c r="F675" s="16">
        <v>2017</v>
      </c>
      <c r="G675" s="16">
        <v>2018</v>
      </c>
      <c r="H675" s="459"/>
      <c r="I675" s="459"/>
      <c r="J675" s="459"/>
      <c r="K675" s="459"/>
    </row>
    <row r="676" spans="1:14">
      <c r="A676" s="459" t="s">
        <v>45</v>
      </c>
      <c r="B676" s="134"/>
      <c r="C676" s="134">
        <v>414900</v>
      </c>
      <c r="D676" s="134">
        <f>C676</f>
        <v>414900</v>
      </c>
      <c r="E676" s="134">
        <v>429000</v>
      </c>
      <c r="F676" s="134">
        <v>438000</v>
      </c>
      <c r="G676" s="134">
        <v>445500</v>
      </c>
      <c r="H676" s="459"/>
      <c r="I676" s="459"/>
      <c r="J676" s="459"/>
      <c r="K676" s="459"/>
    </row>
    <row r="677" spans="1:14">
      <c r="A677" s="459" t="s">
        <v>44</v>
      </c>
      <c r="B677" s="134"/>
      <c r="C677" s="134">
        <v>19200</v>
      </c>
      <c r="D677" s="134">
        <f>C677</f>
        <v>19200</v>
      </c>
      <c r="E677" s="134">
        <v>24458</v>
      </c>
      <c r="F677" s="134">
        <v>25240</v>
      </c>
      <c r="G677" s="134">
        <v>26222</v>
      </c>
      <c r="H677" s="459"/>
      <c r="I677" s="459"/>
      <c r="J677" s="459"/>
      <c r="K677" s="459"/>
    </row>
    <row r="678" spans="1:14">
      <c r="A678" s="459" t="s">
        <v>46</v>
      </c>
      <c r="B678" s="134"/>
      <c r="C678" s="134">
        <v>15300</v>
      </c>
      <c r="D678" s="134">
        <f t="shared" ref="D678:D693" si="553">C678</f>
        <v>15300</v>
      </c>
      <c r="E678" s="134">
        <v>15700</v>
      </c>
      <c r="F678" s="134">
        <v>15527</v>
      </c>
      <c r="G678" s="134">
        <v>15005</v>
      </c>
      <c r="H678" s="459"/>
      <c r="I678" s="459"/>
      <c r="J678" s="459"/>
      <c r="K678" s="459"/>
    </row>
    <row r="679" spans="1:14">
      <c r="A679" s="459" t="s">
        <v>47</v>
      </c>
      <c r="B679" s="134"/>
      <c r="C679" s="134">
        <v>37400</v>
      </c>
      <c r="D679" s="134">
        <f t="shared" si="553"/>
        <v>37400</v>
      </c>
      <c r="E679" s="134">
        <v>36889</v>
      </c>
      <c r="F679" s="134">
        <v>36816</v>
      </c>
      <c r="G679" s="134">
        <v>37031</v>
      </c>
      <c r="H679" s="459"/>
      <c r="I679" s="459"/>
      <c r="J679" s="459"/>
      <c r="K679" s="459"/>
    </row>
    <row r="680" spans="1:14">
      <c r="A680" s="459" t="s">
        <v>48</v>
      </c>
      <c r="B680" s="134"/>
      <c r="C680" s="134">
        <v>8400</v>
      </c>
      <c r="D680" s="134">
        <f t="shared" si="553"/>
        <v>8400</v>
      </c>
      <c r="E680" s="134">
        <v>8700</v>
      </c>
      <c r="F680" s="134">
        <v>8600</v>
      </c>
      <c r="G680" s="134">
        <v>9032</v>
      </c>
      <c r="H680" s="459"/>
      <c r="I680" s="459"/>
      <c r="J680" s="459"/>
      <c r="K680" s="459"/>
    </row>
    <row r="681" spans="1:14">
      <c r="A681" s="459" t="s">
        <v>49</v>
      </c>
      <c r="B681" s="134"/>
      <c r="C681" s="134">
        <v>495200</v>
      </c>
      <c r="D681" s="134">
        <f t="shared" si="553"/>
        <v>495200</v>
      </c>
      <c r="E681" s="134">
        <f t="shared" ref="E681:F681" si="554">SUM(E676:E680)</f>
        <v>514747</v>
      </c>
      <c r="F681" s="134">
        <f t="shared" si="554"/>
        <v>524183</v>
      </c>
      <c r="G681" s="134">
        <f>SUM(G676:G680)</f>
        <v>532790</v>
      </c>
      <c r="H681" s="459"/>
      <c r="I681" s="459"/>
      <c r="J681" s="459"/>
      <c r="K681" s="459"/>
    </row>
    <row r="682" spans="1:14">
      <c r="A682" s="459"/>
      <c r="B682" s="15"/>
      <c r="C682" s="15">
        <v>0.64</v>
      </c>
      <c r="D682" s="15">
        <f t="shared" si="553"/>
        <v>0.64</v>
      </c>
      <c r="E682" s="15"/>
      <c r="F682" s="15"/>
      <c r="G682" s="15"/>
      <c r="H682" s="459"/>
      <c r="I682" s="459"/>
      <c r="J682" s="459"/>
      <c r="K682" s="459"/>
    </row>
    <row r="683" spans="1:14">
      <c r="A683" s="459" t="s">
        <v>50</v>
      </c>
      <c r="B683" s="134"/>
      <c r="C683" s="134">
        <v>1803</v>
      </c>
      <c r="D683" s="134">
        <f t="shared" si="553"/>
        <v>1803</v>
      </c>
      <c r="E683" s="134">
        <v>1990</v>
      </c>
      <c r="F683" s="134">
        <v>2121</v>
      </c>
      <c r="G683" s="134">
        <v>2281</v>
      </c>
      <c r="H683" s="459"/>
      <c r="I683" s="459"/>
      <c r="J683" s="459"/>
    </row>
    <row r="684" spans="1:14">
      <c r="A684" s="459" t="s">
        <v>51</v>
      </c>
      <c r="C684" s="459">
        <v>2.75</v>
      </c>
      <c r="D684" s="134">
        <f t="shared" si="553"/>
        <v>2.75</v>
      </c>
      <c r="E684" s="19">
        <v>2.59</v>
      </c>
      <c r="F684" s="19">
        <v>2.4700000000000002</v>
      </c>
      <c r="G684" s="19">
        <v>2.34</v>
      </c>
      <c r="H684" s="459"/>
      <c r="I684" s="459"/>
      <c r="J684" s="459"/>
      <c r="K684" s="459"/>
    </row>
    <row r="685" spans="1:14" s="459" customFormat="1">
      <c r="A685" s="459" t="s">
        <v>803</v>
      </c>
      <c r="C685" s="135">
        <f>10000*1000/C684/3600</f>
        <v>1010.10101010101</v>
      </c>
      <c r="D685" s="135">
        <f t="shared" ref="D685:G685" si="555">10000*1000/D684/3600</f>
        <v>1010.10101010101</v>
      </c>
      <c r="E685" s="135">
        <f t="shared" si="555"/>
        <v>1072.5010725010725</v>
      </c>
      <c r="F685" s="135">
        <f t="shared" si="555"/>
        <v>1124.6063877642825</v>
      </c>
      <c r="G685" s="135">
        <f t="shared" si="555"/>
        <v>1187.0845204178538</v>
      </c>
    </row>
    <row r="686" spans="1:14">
      <c r="A686" s="459"/>
      <c r="B686" s="15"/>
      <c r="C686" s="15">
        <v>0.69</v>
      </c>
      <c r="D686" s="15">
        <f t="shared" si="553"/>
        <v>0.69</v>
      </c>
      <c r="E686" s="15"/>
      <c r="F686" s="15"/>
      <c r="G686" s="15"/>
      <c r="H686" s="459"/>
      <c r="I686" s="459"/>
      <c r="J686" s="459"/>
      <c r="K686" s="459"/>
    </row>
    <row r="687" spans="1:14">
      <c r="A687" s="459" t="s">
        <v>52</v>
      </c>
      <c r="C687" s="459">
        <v>18.399999999999999</v>
      </c>
      <c r="D687" s="134">
        <f t="shared" si="553"/>
        <v>18.399999999999999</v>
      </c>
      <c r="E687" s="459">
        <v>18.399999999999999</v>
      </c>
      <c r="F687" s="459">
        <v>18.63</v>
      </c>
      <c r="G687" s="459">
        <v>18.88</v>
      </c>
      <c r="H687" s="459"/>
      <c r="I687" s="459"/>
      <c r="J687" s="459"/>
      <c r="K687" s="459"/>
      <c r="L687" s="459"/>
      <c r="M687" s="459"/>
      <c r="N687" s="459"/>
    </row>
    <row r="688" spans="1:14">
      <c r="A688" s="459" t="s">
        <v>53</v>
      </c>
      <c r="C688" s="459">
        <v>2.69</v>
      </c>
      <c r="D688" s="134">
        <f t="shared" si="553"/>
        <v>2.69</v>
      </c>
      <c r="E688" s="459">
        <v>2.8</v>
      </c>
      <c r="F688" s="459">
        <v>2.82</v>
      </c>
      <c r="G688" s="459">
        <v>2.82</v>
      </c>
      <c r="H688" s="459"/>
      <c r="I688" s="459"/>
      <c r="J688" s="459"/>
      <c r="K688" s="459"/>
      <c r="L688" s="459"/>
      <c r="M688" s="459"/>
      <c r="N688" s="459"/>
    </row>
    <row r="689" spans="1:14">
      <c r="A689" s="459"/>
      <c r="B689" s="15"/>
      <c r="C689" s="15">
        <v>0.65</v>
      </c>
      <c r="D689" s="15">
        <f t="shared" si="553"/>
        <v>0.65</v>
      </c>
      <c r="E689" s="15"/>
      <c r="F689" s="15"/>
      <c r="G689" s="15"/>
      <c r="H689" s="459"/>
      <c r="I689" s="459"/>
      <c r="J689" s="459"/>
      <c r="K689" s="459"/>
      <c r="L689" s="459"/>
      <c r="M689" s="459"/>
      <c r="N689" s="459"/>
    </row>
    <row r="690" spans="1:14">
      <c r="A690" s="459" t="s">
        <v>54</v>
      </c>
      <c r="C690" s="459">
        <v>597</v>
      </c>
      <c r="D690" s="134">
        <f t="shared" si="553"/>
        <v>597</v>
      </c>
      <c r="E690" s="459">
        <v>614</v>
      </c>
      <c r="F690" s="459">
        <v>616</v>
      </c>
      <c r="G690" s="459">
        <v>617</v>
      </c>
      <c r="H690" s="459"/>
      <c r="I690" s="459"/>
      <c r="J690" s="459"/>
      <c r="K690" s="459"/>
      <c r="L690" s="459"/>
      <c r="M690" s="459"/>
      <c r="N690" s="459"/>
    </row>
    <row r="691" spans="1:14">
      <c r="A691" s="459"/>
      <c r="B691" s="15"/>
      <c r="C691" s="15">
        <v>1.53</v>
      </c>
      <c r="D691" s="15">
        <f t="shared" si="553"/>
        <v>1.53</v>
      </c>
      <c r="E691" s="15"/>
      <c r="F691" s="15"/>
      <c r="G691" s="15"/>
      <c r="H691" s="459"/>
      <c r="I691" s="459"/>
      <c r="J691" s="459"/>
      <c r="K691" s="459"/>
      <c r="L691" s="459"/>
      <c r="M691" s="459"/>
      <c r="N691" s="459"/>
    </row>
    <row r="692" spans="1:14">
      <c r="A692" s="459" t="s">
        <v>55</v>
      </c>
      <c r="C692" s="459">
        <v>0.77</v>
      </c>
      <c r="D692" s="134">
        <f t="shared" si="553"/>
        <v>0.77</v>
      </c>
      <c r="E692" s="459">
        <v>0.74</v>
      </c>
      <c r="F692" s="459">
        <v>0.55000000000000004</v>
      </c>
      <c r="G692" s="459">
        <v>0.56000000000000005</v>
      </c>
      <c r="H692" s="459"/>
      <c r="I692" s="459"/>
      <c r="J692" s="459"/>
      <c r="K692" s="459"/>
      <c r="L692" s="459"/>
      <c r="M692" s="459"/>
      <c r="N692" s="459"/>
    </row>
    <row r="693" spans="1:14">
      <c r="A693" s="17"/>
      <c r="B693" s="18"/>
      <c r="C693" s="18">
        <v>2.27</v>
      </c>
      <c r="D693" s="18">
        <f t="shared" si="553"/>
        <v>2.27</v>
      </c>
      <c r="E693" s="18"/>
      <c r="F693" s="18"/>
      <c r="G693" s="18"/>
      <c r="H693" s="459"/>
      <c r="I693" s="459"/>
      <c r="J693" s="459"/>
      <c r="K693" s="459"/>
      <c r="L693" s="459"/>
      <c r="M693" s="459"/>
      <c r="N693" s="459"/>
    </row>
    <row r="694" spans="1:14">
      <c r="A694" s="459" t="s">
        <v>354</v>
      </c>
      <c r="C694" s="459"/>
      <c r="D694" s="459"/>
      <c r="F694" s="459"/>
      <c r="G694" s="459"/>
      <c r="H694" s="459"/>
      <c r="I694" s="459"/>
      <c r="J694" s="459"/>
      <c r="K694" s="459"/>
      <c r="L694" s="459"/>
      <c r="M694" s="459"/>
      <c r="N694" s="459"/>
    </row>
    <row r="695" spans="1:14">
      <c r="A695" s="389" t="s">
        <v>355</v>
      </c>
      <c r="B695" s="134"/>
      <c r="C695" s="134"/>
      <c r="D695" s="134"/>
      <c r="F695" s="134"/>
      <c r="G695" s="134"/>
      <c r="H695" s="134"/>
      <c r="I695" s="134"/>
    </row>
    <row r="698" spans="1:14">
      <c r="A698" s="16"/>
      <c r="B698" s="16" t="s">
        <v>491</v>
      </c>
      <c r="C698" s="16">
        <v>2014</v>
      </c>
      <c r="D698" s="16">
        <v>2015</v>
      </c>
      <c r="E698" s="16">
        <v>2016</v>
      </c>
      <c r="F698" s="16">
        <v>2017</v>
      </c>
      <c r="G698" s="16">
        <v>2018</v>
      </c>
    </row>
    <row r="699" spans="1:14">
      <c r="A699" s="21" t="s">
        <v>809</v>
      </c>
      <c r="B699" s="459" t="s">
        <v>805</v>
      </c>
      <c r="C699" s="134">
        <f>C677+C679</f>
        <v>56600</v>
      </c>
      <c r="D699" s="134">
        <f t="shared" ref="D699:G699" si="556">D677+D679</f>
        <v>56600</v>
      </c>
      <c r="E699" s="134">
        <f t="shared" si="556"/>
        <v>61347</v>
      </c>
      <c r="F699" s="134">
        <f t="shared" si="556"/>
        <v>62056</v>
      </c>
      <c r="G699" s="134">
        <f t="shared" si="556"/>
        <v>63253</v>
      </c>
    </row>
    <row r="700" spans="1:14">
      <c r="A700" s="21" t="s">
        <v>808</v>
      </c>
      <c r="B700" s="459" t="s">
        <v>805</v>
      </c>
      <c r="C700" s="134">
        <f>C676+C678</f>
        <v>430200</v>
      </c>
      <c r="D700" s="134">
        <f t="shared" ref="D700:G700" si="557">D676+D678</f>
        <v>430200</v>
      </c>
      <c r="E700" s="134">
        <f t="shared" si="557"/>
        <v>444700</v>
      </c>
      <c r="F700" s="134">
        <f t="shared" si="557"/>
        <v>453527</v>
      </c>
      <c r="G700" s="134">
        <f t="shared" si="557"/>
        <v>460505</v>
      </c>
    </row>
    <row r="701" spans="1:14">
      <c r="A701" s="21" t="s">
        <v>811</v>
      </c>
      <c r="B701" s="459" t="s">
        <v>810</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812</v>
      </c>
      <c r="B702" s="459" t="s">
        <v>810</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459" customFormat="1">
      <c r="A703" s="21" t="s">
        <v>1</v>
      </c>
      <c r="B703" s="459" t="s">
        <v>810</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806</v>
      </c>
      <c r="B704" s="459" t="s">
        <v>807</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459" t="s">
        <v>813</v>
      </c>
      <c r="C705">
        <v>80</v>
      </c>
      <c r="D705" s="459">
        <v>80</v>
      </c>
      <c r="E705" s="459">
        <v>80</v>
      </c>
      <c r="F705" s="459">
        <v>80</v>
      </c>
      <c r="G705" s="459">
        <v>80</v>
      </c>
    </row>
    <row r="706" spans="1:7">
      <c r="A706" s="613" t="s">
        <v>814</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55" zoomScaleNormal="55" workbookViewId="0">
      <selection activeCell="K136" sqref="K136"/>
    </sheetView>
  </sheetViews>
  <sheetFormatPr defaultRowHeight="14.4"/>
  <cols>
    <col min="1" max="1" width="5.44140625" customWidth="1"/>
    <col min="2" max="2" width="22.44140625" bestFit="1" customWidth="1"/>
    <col min="3" max="3" width="22.44140625" style="459" customWidth="1"/>
    <col min="4" max="30" width="10" customWidth="1"/>
    <col min="31" max="31" width="16.44140625" bestFit="1" customWidth="1"/>
  </cols>
  <sheetData>
    <row r="1" spans="2:65">
      <c r="AE1" s="448"/>
      <c r="AF1" s="714"/>
      <c r="AG1" s="714"/>
      <c r="AH1" s="714"/>
      <c r="AI1" s="714"/>
      <c r="AJ1" s="714"/>
      <c r="AK1" s="714"/>
      <c r="AL1" s="714"/>
      <c r="AM1" s="714"/>
      <c r="AN1" s="714"/>
      <c r="AO1" s="714"/>
      <c r="AP1" s="714"/>
      <c r="AQ1" s="714"/>
      <c r="AR1" s="714"/>
      <c r="AS1" s="714"/>
      <c r="AT1" s="714"/>
      <c r="AU1" s="714"/>
      <c r="AV1" s="714"/>
      <c r="AW1" s="714"/>
      <c r="AX1" s="714"/>
      <c r="AY1" s="714"/>
      <c r="AZ1" s="714"/>
      <c r="BA1" s="714"/>
      <c r="BB1" s="714"/>
      <c r="BC1" s="714"/>
      <c r="BD1" s="714"/>
      <c r="BE1" s="714"/>
      <c r="BF1" s="714"/>
      <c r="BG1" s="714"/>
      <c r="BH1" s="714"/>
      <c r="BI1" s="714"/>
      <c r="BJ1" s="714"/>
      <c r="BK1" s="714"/>
      <c r="BL1" s="714"/>
      <c r="BM1" s="714"/>
    </row>
    <row r="2" spans="2:65">
      <c r="C2" s="453" t="s">
        <v>985</v>
      </c>
      <c r="D2" s="448"/>
      <c r="E2" s="448"/>
      <c r="AE2" s="448"/>
      <c r="AF2" s="714"/>
      <c r="AG2" s="714"/>
      <c r="AH2" s="714"/>
      <c r="AI2" s="714"/>
      <c r="AJ2" s="714"/>
      <c r="AK2" s="714"/>
      <c r="AL2" s="714"/>
      <c r="AM2" s="714"/>
      <c r="AN2" s="714"/>
      <c r="AO2" s="714"/>
      <c r="AP2" s="714"/>
      <c r="AQ2" s="714"/>
      <c r="AR2" s="714"/>
      <c r="AS2" s="714"/>
      <c r="AT2" s="714"/>
      <c r="AU2" s="714"/>
      <c r="AV2" s="714"/>
      <c r="AW2" s="714"/>
      <c r="AX2" s="714"/>
      <c r="AY2" s="714"/>
      <c r="AZ2" s="714"/>
      <c r="BA2" s="714"/>
      <c r="BB2" s="714"/>
      <c r="BC2" s="714"/>
      <c r="BD2" s="714"/>
      <c r="BE2" s="714"/>
      <c r="BF2" s="714"/>
      <c r="BG2" s="714"/>
      <c r="BH2" s="714"/>
      <c r="BI2" s="714"/>
      <c r="BJ2" s="714"/>
      <c r="BK2" s="714"/>
      <c r="BL2" s="714"/>
      <c r="BM2" s="714"/>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4"/>
      <c r="AG3" s="714"/>
      <c r="AH3" s="714"/>
      <c r="AI3" s="714"/>
      <c r="AJ3" s="714"/>
      <c r="AK3" s="714"/>
      <c r="AL3" s="714"/>
      <c r="AM3" s="714"/>
      <c r="AN3" s="714"/>
      <c r="AO3" s="714"/>
      <c r="AP3" s="714"/>
      <c r="AQ3" s="714"/>
      <c r="AR3" s="714"/>
      <c r="AS3" s="714"/>
      <c r="AT3" s="714"/>
      <c r="AU3" s="714"/>
      <c r="AV3" s="714"/>
      <c r="AW3" s="714"/>
      <c r="AX3" s="714"/>
      <c r="AY3" s="714"/>
      <c r="AZ3" s="714"/>
      <c r="BA3" s="714"/>
      <c r="BB3" s="714"/>
      <c r="BC3" s="714"/>
      <c r="BD3" s="714"/>
      <c r="BE3" s="714"/>
      <c r="BF3" s="714"/>
      <c r="BG3" s="714"/>
      <c r="BH3" s="714"/>
      <c r="BI3" s="714"/>
      <c r="BJ3" s="714"/>
      <c r="BK3" s="714"/>
      <c r="BL3" s="714"/>
      <c r="BM3" s="714"/>
    </row>
    <row r="4" spans="2:65" s="459" customFormat="1">
      <c r="B4" s="459" t="str">
        <f>Commodities!K8</f>
        <v>T-WLK_WLK</v>
      </c>
      <c r="C4" s="459" t="s">
        <v>789</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4"/>
      <c r="AG4" s="714"/>
      <c r="AH4" s="714"/>
      <c r="AI4" s="714"/>
      <c r="AJ4" s="714"/>
      <c r="AK4" s="714"/>
      <c r="AL4" s="714"/>
      <c r="AM4" s="714"/>
      <c r="AN4" s="714"/>
      <c r="AO4" s="714"/>
      <c r="AP4" s="714"/>
      <c r="AQ4" s="714"/>
      <c r="AR4" s="714"/>
      <c r="AS4" s="714"/>
      <c r="AT4" s="714"/>
      <c r="AU4" s="714"/>
      <c r="AV4" s="714"/>
      <c r="AW4" s="714"/>
      <c r="AX4" s="714"/>
      <c r="AY4" s="714"/>
      <c r="AZ4" s="714"/>
      <c r="BA4" s="714"/>
      <c r="BB4" s="714"/>
      <c r="BC4" s="714"/>
      <c r="BD4" s="714"/>
      <c r="BE4" s="714"/>
      <c r="BF4" s="714"/>
      <c r="BG4" s="714"/>
      <c r="BH4" s="714"/>
      <c r="BI4" s="714"/>
      <c r="BJ4" s="714"/>
      <c r="BK4" s="714"/>
      <c r="BL4" s="714"/>
      <c r="BM4" s="714"/>
    </row>
    <row r="5" spans="2:65" s="459" customFormat="1">
      <c r="B5" s="459" t="str">
        <f>Commodities!K9</f>
        <v>T-CYC_CYC</v>
      </c>
      <c r="C5" s="459" t="s">
        <v>789</v>
      </c>
      <c r="D5" s="719">
        <v>8</v>
      </c>
      <c r="E5" s="719">
        <v>8</v>
      </c>
      <c r="F5" s="719">
        <v>8</v>
      </c>
      <c r="G5" s="719">
        <v>8</v>
      </c>
      <c r="H5" s="719">
        <v>8</v>
      </c>
      <c r="I5" s="719">
        <v>8</v>
      </c>
      <c r="J5" s="719">
        <v>8</v>
      </c>
      <c r="K5" s="719">
        <v>8</v>
      </c>
      <c r="L5" s="719">
        <v>8</v>
      </c>
      <c r="M5" s="719">
        <v>8</v>
      </c>
      <c r="N5" s="719">
        <v>8</v>
      </c>
      <c r="O5" s="719">
        <v>8</v>
      </c>
      <c r="P5" s="719">
        <v>8</v>
      </c>
      <c r="Q5" s="719">
        <v>8</v>
      </c>
      <c r="R5" s="719">
        <v>8</v>
      </c>
      <c r="S5" s="719">
        <v>8</v>
      </c>
      <c r="T5" s="719">
        <v>8</v>
      </c>
      <c r="U5" s="719">
        <v>8</v>
      </c>
      <c r="V5" s="719">
        <v>8</v>
      </c>
      <c r="W5" s="719">
        <v>8</v>
      </c>
      <c r="X5" s="719">
        <v>8</v>
      </c>
      <c r="Y5" s="719">
        <v>8</v>
      </c>
      <c r="Z5" s="719">
        <v>8</v>
      </c>
      <c r="AA5" s="719">
        <v>8</v>
      </c>
      <c r="AB5" s="719">
        <v>8</v>
      </c>
      <c r="AC5" s="719">
        <v>8</v>
      </c>
      <c r="AD5" s="719">
        <v>8</v>
      </c>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C5" s="714"/>
      <c r="BD5" s="714"/>
      <c r="BE5" s="714"/>
      <c r="BF5" s="714"/>
      <c r="BG5" s="714"/>
      <c r="BH5" s="714"/>
      <c r="BI5" s="714"/>
      <c r="BJ5" s="714"/>
      <c r="BK5" s="714"/>
      <c r="BL5" s="714"/>
      <c r="BM5" s="714"/>
    </row>
    <row r="6" spans="2:65">
      <c r="B6" s="714" t="str">
        <f>Commodities!K11</f>
        <v>T-MOT-ICE_GSL00</v>
      </c>
      <c r="C6" s="459" t="s">
        <v>789</v>
      </c>
      <c r="D6" s="719">
        <f>D76</f>
        <v>2.7309999999999999</v>
      </c>
      <c r="E6" s="719">
        <f t="shared" ref="E6:AD16" si="0">E76</f>
        <v>2.637</v>
      </c>
      <c r="F6" s="719">
        <f t="shared" ref="F6" si="1">F76</f>
        <v>2.798</v>
      </c>
      <c r="G6" s="719">
        <f t="shared" si="0"/>
        <v>2.7280000000000002</v>
      </c>
      <c r="H6" s="719">
        <f t="shared" si="0"/>
        <v>2.6520000000000001</v>
      </c>
      <c r="I6" s="719">
        <f t="shared" si="0"/>
        <v>2.71</v>
      </c>
      <c r="J6" s="719">
        <f t="shared" si="0"/>
        <v>2.669</v>
      </c>
      <c r="K6" s="719">
        <f t="shared" si="0"/>
        <v>2.758</v>
      </c>
      <c r="L6" s="719">
        <f t="shared" si="0"/>
        <v>2.722</v>
      </c>
      <c r="M6" s="719">
        <f t="shared" si="0"/>
        <v>2.6560000000000001</v>
      </c>
      <c r="N6" s="719">
        <f t="shared" si="0"/>
        <v>2.706</v>
      </c>
      <c r="O6" s="719">
        <f t="shared" si="0"/>
        <v>2.657</v>
      </c>
      <c r="P6" s="719">
        <f t="shared" si="0"/>
        <v>2.72</v>
      </c>
      <c r="Q6" s="719">
        <f t="shared" si="0"/>
        <v>2.726</v>
      </c>
      <c r="R6" s="719">
        <f t="shared" si="0"/>
        <v>2.6880000000000002</v>
      </c>
      <c r="S6" s="719">
        <f t="shared" si="0"/>
        <v>2.68</v>
      </c>
      <c r="T6" s="719">
        <f t="shared" si="0"/>
        <v>2.7</v>
      </c>
      <c r="U6" s="719">
        <f t="shared" si="0"/>
        <v>2.694</v>
      </c>
      <c r="V6" s="719">
        <f t="shared" si="0"/>
        <v>2.6480000000000001</v>
      </c>
      <c r="W6" s="719">
        <f t="shared" si="0"/>
        <v>2.7010000000000001</v>
      </c>
      <c r="X6" s="719">
        <f t="shared" si="0"/>
        <v>2.7250000000000001</v>
      </c>
      <c r="Y6" s="719">
        <f t="shared" si="0"/>
        <v>2.718</v>
      </c>
      <c r="Z6" s="719">
        <f t="shared" si="0"/>
        <v>2.7290000000000001</v>
      </c>
      <c r="AA6" s="719">
        <f t="shared" si="0"/>
        <v>2.6480000000000001</v>
      </c>
      <c r="AB6" s="719">
        <f t="shared" si="0"/>
        <v>2.7109999999999999</v>
      </c>
      <c r="AC6" s="719">
        <f t="shared" si="0"/>
        <v>2.7930000000000001</v>
      </c>
      <c r="AD6" s="719">
        <f t="shared" si="0"/>
        <v>2.7800000000000002</v>
      </c>
      <c r="AF6" s="714"/>
      <c r="AG6" s="714"/>
      <c r="AH6" s="714"/>
      <c r="AI6" s="714"/>
      <c r="AJ6" s="714"/>
      <c r="AK6" s="714"/>
      <c r="AL6" s="714"/>
      <c r="AM6" s="714"/>
      <c r="AN6" s="714"/>
      <c r="AO6" s="714"/>
      <c r="AP6" s="714"/>
      <c r="AQ6" s="714"/>
      <c r="AR6" s="714"/>
      <c r="AS6" s="714"/>
      <c r="AT6" s="714"/>
      <c r="AU6" s="714"/>
      <c r="AV6" s="714"/>
      <c r="AW6" s="714"/>
      <c r="AX6" s="714"/>
      <c r="AY6" s="714"/>
      <c r="AZ6" s="714"/>
      <c r="BA6" s="714"/>
      <c r="BB6" s="714"/>
      <c r="BC6" s="714"/>
      <c r="BD6" s="714"/>
      <c r="BE6" s="714"/>
      <c r="BF6" s="714"/>
      <c r="BG6" s="714"/>
      <c r="BH6" s="714"/>
      <c r="BI6" s="714"/>
      <c r="BJ6" s="714"/>
      <c r="BK6" s="714"/>
      <c r="BL6" s="714"/>
      <c r="BM6" s="714"/>
    </row>
    <row r="7" spans="2:65">
      <c r="B7" s="714" t="str">
        <f>Commodities!K13</f>
        <v>T-CAR-ICE_GSL00</v>
      </c>
      <c r="C7" s="459" t="s">
        <v>789</v>
      </c>
      <c r="D7" s="719">
        <f t="shared" ref="D7:S22" si="2">D77</f>
        <v>12.817</v>
      </c>
      <c r="E7" s="719">
        <f t="shared" si="2"/>
        <v>13.538</v>
      </c>
      <c r="F7" s="719">
        <f t="shared" ref="F7" si="3">F77</f>
        <v>11.021000000000001</v>
      </c>
      <c r="G7" s="719">
        <f t="shared" si="2"/>
        <v>13.529</v>
      </c>
      <c r="H7" s="719">
        <f t="shared" si="2"/>
        <v>13.763999999999999</v>
      </c>
      <c r="I7" s="719">
        <f t="shared" si="2"/>
        <v>14.083</v>
      </c>
      <c r="J7" s="719">
        <f t="shared" si="2"/>
        <v>14.022</v>
      </c>
      <c r="K7" s="719">
        <f t="shared" si="2"/>
        <v>13.183</v>
      </c>
      <c r="L7" s="719">
        <f t="shared" si="2"/>
        <v>13.941000000000001</v>
      </c>
      <c r="M7" s="719">
        <f t="shared" si="2"/>
        <v>14.13</v>
      </c>
      <c r="N7" s="719">
        <f t="shared" si="2"/>
        <v>13.906000000000001</v>
      </c>
      <c r="O7" s="719">
        <f t="shared" si="2"/>
        <v>13.939</v>
      </c>
      <c r="P7" s="719">
        <f t="shared" si="2"/>
        <v>13.411</v>
      </c>
      <c r="Q7" s="719">
        <f t="shared" si="2"/>
        <v>14.196999999999999</v>
      </c>
      <c r="R7" s="719">
        <f t="shared" si="2"/>
        <v>13.069000000000001</v>
      </c>
      <c r="S7" s="719">
        <f t="shared" si="2"/>
        <v>13.894</v>
      </c>
      <c r="T7" s="719">
        <f t="shared" si="0"/>
        <v>13.465999999999999</v>
      </c>
      <c r="U7" s="719">
        <f t="shared" si="0"/>
        <v>14.237</v>
      </c>
      <c r="V7" s="719">
        <f t="shared" si="0"/>
        <v>13.135999999999999</v>
      </c>
      <c r="W7" s="719">
        <f t="shared" si="0"/>
        <v>13.557</v>
      </c>
      <c r="X7" s="719">
        <f t="shared" si="0"/>
        <v>14.583</v>
      </c>
      <c r="Y7" s="719">
        <f t="shared" si="0"/>
        <v>13.987</v>
      </c>
      <c r="Z7" s="719">
        <f t="shared" si="0"/>
        <v>15.377000000000001</v>
      </c>
      <c r="AA7" s="719">
        <f t="shared" si="0"/>
        <v>13.425000000000001</v>
      </c>
      <c r="AB7" s="719">
        <f t="shared" si="0"/>
        <v>14.218</v>
      </c>
      <c r="AC7" s="719">
        <f t="shared" si="0"/>
        <v>13.877000000000001</v>
      </c>
      <c r="AD7" s="719">
        <f t="shared" si="0"/>
        <v>13.781000000000001</v>
      </c>
      <c r="AF7" s="714"/>
      <c r="AG7" s="714"/>
      <c r="AH7" s="714"/>
      <c r="AI7" s="714"/>
      <c r="AJ7" s="714"/>
      <c r="AK7" s="714"/>
      <c r="AL7" s="714"/>
      <c r="AM7" s="714"/>
      <c r="AN7" s="714"/>
      <c r="AO7" s="714"/>
      <c r="AP7" s="714"/>
      <c r="AQ7" s="714"/>
      <c r="AR7" s="714"/>
      <c r="AS7" s="714"/>
      <c r="AT7" s="714"/>
      <c r="AU7" s="714"/>
      <c r="AV7" s="714"/>
      <c r="AW7" s="714"/>
      <c r="AX7" s="714"/>
      <c r="AY7" s="714"/>
      <c r="AZ7" s="714"/>
      <c r="BA7" s="714"/>
      <c r="BB7" s="714"/>
      <c r="BC7" s="714"/>
      <c r="BD7" s="714"/>
      <c r="BE7" s="714"/>
      <c r="BF7" s="714"/>
      <c r="BG7" s="714"/>
      <c r="BH7" s="714"/>
      <c r="BI7" s="714"/>
      <c r="BJ7" s="714"/>
      <c r="BK7" s="714"/>
      <c r="BL7" s="714"/>
      <c r="BM7" s="714"/>
    </row>
    <row r="8" spans="2:65">
      <c r="B8" s="714" t="str">
        <f>Commodities!K14</f>
        <v>T-CAR-ICE_DST00</v>
      </c>
      <c r="C8" s="459" t="s">
        <v>789</v>
      </c>
      <c r="D8" s="719">
        <f t="shared" si="2"/>
        <v>20.617000000000001</v>
      </c>
      <c r="E8" s="719">
        <f t="shared" si="0"/>
        <v>21.731000000000002</v>
      </c>
      <c r="F8" s="719">
        <f t="shared" ref="F8" si="4">F78</f>
        <v>18.106000000000002</v>
      </c>
      <c r="G8" s="719">
        <f t="shared" si="0"/>
        <v>20.908999999999999</v>
      </c>
      <c r="H8" s="719">
        <f t="shared" si="0"/>
        <v>21.75</v>
      </c>
      <c r="I8" s="719">
        <f t="shared" si="0"/>
        <v>22.298999999999999</v>
      </c>
      <c r="J8" s="719">
        <f t="shared" si="0"/>
        <v>22.722999999999999</v>
      </c>
      <c r="K8" s="719">
        <f t="shared" si="0"/>
        <v>20.613</v>
      </c>
      <c r="L8" s="719">
        <f t="shared" si="0"/>
        <v>21.196999999999999</v>
      </c>
      <c r="M8" s="719">
        <f t="shared" si="0"/>
        <v>22.055</v>
      </c>
      <c r="N8" s="719">
        <f t="shared" si="0"/>
        <v>22.035</v>
      </c>
      <c r="O8" s="719">
        <f t="shared" si="0"/>
        <v>21.408000000000001</v>
      </c>
      <c r="P8" s="719">
        <f t="shared" si="0"/>
        <v>20.399999999999999</v>
      </c>
      <c r="Q8" s="719">
        <f t="shared" si="0"/>
        <v>22.021000000000001</v>
      </c>
      <c r="R8" s="719">
        <f t="shared" si="0"/>
        <v>20.07</v>
      </c>
      <c r="S8" s="719">
        <f t="shared" si="0"/>
        <v>20.986000000000001</v>
      </c>
      <c r="T8" s="719">
        <f t="shared" si="0"/>
        <v>21.373999999999999</v>
      </c>
      <c r="U8" s="719">
        <f t="shared" si="0"/>
        <v>22.268999999999998</v>
      </c>
      <c r="V8" s="719">
        <f t="shared" si="0"/>
        <v>20.774999999999999</v>
      </c>
      <c r="W8" s="719">
        <f t="shared" si="0"/>
        <v>21.388000000000002</v>
      </c>
      <c r="X8" s="719">
        <f t="shared" si="0"/>
        <v>22.28</v>
      </c>
      <c r="Y8" s="719">
        <f t="shared" si="0"/>
        <v>21.443000000000001</v>
      </c>
      <c r="Z8" s="719">
        <f t="shared" si="0"/>
        <v>23.317</v>
      </c>
      <c r="AA8" s="719">
        <f t="shared" si="0"/>
        <v>21.324000000000002</v>
      </c>
      <c r="AB8" s="719">
        <f t="shared" si="0"/>
        <v>21.887</v>
      </c>
      <c r="AC8" s="719">
        <f t="shared" si="0"/>
        <v>20.55</v>
      </c>
      <c r="AD8" s="719">
        <f t="shared" si="0"/>
        <v>21.584</v>
      </c>
      <c r="AF8" s="714"/>
      <c r="AG8" s="714"/>
      <c r="AH8" s="714"/>
      <c r="AI8" s="714"/>
      <c r="AJ8" s="714"/>
      <c r="AK8" s="714"/>
      <c r="AL8" s="714"/>
      <c r="AM8" s="714"/>
      <c r="AN8" s="714"/>
      <c r="AO8" s="714"/>
      <c r="AP8" s="714"/>
      <c r="AQ8" s="714"/>
      <c r="AR8" s="714"/>
      <c r="AS8" s="714"/>
      <c r="AT8" s="714"/>
      <c r="AU8" s="714"/>
      <c r="AV8" s="714"/>
      <c r="AW8" s="714"/>
      <c r="AX8" s="714"/>
      <c r="AY8" s="714"/>
      <c r="AZ8" s="714"/>
      <c r="BA8" s="714"/>
      <c r="BB8" s="714"/>
      <c r="BC8" s="714"/>
      <c r="BD8" s="714"/>
      <c r="BE8" s="714"/>
      <c r="BF8" s="714"/>
      <c r="BG8" s="714"/>
      <c r="BH8" s="714"/>
      <c r="BI8" s="714"/>
      <c r="BJ8" s="714"/>
      <c r="BK8" s="714"/>
      <c r="BL8" s="714"/>
      <c r="BM8" s="714"/>
    </row>
    <row r="9" spans="2:65">
      <c r="B9" s="714" t="str">
        <f>Commodities!K15</f>
        <v>T-CAR-ICE_DF00</v>
      </c>
      <c r="C9" s="459" t="s">
        <v>789</v>
      </c>
      <c r="D9" s="719">
        <f t="shared" si="2"/>
        <v>13.444000000000001</v>
      </c>
      <c r="E9" s="719">
        <f t="shared" si="0"/>
        <v>14.090999999999999</v>
      </c>
      <c r="F9" s="719">
        <f t="shared" ref="F9" si="5">F79</f>
        <v>12.847</v>
      </c>
      <c r="G9" s="719">
        <f t="shared" si="0"/>
        <v>13.913</v>
      </c>
      <c r="H9" s="719">
        <f t="shared" si="0"/>
        <v>14.358000000000001</v>
      </c>
      <c r="I9" s="719">
        <f t="shared" si="0"/>
        <v>14.586</v>
      </c>
      <c r="J9" s="719">
        <f t="shared" si="0"/>
        <v>14.004</v>
      </c>
      <c r="K9" s="719">
        <f t="shared" si="0"/>
        <v>13.414</v>
      </c>
      <c r="L9" s="719">
        <f t="shared" si="0"/>
        <v>14.103</v>
      </c>
      <c r="M9" s="719">
        <f t="shared" si="0"/>
        <v>14.503</v>
      </c>
      <c r="N9" s="719">
        <f t="shared" si="0"/>
        <v>14.009</v>
      </c>
      <c r="O9" s="719">
        <f t="shared" si="0"/>
        <v>14.132</v>
      </c>
      <c r="P9" s="719">
        <f t="shared" si="0"/>
        <v>13.914999999999999</v>
      </c>
      <c r="Q9" s="719">
        <f t="shared" si="0"/>
        <v>14.077999999999999</v>
      </c>
      <c r="R9" s="719">
        <f t="shared" si="0"/>
        <v>13.355</v>
      </c>
      <c r="S9" s="719">
        <f t="shared" si="0"/>
        <v>13.78</v>
      </c>
      <c r="T9" s="719">
        <f t="shared" si="0"/>
        <v>13.922000000000001</v>
      </c>
      <c r="U9" s="719">
        <f t="shared" si="0"/>
        <v>13.884</v>
      </c>
      <c r="V9" s="719">
        <f t="shared" si="0"/>
        <v>13.941000000000001</v>
      </c>
      <c r="W9" s="719">
        <f t="shared" si="0"/>
        <v>13.930999999999999</v>
      </c>
      <c r="X9" s="719">
        <f t="shared" si="0"/>
        <v>14.143000000000001</v>
      </c>
      <c r="Y9" s="719">
        <f t="shared" si="0"/>
        <v>14.191000000000001</v>
      </c>
      <c r="Z9" s="719">
        <f t="shared" si="0"/>
        <v>14.154</v>
      </c>
      <c r="AA9" s="719">
        <f t="shared" si="0"/>
        <v>13.852</v>
      </c>
      <c r="AB9" s="719">
        <f t="shared" si="0"/>
        <v>14.061999999999999</v>
      </c>
      <c r="AC9" s="719">
        <f t="shared" si="0"/>
        <v>14.304</v>
      </c>
      <c r="AD9" s="719">
        <f t="shared" si="0"/>
        <v>13.791</v>
      </c>
      <c r="AF9" s="714"/>
      <c r="AG9" s="714"/>
      <c r="AH9" s="714"/>
      <c r="AI9" s="714"/>
      <c r="AJ9" s="714"/>
      <c r="AK9" s="714"/>
      <c r="AL9" s="714"/>
      <c r="AM9" s="714"/>
      <c r="AN9" s="714"/>
      <c r="AO9" s="714"/>
      <c r="AP9" s="714"/>
      <c r="AQ9" s="714"/>
      <c r="AR9" s="714"/>
      <c r="AS9" s="714"/>
      <c r="AT9" s="714"/>
      <c r="AU9" s="714"/>
      <c r="AV9" s="714"/>
      <c r="AW9" s="714"/>
      <c r="AX9" s="714"/>
      <c r="AY9" s="714"/>
      <c r="AZ9" s="714"/>
      <c r="BA9" s="714"/>
      <c r="BB9" s="714"/>
      <c r="BC9" s="714"/>
      <c r="BD9" s="714"/>
      <c r="BE9" s="714"/>
      <c r="BF9" s="714"/>
      <c r="BG9" s="714"/>
      <c r="BH9" s="714"/>
      <c r="BI9" s="714"/>
      <c r="BJ9" s="714"/>
      <c r="BK9" s="714"/>
      <c r="BL9" s="714"/>
      <c r="BM9" s="714"/>
    </row>
    <row r="10" spans="2:65">
      <c r="B10" s="714" t="str">
        <f>Commodities!K16</f>
        <v>T-CAR-ICE_E8500</v>
      </c>
      <c r="C10" s="459" t="s">
        <v>789</v>
      </c>
      <c r="D10" s="719">
        <f t="shared" si="2"/>
        <v>13.444000000000001</v>
      </c>
      <c r="E10" s="719">
        <f t="shared" si="0"/>
        <v>14.090999999999999</v>
      </c>
      <c r="F10" s="719">
        <f t="shared" ref="F10" si="6">F80</f>
        <v>12.847</v>
      </c>
      <c r="G10" s="719">
        <f t="shared" si="0"/>
        <v>13.913</v>
      </c>
      <c r="H10" s="719">
        <f t="shared" si="0"/>
        <v>14.358000000000001</v>
      </c>
      <c r="I10" s="719">
        <f t="shared" si="0"/>
        <v>14.586</v>
      </c>
      <c r="J10" s="719">
        <f t="shared" si="0"/>
        <v>14.004</v>
      </c>
      <c r="K10" s="719">
        <f t="shared" si="0"/>
        <v>13.414</v>
      </c>
      <c r="L10" s="719">
        <f t="shared" si="0"/>
        <v>14.103</v>
      </c>
      <c r="M10" s="719">
        <f t="shared" si="0"/>
        <v>14.503</v>
      </c>
      <c r="N10" s="719">
        <f t="shared" si="0"/>
        <v>14.009</v>
      </c>
      <c r="O10" s="719">
        <f t="shared" si="0"/>
        <v>14.132</v>
      </c>
      <c r="P10" s="719">
        <f t="shared" si="0"/>
        <v>13.914999999999999</v>
      </c>
      <c r="Q10" s="719">
        <f t="shared" si="0"/>
        <v>14.077999999999999</v>
      </c>
      <c r="R10" s="719">
        <f t="shared" si="0"/>
        <v>13.355</v>
      </c>
      <c r="S10" s="719">
        <f t="shared" si="0"/>
        <v>13.78</v>
      </c>
      <c r="T10" s="719">
        <f t="shared" si="0"/>
        <v>13.922000000000001</v>
      </c>
      <c r="U10" s="719">
        <f t="shared" si="0"/>
        <v>13.884</v>
      </c>
      <c r="V10" s="719">
        <f t="shared" si="0"/>
        <v>13.941000000000001</v>
      </c>
      <c r="W10" s="719">
        <f t="shared" si="0"/>
        <v>13.930999999999999</v>
      </c>
      <c r="X10" s="719">
        <f t="shared" si="0"/>
        <v>14.143000000000001</v>
      </c>
      <c r="Y10" s="719">
        <f t="shared" si="0"/>
        <v>14.191000000000001</v>
      </c>
      <c r="Z10" s="719">
        <f t="shared" si="0"/>
        <v>14.154</v>
      </c>
      <c r="AA10" s="719">
        <f t="shared" si="0"/>
        <v>13.852</v>
      </c>
      <c r="AB10" s="719">
        <f t="shared" si="0"/>
        <v>14.061999999999999</v>
      </c>
      <c r="AC10" s="719">
        <f t="shared" si="0"/>
        <v>14.304</v>
      </c>
      <c r="AD10" s="719">
        <f t="shared" si="0"/>
        <v>13.791</v>
      </c>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row>
    <row r="11" spans="2:65">
      <c r="B11" s="714" t="str">
        <f>Commodities!K17</f>
        <v>T-CAR-HEV_GSL00</v>
      </c>
      <c r="C11" s="459" t="s">
        <v>789</v>
      </c>
      <c r="D11" s="719">
        <f t="shared" si="2"/>
        <v>12.817</v>
      </c>
      <c r="E11" s="719">
        <f t="shared" si="0"/>
        <v>13.538</v>
      </c>
      <c r="F11" s="719">
        <f t="shared" ref="F11" si="7">F81</f>
        <v>11.021000000000001</v>
      </c>
      <c r="G11" s="719">
        <f t="shared" si="0"/>
        <v>13.529</v>
      </c>
      <c r="H11" s="719">
        <f t="shared" si="0"/>
        <v>13.763999999999999</v>
      </c>
      <c r="I11" s="719">
        <f t="shared" si="0"/>
        <v>14.083</v>
      </c>
      <c r="J11" s="719">
        <f t="shared" si="0"/>
        <v>14.022</v>
      </c>
      <c r="K11" s="719">
        <f t="shared" si="0"/>
        <v>13.183</v>
      </c>
      <c r="L11" s="719">
        <f t="shared" si="0"/>
        <v>13.941000000000001</v>
      </c>
      <c r="M11" s="719">
        <f t="shared" si="0"/>
        <v>14.13</v>
      </c>
      <c r="N11" s="719">
        <f t="shared" si="0"/>
        <v>13.906000000000001</v>
      </c>
      <c r="O11" s="719">
        <f t="shared" si="0"/>
        <v>13.939</v>
      </c>
      <c r="P11" s="719">
        <f t="shared" si="0"/>
        <v>13.411</v>
      </c>
      <c r="Q11" s="719">
        <f t="shared" si="0"/>
        <v>14.196999999999999</v>
      </c>
      <c r="R11" s="719">
        <f t="shared" si="0"/>
        <v>13.069000000000001</v>
      </c>
      <c r="S11" s="719">
        <f t="shared" si="0"/>
        <v>13.894</v>
      </c>
      <c r="T11" s="719">
        <f t="shared" si="0"/>
        <v>13.465999999999999</v>
      </c>
      <c r="U11" s="719">
        <f t="shared" si="0"/>
        <v>14.237</v>
      </c>
      <c r="V11" s="719">
        <f t="shared" si="0"/>
        <v>13.135999999999999</v>
      </c>
      <c r="W11" s="719">
        <f t="shared" si="0"/>
        <v>13.557</v>
      </c>
      <c r="X11" s="719">
        <f t="shared" si="0"/>
        <v>14.583</v>
      </c>
      <c r="Y11" s="719">
        <f t="shared" si="0"/>
        <v>13.987</v>
      </c>
      <c r="Z11" s="719">
        <f t="shared" si="0"/>
        <v>15.377000000000001</v>
      </c>
      <c r="AA11" s="719">
        <f t="shared" si="0"/>
        <v>13.425000000000001</v>
      </c>
      <c r="AB11" s="719">
        <f t="shared" si="0"/>
        <v>14.218</v>
      </c>
      <c r="AC11" s="719">
        <f t="shared" si="0"/>
        <v>13.877000000000001</v>
      </c>
      <c r="AD11" s="719">
        <f t="shared" si="0"/>
        <v>13.781000000000001</v>
      </c>
      <c r="AF11" s="714"/>
      <c r="AG11" s="714"/>
      <c r="AH11" s="714"/>
      <c r="AI11" s="714"/>
      <c r="AJ11" s="714"/>
      <c r="AK11" s="714"/>
      <c r="AL11" s="714"/>
      <c r="AM11" s="714"/>
      <c r="AN11" s="714"/>
      <c r="AO11" s="714"/>
      <c r="AP11" s="714"/>
      <c r="AQ11" s="714"/>
      <c r="AR11" s="714"/>
      <c r="AS11" s="714"/>
      <c r="AT11" s="714"/>
      <c r="AU11" s="714"/>
      <c r="AV11" s="714"/>
      <c r="AW11" s="714"/>
      <c r="AX11" s="714"/>
      <c r="AY11" s="714"/>
      <c r="AZ11" s="714"/>
      <c r="BA11" s="714"/>
      <c r="BB11" s="714"/>
      <c r="BC11" s="714"/>
      <c r="BD11" s="714"/>
      <c r="BE11" s="714"/>
      <c r="BF11" s="714"/>
      <c r="BG11" s="714"/>
      <c r="BH11" s="714"/>
      <c r="BI11" s="714"/>
      <c r="BJ11" s="714"/>
      <c r="BK11" s="714"/>
      <c r="BL11" s="714"/>
      <c r="BM11" s="714"/>
    </row>
    <row r="12" spans="2:65" s="459" customFormat="1">
      <c r="B12" s="714" t="str">
        <f>Commodities!K18</f>
        <v>T-CAR-HEV_DST00</v>
      </c>
      <c r="C12" s="459" t="s">
        <v>789</v>
      </c>
      <c r="D12" s="719">
        <f t="shared" si="2"/>
        <v>20.617000000000001</v>
      </c>
      <c r="E12" s="719">
        <f t="shared" si="0"/>
        <v>21.731000000000002</v>
      </c>
      <c r="F12" s="719">
        <f t="shared" ref="F12" si="8">F82</f>
        <v>18.106000000000002</v>
      </c>
      <c r="G12" s="719">
        <f t="shared" si="0"/>
        <v>20.908999999999999</v>
      </c>
      <c r="H12" s="719">
        <f t="shared" si="0"/>
        <v>21.75</v>
      </c>
      <c r="I12" s="719">
        <f t="shared" si="0"/>
        <v>22.298999999999999</v>
      </c>
      <c r="J12" s="719">
        <f t="shared" si="0"/>
        <v>22.722999999999999</v>
      </c>
      <c r="K12" s="719">
        <f t="shared" si="0"/>
        <v>20.613</v>
      </c>
      <c r="L12" s="719">
        <f t="shared" si="0"/>
        <v>21.196999999999999</v>
      </c>
      <c r="M12" s="719">
        <f t="shared" si="0"/>
        <v>22.055</v>
      </c>
      <c r="N12" s="719">
        <f t="shared" si="0"/>
        <v>22.035</v>
      </c>
      <c r="O12" s="719">
        <f t="shared" si="0"/>
        <v>21.408000000000001</v>
      </c>
      <c r="P12" s="719">
        <f t="shared" si="0"/>
        <v>20.399999999999999</v>
      </c>
      <c r="Q12" s="719">
        <f t="shared" si="0"/>
        <v>22.021000000000001</v>
      </c>
      <c r="R12" s="719">
        <f t="shared" si="0"/>
        <v>20.07</v>
      </c>
      <c r="S12" s="719">
        <f t="shared" si="0"/>
        <v>20.986000000000001</v>
      </c>
      <c r="T12" s="719">
        <f t="shared" si="0"/>
        <v>21.373999999999999</v>
      </c>
      <c r="U12" s="719">
        <f t="shared" si="0"/>
        <v>22.268999999999998</v>
      </c>
      <c r="V12" s="719">
        <f t="shared" si="0"/>
        <v>20.774999999999999</v>
      </c>
      <c r="W12" s="719">
        <f t="shared" si="0"/>
        <v>21.388000000000002</v>
      </c>
      <c r="X12" s="719">
        <f t="shared" si="0"/>
        <v>22.28</v>
      </c>
      <c r="Y12" s="719">
        <f t="shared" si="0"/>
        <v>21.443000000000001</v>
      </c>
      <c r="Z12" s="719">
        <f t="shared" si="0"/>
        <v>23.317</v>
      </c>
      <c r="AA12" s="719">
        <f t="shared" si="0"/>
        <v>21.324000000000002</v>
      </c>
      <c r="AB12" s="719">
        <f t="shared" si="0"/>
        <v>21.887</v>
      </c>
      <c r="AC12" s="719">
        <f t="shared" si="0"/>
        <v>20.55</v>
      </c>
      <c r="AD12" s="719">
        <f t="shared" si="0"/>
        <v>21.584</v>
      </c>
      <c r="AF12" s="714"/>
      <c r="AG12" s="714"/>
      <c r="AH12" s="714"/>
      <c r="AI12" s="714"/>
      <c r="AJ12" s="714"/>
      <c r="AK12" s="714"/>
      <c r="AL12" s="714"/>
      <c r="AM12" s="714"/>
      <c r="AN12" s="714"/>
      <c r="AO12" s="714"/>
      <c r="AP12" s="714"/>
      <c r="AQ12" s="714"/>
      <c r="AR12" s="714"/>
      <c r="AS12" s="714"/>
      <c r="AT12" s="714"/>
      <c r="AU12" s="714"/>
      <c r="AV12" s="714"/>
      <c r="AW12" s="714"/>
      <c r="AX12" s="714"/>
      <c r="AY12" s="714"/>
      <c r="AZ12" s="714"/>
      <c r="BA12" s="714"/>
      <c r="BB12" s="714"/>
      <c r="BC12" s="714"/>
      <c r="BD12" s="714"/>
      <c r="BE12" s="714"/>
      <c r="BF12" s="714"/>
      <c r="BG12" s="714"/>
      <c r="BH12" s="714"/>
      <c r="BI12" s="714"/>
      <c r="BJ12" s="714"/>
      <c r="BK12" s="714"/>
      <c r="BL12" s="714"/>
      <c r="BM12" s="714"/>
    </row>
    <row r="13" spans="2:65">
      <c r="B13" s="714" t="str">
        <f>Commodities!K19</f>
        <v>T-CAR-PHEV_GSL00</v>
      </c>
      <c r="C13" s="459" t="s">
        <v>789</v>
      </c>
      <c r="D13" s="719">
        <f t="shared" si="2"/>
        <v>12.817</v>
      </c>
      <c r="E13" s="719">
        <f t="shared" si="0"/>
        <v>13.538</v>
      </c>
      <c r="F13" s="719">
        <f t="shared" ref="F13" si="9">F83</f>
        <v>11.021000000000001</v>
      </c>
      <c r="G13" s="719">
        <f t="shared" si="0"/>
        <v>13.529</v>
      </c>
      <c r="H13" s="719">
        <f t="shared" si="0"/>
        <v>13.763999999999999</v>
      </c>
      <c r="I13" s="719">
        <f t="shared" si="0"/>
        <v>14.083</v>
      </c>
      <c r="J13" s="719">
        <f t="shared" si="0"/>
        <v>14.022</v>
      </c>
      <c r="K13" s="719">
        <f t="shared" si="0"/>
        <v>13.183</v>
      </c>
      <c r="L13" s="719">
        <f t="shared" si="0"/>
        <v>13.941000000000001</v>
      </c>
      <c r="M13" s="719">
        <f t="shared" si="0"/>
        <v>14.13</v>
      </c>
      <c r="N13" s="719">
        <f t="shared" si="0"/>
        <v>13.906000000000001</v>
      </c>
      <c r="O13" s="719">
        <f t="shared" si="0"/>
        <v>13.939</v>
      </c>
      <c r="P13" s="719">
        <f t="shared" si="0"/>
        <v>13.411</v>
      </c>
      <c r="Q13" s="719">
        <f t="shared" si="0"/>
        <v>14.196999999999999</v>
      </c>
      <c r="R13" s="719">
        <f t="shared" si="0"/>
        <v>13.069000000000001</v>
      </c>
      <c r="S13" s="719">
        <f t="shared" si="0"/>
        <v>13.894</v>
      </c>
      <c r="T13" s="719">
        <f t="shared" si="0"/>
        <v>13.465999999999999</v>
      </c>
      <c r="U13" s="719">
        <f t="shared" si="0"/>
        <v>14.237</v>
      </c>
      <c r="V13" s="719">
        <f t="shared" si="0"/>
        <v>13.135999999999999</v>
      </c>
      <c r="W13" s="719">
        <f t="shared" si="0"/>
        <v>13.557</v>
      </c>
      <c r="X13" s="719">
        <f t="shared" si="0"/>
        <v>14.583</v>
      </c>
      <c r="Y13" s="719">
        <f t="shared" si="0"/>
        <v>13.987</v>
      </c>
      <c r="Z13" s="719">
        <f t="shared" si="0"/>
        <v>15.377000000000001</v>
      </c>
      <c r="AA13" s="719">
        <f t="shared" si="0"/>
        <v>13.425000000000001</v>
      </c>
      <c r="AB13" s="719">
        <f t="shared" si="0"/>
        <v>14.218</v>
      </c>
      <c r="AC13" s="719">
        <f t="shared" si="0"/>
        <v>13.877000000000001</v>
      </c>
      <c r="AD13" s="719">
        <f t="shared" si="0"/>
        <v>13.781000000000001</v>
      </c>
      <c r="AF13" s="714"/>
      <c r="AG13" s="714"/>
      <c r="AH13" s="714"/>
      <c r="AI13" s="714"/>
      <c r="AJ13" s="714"/>
      <c r="AK13" s="714"/>
      <c r="AL13" s="714"/>
      <c r="AM13" s="714"/>
      <c r="AN13" s="714"/>
      <c r="AO13" s="714"/>
      <c r="AP13" s="714"/>
      <c r="AQ13" s="714"/>
      <c r="AR13" s="714"/>
      <c r="AS13" s="714"/>
      <c r="AT13" s="714"/>
      <c r="AU13" s="714"/>
      <c r="AV13" s="714"/>
      <c r="AW13" s="714"/>
      <c r="AX13" s="714"/>
      <c r="AY13" s="714"/>
      <c r="AZ13" s="714"/>
      <c r="BA13" s="714"/>
      <c r="BB13" s="714"/>
      <c r="BC13" s="714"/>
      <c r="BD13" s="714"/>
      <c r="BE13" s="714"/>
      <c r="BF13" s="714"/>
      <c r="BG13" s="714"/>
      <c r="BH13" s="714"/>
      <c r="BI13" s="714"/>
      <c r="BJ13" s="714"/>
      <c r="BK13" s="714"/>
      <c r="BL13" s="714"/>
      <c r="BM13" s="714"/>
    </row>
    <row r="14" spans="2:65">
      <c r="B14" s="714" t="str">
        <f>Commodities!K20</f>
        <v>T-CAR-PHEV_DST00</v>
      </c>
      <c r="C14" s="459" t="s">
        <v>789</v>
      </c>
      <c r="D14" s="719">
        <f t="shared" si="2"/>
        <v>20.617000000000001</v>
      </c>
      <c r="E14" s="719">
        <f t="shared" si="0"/>
        <v>21.731000000000002</v>
      </c>
      <c r="F14" s="719">
        <f t="shared" ref="F14" si="10">F84</f>
        <v>18.106000000000002</v>
      </c>
      <c r="G14" s="719">
        <f t="shared" si="0"/>
        <v>20.908999999999999</v>
      </c>
      <c r="H14" s="719">
        <f t="shared" si="0"/>
        <v>21.75</v>
      </c>
      <c r="I14" s="719">
        <f t="shared" si="0"/>
        <v>22.298999999999999</v>
      </c>
      <c r="J14" s="719">
        <f t="shared" si="0"/>
        <v>22.722999999999999</v>
      </c>
      <c r="K14" s="719">
        <f t="shared" si="0"/>
        <v>20.613</v>
      </c>
      <c r="L14" s="719">
        <f t="shared" si="0"/>
        <v>21.196999999999999</v>
      </c>
      <c r="M14" s="719">
        <f t="shared" si="0"/>
        <v>22.055</v>
      </c>
      <c r="N14" s="719">
        <f t="shared" si="0"/>
        <v>22.035</v>
      </c>
      <c r="O14" s="719">
        <f t="shared" si="0"/>
        <v>21.408000000000001</v>
      </c>
      <c r="P14" s="719">
        <f t="shared" si="0"/>
        <v>20.399999999999999</v>
      </c>
      <c r="Q14" s="719">
        <f t="shared" si="0"/>
        <v>22.021000000000001</v>
      </c>
      <c r="R14" s="719">
        <f t="shared" si="0"/>
        <v>20.07</v>
      </c>
      <c r="S14" s="719">
        <f t="shared" si="0"/>
        <v>20.986000000000001</v>
      </c>
      <c r="T14" s="719">
        <f t="shared" si="0"/>
        <v>21.373999999999999</v>
      </c>
      <c r="U14" s="719">
        <f t="shared" si="0"/>
        <v>22.268999999999998</v>
      </c>
      <c r="V14" s="719">
        <f t="shared" si="0"/>
        <v>20.774999999999999</v>
      </c>
      <c r="W14" s="719">
        <f t="shared" si="0"/>
        <v>21.388000000000002</v>
      </c>
      <c r="X14" s="719">
        <f t="shared" si="0"/>
        <v>22.28</v>
      </c>
      <c r="Y14" s="719">
        <f t="shared" si="0"/>
        <v>21.443000000000001</v>
      </c>
      <c r="Z14" s="719">
        <f t="shared" si="0"/>
        <v>23.317</v>
      </c>
      <c r="AA14" s="719">
        <f t="shared" si="0"/>
        <v>21.324000000000002</v>
      </c>
      <c r="AB14" s="719">
        <f t="shared" si="0"/>
        <v>21.887</v>
      </c>
      <c r="AC14" s="719">
        <f t="shared" si="0"/>
        <v>20.55</v>
      </c>
      <c r="AD14" s="719">
        <f t="shared" si="0"/>
        <v>21.584</v>
      </c>
      <c r="AF14" s="714"/>
      <c r="AG14" s="714"/>
      <c r="AH14" s="714"/>
      <c r="AI14" s="714"/>
      <c r="AJ14" s="714"/>
      <c r="AK14" s="714"/>
      <c r="AL14" s="714"/>
      <c r="AM14" s="714"/>
      <c r="AN14" s="714"/>
      <c r="AO14" s="714"/>
      <c r="AP14" s="714"/>
      <c r="AQ14" s="714"/>
      <c r="AR14" s="714"/>
      <c r="AS14" s="714"/>
      <c r="AT14" s="714"/>
      <c r="AU14" s="714"/>
      <c r="AV14" s="714"/>
      <c r="AW14" s="714"/>
      <c r="AX14" s="714"/>
      <c r="AY14" s="714"/>
      <c r="AZ14" s="714"/>
      <c r="BA14" s="714"/>
      <c r="BB14" s="714"/>
      <c r="BC14" s="714"/>
      <c r="BD14" s="714"/>
      <c r="BE14" s="714"/>
      <c r="BF14" s="714"/>
      <c r="BG14" s="714"/>
      <c r="BH14" s="714"/>
      <c r="BI14" s="714"/>
      <c r="BJ14" s="714"/>
      <c r="BK14" s="714"/>
      <c r="BL14" s="714"/>
      <c r="BM14" s="714"/>
    </row>
    <row r="15" spans="2:65">
      <c r="B15" s="714" t="str">
        <f>Commodities!K21</f>
        <v>T-CAR-BEV_ELC00</v>
      </c>
      <c r="C15" s="459" t="s">
        <v>789</v>
      </c>
      <c r="D15" s="719">
        <f t="shared" si="2"/>
        <v>13.444000000000001</v>
      </c>
      <c r="E15" s="719">
        <f t="shared" si="0"/>
        <v>14.090999999999999</v>
      </c>
      <c r="F15" s="719">
        <f t="shared" ref="F15" si="11">F85</f>
        <v>12.847</v>
      </c>
      <c r="G15" s="719">
        <f t="shared" si="0"/>
        <v>13.913</v>
      </c>
      <c r="H15" s="719">
        <f t="shared" si="0"/>
        <v>14.358000000000001</v>
      </c>
      <c r="I15" s="719">
        <f t="shared" si="0"/>
        <v>14.586</v>
      </c>
      <c r="J15" s="719">
        <f t="shared" si="0"/>
        <v>14.004</v>
      </c>
      <c r="K15" s="719">
        <f t="shared" si="0"/>
        <v>13.414</v>
      </c>
      <c r="L15" s="719">
        <f t="shared" si="0"/>
        <v>14.103</v>
      </c>
      <c r="M15" s="719">
        <f t="shared" si="0"/>
        <v>14.503</v>
      </c>
      <c r="N15" s="719">
        <f t="shared" si="0"/>
        <v>14.009</v>
      </c>
      <c r="O15" s="719">
        <f t="shared" si="0"/>
        <v>14.132</v>
      </c>
      <c r="P15" s="719">
        <f t="shared" si="0"/>
        <v>13.914999999999999</v>
      </c>
      <c r="Q15" s="719">
        <f t="shared" si="0"/>
        <v>14.077999999999999</v>
      </c>
      <c r="R15" s="719">
        <f t="shared" si="0"/>
        <v>13.355</v>
      </c>
      <c r="S15" s="719">
        <f t="shared" si="0"/>
        <v>13.78</v>
      </c>
      <c r="T15" s="719">
        <f t="shared" si="0"/>
        <v>13.922000000000001</v>
      </c>
      <c r="U15" s="719">
        <f t="shared" si="0"/>
        <v>13.884</v>
      </c>
      <c r="V15" s="719">
        <f t="shared" si="0"/>
        <v>13.941000000000001</v>
      </c>
      <c r="W15" s="719">
        <f t="shared" si="0"/>
        <v>13.930999999999999</v>
      </c>
      <c r="X15" s="719">
        <f t="shared" si="0"/>
        <v>14.143000000000001</v>
      </c>
      <c r="Y15" s="719">
        <f t="shared" si="0"/>
        <v>14.191000000000001</v>
      </c>
      <c r="Z15" s="719">
        <f t="shared" si="0"/>
        <v>14.154</v>
      </c>
      <c r="AA15" s="719">
        <f t="shared" si="0"/>
        <v>13.852</v>
      </c>
      <c r="AB15" s="719">
        <f t="shared" si="0"/>
        <v>14.061999999999999</v>
      </c>
      <c r="AC15" s="719">
        <f t="shared" si="0"/>
        <v>14.304</v>
      </c>
      <c r="AD15" s="719">
        <f t="shared" si="0"/>
        <v>13.791</v>
      </c>
      <c r="AF15" s="714"/>
      <c r="AG15" s="714"/>
      <c r="AH15" s="714"/>
      <c r="AI15" s="714"/>
      <c r="AJ15" s="714"/>
      <c r="AK15" s="714"/>
      <c r="AL15" s="714"/>
      <c r="AM15" s="714"/>
      <c r="AN15" s="714"/>
      <c r="AO15" s="714"/>
      <c r="AP15" s="714"/>
      <c r="AQ15" s="714"/>
      <c r="AR15" s="714"/>
      <c r="AS15" s="714"/>
      <c r="AT15" s="714"/>
      <c r="AU15" s="714"/>
      <c r="AV15" s="714"/>
      <c r="AW15" s="714"/>
      <c r="AX15" s="714"/>
      <c r="AY15" s="714"/>
      <c r="AZ15" s="714"/>
      <c r="BA15" s="714"/>
      <c r="BB15" s="714"/>
      <c r="BC15" s="714"/>
      <c r="BD15" s="714"/>
      <c r="BE15" s="714"/>
      <c r="BF15" s="714"/>
      <c r="BG15" s="714"/>
      <c r="BH15" s="714"/>
      <c r="BI15" s="714"/>
      <c r="BJ15" s="714"/>
      <c r="BK15" s="714"/>
      <c r="BL15" s="714"/>
      <c r="BM15" s="714"/>
    </row>
    <row r="16" spans="2:65">
      <c r="B16" s="714" t="str">
        <f>Commodities!K23</f>
        <v>T-TAX-ICE_GSL00</v>
      </c>
      <c r="C16" s="459" t="s">
        <v>789</v>
      </c>
      <c r="D16" s="719">
        <f t="shared" si="2"/>
        <v>35.606999999999999</v>
      </c>
      <c r="E16" s="719">
        <f t="shared" si="0"/>
        <v>22.277000000000001</v>
      </c>
      <c r="F16" s="719">
        <f t="shared" ref="F16" si="12">F86</f>
        <v>35.493000000000002</v>
      </c>
      <c r="G16" s="719">
        <f t="shared" si="0"/>
        <v>41.204999999999998</v>
      </c>
      <c r="H16" s="719">
        <f t="shared" si="0"/>
        <v>41.378</v>
      </c>
      <c r="I16" s="719">
        <f t="shared" si="0"/>
        <v>32.383000000000003</v>
      </c>
      <c r="J16" s="719">
        <f t="shared" si="0"/>
        <v>41.290999999999997</v>
      </c>
      <c r="K16" s="719">
        <f t="shared" si="0"/>
        <v>36.228999999999999</v>
      </c>
      <c r="L16" s="719">
        <f t="shared" si="0"/>
        <v>41.643999999999998</v>
      </c>
      <c r="M16" s="719">
        <f t="shared" si="0"/>
        <v>27.047000000000001</v>
      </c>
      <c r="N16" s="719">
        <f t="shared" si="0"/>
        <v>44.625</v>
      </c>
      <c r="O16" s="719">
        <f t="shared" ref="E16:AD22" si="13">O86</f>
        <v>32.718000000000004</v>
      </c>
      <c r="P16" s="719">
        <f t="shared" si="13"/>
        <v>31.013000000000002</v>
      </c>
      <c r="Q16" s="719">
        <f t="shared" si="13"/>
        <v>37.658999999999999</v>
      </c>
      <c r="R16" s="719">
        <f t="shared" si="13"/>
        <v>34.145000000000003</v>
      </c>
      <c r="S16" s="719">
        <f t="shared" si="13"/>
        <v>31.021999999999998</v>
      </c>
      <c r="T16" s="719">
        <f t="shared" si="13"/>
        <v>37.139000000000003</v>
      </c>
      <c r="U16" s="719">
        <f t="shared" si="13"/>
        <v>33.700000000000003</v>
      </c>
      <c r="V16" s="719">
        <f t="shared" si="13"/>
        <v>29.905999999999999</v>
      </c>
      <c r="W16" s="719">
        <f t="shared" si="13"/>
        <v>36.619999999999997</v>
      </c>
      <c r="X16" s="719">
        <f t="shared" si="13"/>
        <v>28.806999999999999</v>
      </c>
      <c r="Y16" s="719">
        <f t="shared" si="13"/>
        <v>32.491999999999997</v>
      </c>
      <c r="Z16" s="719">
        <f t="shared" si="13"/>
        <v>24.44</v>
      </c>
      <c r="AA16" s="719">
        <f t="shared" si="13"/>
        <v>27.395</v>
      </c>
      <c r="AB16" s="719">
        <f t="shared" si="13"/>
        <v>35.872999999999998</v>
      </c>
      <c r="AC16" s="719">
        <f t="shared" si="13"/>
        <v>34.793999999999997</v>
      </c>
      <c r="AD16" s="719">
        <f t="shared" si="13"/>
        <v>13.925000000000001</v>
      </c>
      <c r="AF16" s="714"/>
      <c r="AG16" s="714"/>
      <c r="AH16" s="714"/>
      <c r="AI16" s="714"/>
      <c r="AJ16" s="714"/>
      <c r="AK16" s="714"/>
      <c r="AL16" s="714"/>
      <c r="AM16" s="714"/>
      <c r="AN16" s="714"/>
      <c r="AO16" s="714"/>
      <c r="AP16" s="714"/>
      <c r="AQ16" s="714"/>
      <c r="AR16" s="714"/>
      <c r="AS16" s="714"/>
      <c r="AT16" s="714"/>
      <c r="AU16" s="714"/>
      <c r="AV16" s="714"/>
      <c r="AW16" s="714"/>
      <c r="AX16" s="714"/>
      <c r="AY16" s="714"/>
      <c r="AZ16" s="714"/>
      <c r="BA16" s="714"/>
      <c r="BB16" s="714"/>
      <c r="BC16" s="714"/>
      <c r="BD16" s="714"/>
      <c r="BE16" s="714"/>
      <c r="BF16" s="714"/>
      <c r="BG16" s="714"/>
      <c r="BH16" s="714"/>
      <c r="BI16" s="714"/>
      <c r="BJ16" s="714"/>
      <c r="BK16" s="714"/>
      <c r="BL16" s="714"/>
      <c r="BM16" s="714"/>
    </row>
    <row r="17" spans="2:65">
      <c r="B17" s="714" t="str">
        <f>Commodities!K24</f>
        <v>T-TAX-ICE_DST00</v>
      </c>
      <c r="C17" s="459" t="s">
        <v>789</v>
      </c>
      <c r="D17" s="719">
        <f t="shared" si="2"/>
        <v>39.924999999999997</v>
      </c>
      <c r="E17" s="719">
        <f t="shared" si="13"/>
        <v>36.674999999999997</v>
      </c>
      <c r="F17" s="719">
        <f t="shared" ref="F17" si="14">F87</f>
        <v>38.923999999999999</v>
      </c>
      <c r="G17" s="719">
        <f t="shared" si="13"/>
        <v>42.279000000000003</v>
      </c>
      <c r="H17" s="719">
        <f t="shared" si="13"/>
        <v>41.710999999999999</v>
      </c>
      <c r="I17" s="719">
        <f t="shared" si="13"/>
        <v>41.725000000000001</v>
      </c>
      <c r="J17" s="719">
        <f t="shared" si="13"/>
        <v>45.546999999999997</v>
      </c>
      <c r="K17" s="719">
        <f t="shared" si="13"/>
        <v>42.713000000000001</v>
      </c>
      <c r="L17" s="719">
        <f t="shared" si="13"/>
        <v>43.365000000000002</v>
      </c>
      <c r="M17" s="719">
        <f t="shared" si="13"/>
        <v>38.703000000000003</v>
      </c>
      <c r="N17" s="719">
        <f t="shared" si="13"/>
        <v>41.908000000000001</v>
      </c>
      <c r="O17" s="719">
        <f t="shared" si="13"/>
        <v>38.863999999999997</v>
      </c>
      <c r="P17" s="719">
        <f t="shared" si="13"/>
        <v>39.012</v>
      </c>
      <c r="Q17" s="719">
        <f t="shared" si="13"/>
        <v>40.003999999999998</v>
      </c>
      <c r="R17" s="719">
        <f t="shared" si="13"/>
        <v>40.366</v>
      </c>
      <c r="S17" s="719">
        <f t="shared" si="13"/>
        <v>39.216999999999999</v>
      </c>
      <c r="T17" s="719">
        <f t="shared" si="13"/>
        <v>40.262</v>
      </c>
      <c r="U17" s="719">
        <f t="shared" si="13"/>
        <v>40.31</v>
      </c>
      <c r="V17" s="719">
        <f t="shared" si="13"/>
        <v>39.709000000000003</v>
      </c>
      <c r="W17" s="719">
        <f t="shared" si="13"/>
        <v>40.692999999999998</v>
      </c>
      <c r="X17" s="719">
        <f t="shared" si="13"/>
        <v>42.972000000000001</v>
      </c>
      <c r="Y17" s="719">
        <f t="shared" si="13"/>
        <v>38.369</v>
      </c>
      <c r="Z17" s="719">
        <f t="shared" si="13"/>
        <v>39.170999999999999</v>
      </c>
      <c r="AA17" s="719">
        <f t="shared" si="13"/>
        <v>40.359000000000002</v>
      </c>
      <c r="AB17" s="719">
        <f t="shared" si="13"/>
        <v>44.034999999999997</v>
      </c>
      <c r="AC17" s="719">
        <f t="shared" si="13"/>
        <v>40.661000000000001</v>
      </c>
      <c r="AD17" s="719">
        <f t="shared" si="13"/>
        <v>42.5</v>
      </c>
      <c r="AF17" s="714"/>
      <c r="AG17" s="714"/>
      <c r="AH17" s="714"/>
      <c r="AI17" s="714"/>
      <c r="AJ17" s="714"/>
      <c r="AK17" s="714"/>
      <c r="AL17" s="714"/>
      <c r="AM17" s="714"/>
      <c r="AN17" s="714"/>
      <c r="AO17" s="714"/>
      <c r="AP17" s="714"/>
      <c r="AQ17" s="714"/>
      <c r="AR17" s="714"/>
      <c r="AS17" s="714"/>
      <c r="AT17" s="714"/>
      <c r="AU17" s="714"/>
      <c r="AV17" s="714"/>
      <c r="AW17" s="714"/>
      <c r="AX17" s="714"/>
      <c r="AY17" s="714"/>
      <c r="AZ17" s="714"/>
      <c r="BA17" s="714"/>
      <c r="BB17" s="714"/>
      <c r="BC17" s="714"/>
      <c r="BD17" s="714"/>
      <c r="BE17" s="714"/>
      <c r="BF17" s="714"/>
      <c r="BG17" s="714"/>
      <c r="BH17" s="714"/>
      <c r="BI17" s="714"/>
      <c r="BJ17" s="714"/>
      <c r="BK17" s="714"/>
      <c r="BL17" s="714"/>
      <c r="BM17" s="714"/>
    </row>
    <row r="18" spans="2:65">
      <c r="B18" s="714" t="str">
        <f>Commodities!K25</f>
        <v>T-TAX-HEV_GSL00</v>
      </c>
      <c r="C18" s="459" t="s">
        <v>789</v>
      </c>
      <c r="D18" s="719">
        <f t="shared" si="2"/>
        <v>41.210999999999999</v>
      </c>
      <c r="E18" s="719">
        <f t="shared" si="13"/>
        <v>46.207999999999998</v>
      </c>
      <c r="F18" s="719">
        <f t="shared" ref="F18" si="15">F88</f>
        <v>40.334000000000003</v>
      </c>
      <c r="G18" s="719">
        <f t="shared" si="13"/>
        <v>46.970999999999997</v>
      </c>
      <c r="H18" s="719">
        <f t="shared" si="13"/>
        <v>42.451000000000001</v>
      </c>
      <c r="I18" s="719">
        <f t="shared" si="13"/>
        <v>40.606000000000002</v>
      </c>
      <c r="J18" s="719">
        <f t="shared" si="13"/>
        <v>0</v>
      </c>
      <c r="K18" s="719">
        <f t="shared" si="13"/>
        <v>42.247</v>
      </c>
      <c r="L18" s="719">
        <f t="shared" si="13"/>
        <v>47.298000000000002</v>
      </c>
      <c r="M18" s="719">
        <f t="shared" si="13"/>
        <v>39.761000000000003</v>
      </c>
      <c r="N18" s="719">
        <f t="shared" si="13"/>
        <v>49.19</v>
      </c>
      <c r="O18" s="719">
        <f t="shared" si="13"/>
        <v>41.015000000000001</v>
      </c>
      <c r="P18" s="719">
        <f t="shared" si="13"/>
        <v>39.994999999999997</v>
      </c>
      <c r="Q18" s="719">
        <f t="shared" si="13"/>
        <v>37.396999999999998</v>
      </c>
      <c r="R18" s="719">
        <f t="shared" si="13"/>
        <v>45.326999999999998</v>
      </c>
      <c r="S18" s="719">
        <f t="shared" si="13"/>
        <v>35.898000000000003</v>
      </c>
      <c r="T18" s="719">
        <f t="shared" si="13"/>
        <v>45.386000000000003</v>
      </c>
      <c r="U18" s="719">
        <f t="shared" si="13"/>
        <v>38.015000000000001</v>
      </c>
      <c r="V18" s="719">
        <f t="shared" si="13"/>
        <v>60.183999999999997</v>
      </c>
      <c r="W18" s="719">
        <f t="shared" si="13"/>
        <v>40.619999999999997</v>
      </c>
      <c r="X18" s="719">
        <f t="shared" si="13"/>
        <v>0</v>
      </c>
      <c r="Y18" s="719">
        <f t="shared" si="13"/>
        <v>54.843000000000004</v>
      </c>
      <c r="Z18" s="719">
        <f t="shared" si="13"/>
        <v>0</v>
      </c>
      <c r="AA18" s="719">
        <f t="shared" si="13"/>
        <v>25.759</v>
      </c>
      <c r="AB18" s="719">
        <f t="shared" si="13"/>
        <v>42.872999999999998</v>
      </c>
      <c r="AC18" s="719">
        <f t="shared" si="13"/>
        <v>59.003999999999998</v>
      </c>
      <c r="AD18" s="719">
        <f t="shared" si="13"/>
        <v>0</v>
      </c>
      <c r="AF18" s="714"/>
      <c r="AG18" s="714"/>
      <c r="AH18" s="714"/>
      <c r="AI18" s="714"/>
      <c r="AJ18" s="714"/>
      <c r="AK18" s="714"/>
      <c r="AL18" s="714"/>
      <c r="AM18" s="714"/>
      <c r="AN18" s="714"/>
      <c r="AO18" s="714"/>
      <c r="AP18" s="714"/>
      <c r="AQ18" s="714"/>
      <c r="AR18" s="714"/>
      <c r="AS18" s="714"/>
      <c r="AT18" s="714"/>
      <c r="AU18" s="714"/>
      <c r="AV18" s="714"/>
      <c r="AW18" s="714"/>
      <c r="AX18" s="714"/>
      <c r="AY18" s="714"/>
      <c r="AZ18" s="714"/>
      <c r="BA18" s="714"/>
      <c r="BB18" s="714"/>
      <c r="BC18" s="714"/>
      <c r="BD18" s="714"/>
      <c r="BE18" s="714"/>
      <c r="BF18" s="714"/>
      <c r="BG18" s="714"/>
      <c r="BH18" s="714"/>
      <c r="BI18" s="714"/>
      <c r="BJ18" s="714"/>
      <c r="BK18" s="714"/>
      <c r="BL18" s="714"/>
      <c r="BM18" s="714"/>
    </row>
    <row r="19" spans="2:65">
      <c r="B19" s="714" t="str">
        <f>Commodities!K27</f>
        <v>T-BUS-ICE_DST00</v>
      </c>
      <c r="C19" s="459" t="s">
        <v>789</v>
      </c>
      <c r="D19" s="719">
        <f t="shared" si="2"/>
        <v>36.094999999999999</v>
      </c>
      <c r="E19" s="719">
        <f t="shared" si="13"/>
        <v>29.084</v>
      </c>
      <c r="F19" s="719">
        <f t="shared" ref="F19" si="16">F89</f>
        <v>42.320999999999998</v>
      </c>
      <c r="G19" s="719">
        <f t="shared" si="13"/>
        <v>33.158999999999999</v>
      </c>
      <c r="H19" s="719">
        <f t="shared" si="13"/>
        <v>36.375999999999998</v>
      </c>
      <c r="I19" s="719">
        <f t="shared" si="13"/>
        <v>27.684999999999999</v>
      </c>
      <c r="J19" s="719">
        <f t="shared" si="13"/>
        <v>29.504999999999999</v>
      </c>
      <c r="K19" s="719">
        <f t="shared" si="13"/>
        <v>36.526000000000003</v>
      </c>
      <c r="L19" s="719">
        <f t="shared" si="13"/>
        <v>29.387</v>
      </c>
      <c r="M19" s="719">
        <f t="shared" si="13"/>
        <v>31.809000000000001</v>
      </c>
      <c r="N19" s="719">
        <f t="shared" si="13"/>
        <v>32.343000000000004</v>
      </c>
      <c r="O19" s="719">
        <f t="shared" si="13"/>
        <v>33.917999999999999</v>
      </c>
      <c r="P19" s="719">
        <f t="shared" si="13"/>
        <v>35.256999999999998</v>
      </c>
      <c r="Q19" s="719">
        <f t="shared" si="13"/>
        <v>30.913</v>
      </c>
      <c r="R19" s="719">
        <f t="shared" si="13"/>
        <v>32.386000000000003</v>
      </c>
      <c r="S19" s="719">
        <f t="shared" si="13"/>
        <v>35.008000000000003</v>
      </c>
      <c r="T19" s="719">
        <f t="shared" si="13"/>
        <v>34.691000000000003</v>
      </c>
      <c r="U19" s="719">
        <f t="shared" si="13"/>
        <v>32.432000000000002</v>
      </c>
      <c r="V19" s="719">
        <f t="shared" si="13"/>
        <v>31.053999999999998</v>
      </c>
      <c r="W19" s="719">
        <f t="shared" si="13"/>
        <v>35.097999999999999</v>
      </c>
      <c r="X19" s="719">
        <f t="shared" si="13"/>
        <v>22.18</v>
      </c>
      <c r="Y19" s="719">
        <f t="shared" si="13"/>
        <v>37.491999999999997</v>
      </c>
      <c r="Z19" s="719">
        <f t="shared" si="13"/>
        <v>31.65</v>
      </c>
      <c r="AA19" s="719">
        <f t="shared" si="13"/>
        <v>34.908000000000001</v>
      </c>
      <c r="AB19" s="719">
        <f t="shared" si="13"/>
        <v>39.076999999999998</v>
      </c>
      <c r="AC19" s="719">
        <f t="shared" si="13"/>
        <v>32.835999999999999</v>
      </c>
      <c r="AD19" s="719">
        <f t="shared" si="13"/>
        <v>45.258000000000003</v>
      </c>
      <c r="AF19" s="714"/>
      <c r="AG19" s="714"/>
      <c r="AH19" s="714"/>
      <c r="AI19" s="714"/>
      <c r="AJ19" s="714"/>
      <c r="AK19" s="714"/>
      <c r="AL19" s="714"/>
      <c r="AM19" s="714"/>
      <c r="AN19" s="714"/>
      <c r="AO19" s="714"/>
      <c r="AP19" s="714"/>
      <c r="AQ19" s="714"/>
      <c r="AR19" s="714"/>
      <c r="AS19" s="714"/>
      <c r="AT19" s="714"/>
      <c r="AU19" s="714"/>
      <c r="AV19" s="714"/>
      <c r="AW19" s="714"/>
      <c r="AX19" s="714"/>
      <c r="AY19" s="714"/>
      <c r="AZ19" s="714"/>
      <c r="BA19" s="714"/>
      <c r="BB19" s="714"/>
      <c r="BC19" s="714"/>
      <c r="BD19" s="714"/>
      <c r="BE19" s="714"/>
      <c r="BF19" s="714"/>
      <c r="BG19" s="714"/>
      <c r="BH19" s="714"/>
      <c r="BI19" s="714"/>
      <c r="BJ19" s="714"/>
      <c r="BK19" s="714"/>
      <c r="BL19" s="714"/>
      <c r="BM19" s="714"/>
    </row>
    <row r="20" spans="2:65">
      <c r="B20" s="714" t="str">
        <f>Commodities!K29</f>
        <v>T-LPT-EV_ELC00</v>
      </c>
      <c r="C20" s="459" t="s">
        <v>789</v>
      </c>
      <c r="D20" s="719">
        <f t="shared" si="2"/>
        <v>55.691000000000003</v>
      </c>
      <c r="E20" s="719">
        <f t="shared" si="13"/>
        <v>55.691000000000003</v>
      </c>
      <c r="F20" s="719">
        <f t="shared" ref="F20" si="17">F90</f>
        <v>55.691000000000003</v>
      </c>
      <c r="G20" s="719">
        <f t="shared" si="13"/>
        <v>55.691000000000003</v>
      </c>
      <c r="H20" s="719">
        <f t="shared" si="13"/>
        <v>55.691000000000003</v>
      </c>
      <c r="I20" s="719">
        <f t="shared" si="13"/>
        <v>55.691000000000003</v>
      </c>
      <c r="J20" s="719">
        <f t="shared" si="13"/>
        <v>55.691000000000003</v>
      </c>
      <c r="K20" s="719">
        <f t="shared" si="13"/>
        <v>55.691000000000003</v>
      </c>
      <c r="L20" s="719">
        <f t="shared" si="13"/>
        <v>55.691000000000003</v>
      </c>
      <c r="M20" s="719">
        <f t="shared" si="13"/>
        <v>55.691000000000003</v>
      </c>
      <c r="N20" s="719">
        <f t="shared" si="13"/>
        <v>55.691000000000003</v>
      </c>
      <c r="O20" s="719">
        <f t="shared" si="13"/>
        <v>55.691000000000003</v>
      </c>
      <c r="P20" s="719">
        <f t="shared" si="13"/>
        <v>55.691000000000003</v>
      </c>
      <c r="Q20" s="719">
        <f t="shared" si="13"/>
        <v>55.691000000000003</v>
      </c>
      <c r="R20" s="719">
        <f t="shared" si="13"/>
        <v>55.691000000000003</v>
      </c>
      <c r="S20" s="719">
        <f t="shared" si="13"/>
        <v>55.691000000000003</v>
      </c>
      <c r="T20" s="719">
        <f t="shared" si="13"/>
        <v>55.691000000000003</v>
      </c>
      <c r="U20" s="719">
        <f t="shared" si="13"/>
        <v>55.691000000000003</v>
      </c>
      <c r="V20" s="719">
        <f t="shared" si="13"/>
        <v>55.691000000000003</v>
      </c>
      <c r="W20" s="719">
        <f t="shared" si="13"/>
        <v>55.691000000000003</v>
      </c>
      <c r="X20" s="719">
        <f t="shared" si="13"/>
        <v>55.691000000000003</v>
      </c>
      <c r="Y20" s="719">
        <f t="shared" si="13"/>
        <v>55.691000000000003</v>
      </c>
      <c r="Z20" s="719">
        <f t="shared" si="13"/>
        <v>55.691000000000003</v>
      </c>
      <c r="AA20" s="719">
        <f t="shared" si="13"/>
        <v>55.691000000000003</v>
      </c>
      <c r="AB20" s="719">
        <f t="shared" si="13"/>
        <v>55.691000000000003</v>
      </c>
      <c r="AC20" s="719">
        <f t="shared" si="13"/>
        <v>55.691000000000003</v>
      </c>
      <c r="AD20" s="719">
        <f t="shared" si="13"/>
        <v>55.691000000000003</v>
      </c>
      <c r="AF20" s="714"/>
      <c r="AG20" s="714"/>
      <c r="AH20" s="714"/>
      <c r="AI20" s="714"/>
      <c r="AJ20" s="714"/>
      <c r="AK20" s="714"/>
      <c r="AL20" s="714"/>
      <c r="AM20" s="714"/>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c r="BK20" s="714"/>
      <c r="BL20" s="714"/>
      <c r="BM20" s="714"/>
    </row>
    <row r="21" spans="2:65">
      <c r="B21" s="714" t="str">
        <f>Commodities!K30</f>
        <v>T-HPT-EV_ELC00</v>
      </c>
      <c r="C21" s="459" t="s">
        <v>789</v>
      </c>
      <c r="D21" s="719">
        <f t="shared" si="2"/>
        <v>158.476</v>
      </c>
      <c r="E21" s="719">
        <f t="shared" si="13"/>
        <v>158.476</v>
      </c>
      <c r="F21" s="719">
        <f t="shared" ref="F21" si="18">F91</f>
        <v>158.476</v>
      </c>
      <c r="G21" s="719">
        <f t="shared" si="13"/>
        <v>158.476</v>
      </c>
      <c r="H21" s="719">
        <f t="shared" si="13"/>
        <v>158.476</v>
      </c>
      <c r="I21" s="719">
        <f t="shared" si="13"/>
        <v>158.476</v>
      </c>
      <c r="J21" s="719">
        <f t="shared" si="13"/>
        <v>158.476</v>
      </c>
      <c r="K21" s="719">
        <f t="shared" si="13"/>
        <v>158.476</v>
      </c>
      <c r="L21" s="719">
        <f t="shared" si="13"/>
        <v>158.476</v>
      </c>
      <c r="M21" s="719">
        <f t="shared" si="13"/>
        <v>158.476</v>
      </c>
      <c r="N21" s="719">
        <f t="shared" si="13"/>
        <v>158.476</v>
      </c>
      <c r="O21" s="719">
        <f t="shared" si="13"/>
        <v>158.476</v>
      </c>
      <c r="P21" s="719">
        <f t="shared" si="13"/>
        <v>158.476</v>
      </c>
      <c r="Q21" s="719">
        <f t="shared" si="13"/>
        <v>158.476</v>
      </c>
      <c r="R21" s="719">
        <f t="shared" si="13"/>
        <v>158.476</v>
      </c>
      <c r="S21" s="719">
        <f t="shared" si="13"/>
        <v>158.476</v>
      </c>
      <c r="T21" s="719">
        <f t="shared" si="13"/>
        <v>158.476</v>
      </c>
      <c r="U21" s="719">
        <f t="shared" si="13"/>
        <v>158.476</v>
      </c>
      <c r="V21" s="719">
        <f t="shared" si="13"/>
        <v>158.476</v>
      </c>
      <c r="W21" s="719">
        <f t="shared" si="13"/>
        <v>158.476</v>
      </c>
      <c r="X21" s="719">
        <f t="shared" si="13"/>
        <v>158.476</v>
      </c>
      <c r="Y21" s="719">
        <f t="shared" si="13"/>
        <v>158.476</v>
      </c>
      <c r="Z21" s="719">
        <f t="shared" si="13"/>
        <v>158.476</v>
      </c>
      <c r="AA21" s="719">
        <f t="shared" si="13"/>
        <v>158.476</v>
      </c>
      <c r="AB21" s="719">
        <f t="shared" si="13"/>
        <v>158.476</v>
      </c>
      <c r="AC21" s="719">
        <f t="shared" si="13"/>
        <v>158.476</v>
      </c>
      <c r="AD21" s="719">
        <f t="shared" si="13"/>
        <v>158.476</v>
      </c>
      <c r="AF21" s="714"/>
      <c r="AG21" s="714"/>
      <c r="AH21" s="714"/>
      <c r="AI21" s="714"/>
      <c r="AJ21" s="714"/>
      <c r="AK21" s="714"/>
      <c r="AL21" s="714"/>
      <c r="AM21" s="714"/>
      <c r="AN21" s="714"/>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c r="BK21" s="714"/>
      <c r="BL21" s="714"/>
      <c r="BM21" s="714"/>
    </row>
    <row r="22" spans="2:65">
      <c r="B22" s="714" t="str">
        <f>Commodities!K31</f>
        <v>T-HPT-ICE_DST00</v>
      </c>
      <c r="C22" s="459" t="s">
        <v>789</v>
      </c>
      <c r="D22" s="719">
        <f t="shared" si="2"/>
        <v>73.884</v>
      </c>
      <c r="E22" s="719">
        <f>E92</f>
        <v>73.884</v>
      </c>
      <c r="F22" s="719">
        <f>F92</f>
        <v>73.884</v>
      </c>
      <c r="G22" s="719">
        <f t="shared" si="13"/>
        <v>73.884</v>
      </c>
      <c r="H22" s="719">
        <f t="shared" si="13"/>
        <v>73.884</v>
      </c>
      <c r="I22" s="719">
        <f t="shared" si="13"/>
        <v>73.884</v>
      </c>
      <c r="J22" s="719">
        <f t="shared" si="13"/>
        <v>73.884</v>
      </c>
      <c r="K22" s="719">
        <f t="shared" si="13"/>
        <v>73.884</v>
      </c>
      <c r="L22" s="719">
        <f t="shared" si="13"/>
        <v>73.884</v>
      </c>
      <c r="M22" s="719">
        <f t="shared" si="13"/>
        <v>73.884</v>
      </c>
      <c r="N22" s="719">
        <f t="shared" si="13"/>
        <v>73.884</v>
      </c>
      <c r="O22" s="719">
        <f t="shared" si="13"/>
        <v>73.884</v>
      </c>
      <c r="P22" s="719">
        <f t="shared" si="13"/>
        <v>73.884</v>
      </c>
      <c r="Q22" s="719">
        <f t="shared" si="13"/>
        <v>73.884</v>
      </c>
      <c r="R22" s="719">
        <f t="shared" si="13"/>
        <v>73.884</v>
      </c>
      <c r="S22" s="719">
        <f t="shared" si="13"/>
        <v>73.884</v>
      </c>
      <c r="T22" s="719">
        <f t="shared" si="13"/>
        <v>73.884</v>
      </c>
      <c r="U22" s="719">
        <f t="shared" si="13"/>
        <v>73.884</v>
      </c>
      <c r="V22" s="719">
        <f t="shared" si="13"/>
        <v>73.884</v>
      </c>
      <c r="W22" s="719">
        <f t="shared" si="13"/>
        <v>73.884</v>
      </c>
      <c r="X22" s="719">
        <f t="shared" si="13"/>
        <v>73.884</v>
      </c>
      <c r="Y22" s="719">
        <f t="shared" si="13"/>
        <v>73.884</v>
      </c>
      <c r="Z22" s="719">
        <f t="shared" si="13"/>
        <v>73.884</v>
      </c>
      <c r="AA22" s="719">
        <f t="shared" si="13"/>
        <v>73.884</v>
      </c>
      <c r="AB22" s="719">
        <f t="shared" si="13"/>
        <v>73.884</v>
      </c>
      <c r="AC22" s="719">
        <f t="shared" si="13"/>
        <v>73.884</v>
      </c>
      <c r="AD22" s="719">
        <f t="shared" si="13"/>
        <v>73.884</v>
      </c>
      <c r="AF22" s="714"/>
      <c r="AG22" s="714"/>
      <c r="AH22" s="714"/>
      <c r="AI22" s="714"/>
      <c r="AJ22" s="714"/>
      <c r="AK22" s="714"/>
      <c r="AL22" s="714"/>
      <c r="AM22" s="714"/>
      <c r="AN22" s="714"/>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c r="BK22" s="714"/>
      <c r="BL22" s="714"/>
      <c r="BM22" s="714"/>
    </row>
    <row r="23" spans="2:65">
      <c r="B23" s="714" t="str">
        <f>Commodities!K34</f>
        <v>T-LGT-ICE_GSL00</v>
      </c>
      <c r="C23" s="459" t="s">
        <v>789</v>
      </c>
      <c r="D23" s="719">
        <f t="shared" ref="D23" si="19">D93</f>
        <v>20.794499999999999</v>
      </c>
      <c r="E23" s="719">
        <f t="shared" ref="E23:AD23" si="20">E93</f>
        <v>20.6495</v>
      </c>
      <c r="F23" s="719">
        <f t="shared" si="20"/>
        <v>22.375</v>
      </c>
      <c r="G23" s="719">
        <f t="shared" si="20"/>
        <v>21.454000000000001</v>
      </c>
      <c r="H23" s="719">
        <f t="shared" si="20"/>
        <v>20.001000000000001</v>
      </c>
      <c r="I23" s="719">
        <f t="shared" si="20"/>
        <v>20.641500000000001</v>
      </c>
      <c r="J23" s="719">
        <f t="shared" si="20"/>
        <v>20.355</v>
      </c>
      <c r="K23" s="719">
        <f t="shared" si="20"/>
        <v>20.972999999999999</v>
      </c>
      <c r="L23" s="719">
        <f t="shared" si="20"/>
        <v>21.956499999999998</v>
      </c>
      <c r="M23" s="719">
        <f t="shared" si="20"/>
        <v>20.138500000000001</v>
      </c>
      <c r="N23" s="719">
        <f t="shared" si="20"/>
        <v>20.660499999999999</v>
      </c>
      <c r="O23" s="719">
        <f t="shared" si="20"/>
        <v>20.590499999999999</v>
      </c>
      <c r="P23" s="719">
        <f t="shared" si="20"/>
        <v>19.901</v>
      </c>
      <c r="Q23" s="719">
        <f t="shared" si="20"/>
        <v>20.317499999999999</v>
      </c>
      <c r="R23" s="719">
        <f t="shared" si="20"/>
        <v>19.6965</v>
      </c>
      <c r="S23" s="719">
        <f t="shared" si="20"/>
        <v>20.023499999999999</v>
      </c>
      <c r="T23" s="719">
        <f t="shared" si="20"/>
        <v>21.157</v>
      </c>
      <c r="U23" s="719">
        <f t="shared" si="20"/>
        <v>19.945499999999999</v>
      </c>
      <c r="V23" s="719">
        <f t="shared" si="20"/>
        <v>18.807500000000001</v>
      </c>
      <c r="W23" s="719">
        <f t="shared" si="20"/>
        <v>20.356000000000002</v>
      </c>
      <c r="X23" s="719">
        <f t="shared" si="20"/>
        <v>20.490500000000001</v>
      </c>
      <c r="Y23" s="719">
        <f t="shared" si="20"/>
        <v>20.330500000000001</v>
      </c>
      <c r="Z23" s="719">
        <f t="shared" si="20"/>
        <v>20.715499999999999</v>
      </c>
      <c r="AA23" s="719">
        <f t="shared" si="20"/>
        <v>19.79</v>
      </c>
      <c r="AB23" s="719">
        <f t="shared" si="20"/>
        <v>20.96</v>
      </c>
      <c r="AC23" s="719">
        <f t="shared" si="20"/>
        <v>19.359000000000002</v>
      </c>
      <c r="AD23" s="719">
        <f t="shared" si="20"/>
        <v>20.867999999999999</v>
      </c>
      <c r="AF23" s="714"/>
      <c r="AG23" s="714"/>
      <c r="AH23" s="714"/>
      <c r="AI23" s="714"/>
      <c r="AJ23" s="714"/>
      <c r="AK23" s="714"/>
      <c r="AL23" s="714"/>
      <c r="AM23" s="714"/>
      <c r="AN23" s="714"/>
      <c r="AO23" s="714"/>
      <c r="AP23" s="714"/>
      <c r="AQ23" s="714"/>
      <c r="AR23" s="714"/>
      <c r="AS23" s="714"/>
      <c r="AT23" s="714"/>
      <c r="AU23" s="714"/>
      <c r="AV23" s="714"/>
      <c r="AW23" s="714"/>
      <c r="AX23" s="714"/>
      <c r="AY23" s="714"/>
      <c r="AZ23" s="714"/>
      <c r="BA23" s="714"/>
      <c r="BB23" s="714"/>
      <c r="BC23" s="714"/>
      <c r="BD23" s="714"/>
      <c r="BE23" s="714"/>
      <c r="BF23" s="714"/>
      <c r="BG23" s="714"/>
      <c r="BH23" s="714"/>
      <c r="BI23" s="714"/>
      <c r="BJ23" s="714"/>
      <c r="BK23" s="714"/>
      <c r="BL23" s="714"/>
      <c r="BM23" s="714"/>
    </row>
    <row r="24" spans="2:65" s="714" customFormat="1">
      <c r="B24" s="714" t="str">
        <f>Commodities!K35</f>
        <v>T-LGT-ICE_DST00</v>
      </c>
      <c r="C24" s="714" t="s">
        <v>789</v>
      </c>
      <c r="D24" s="719">
        <f t="shared" ref="D24:AD24" si="21">D94</f>
        <v>20.794499999999999</v>
      </c>
      <c r="E24" s="719">
        <f t="shared" si="21"/>
        <v>20.6495</v>
      </c>
      <c r="F24" s="719">
        <f t="shared" si="21"/>
        <v>22.375</v>
      </c>
      <c r="G24" s="719">
        <f t="shared" si="21"/>
        <v>21.454000000000001</v>
      </c>
      <c r="H24" s="719">
        <f t="shared" si="21"/>
        <v>20.001000000000001</v>
      </c>
      <c r="I24" s="719">
        <f t="shared" si="21"/>
        <v>20.641500000000001</v>
      </c>
      <c r="J24" s="719">
        <f t="shared" si="21"/>
        <v>20.355</v>
      </c>
      <c r="K24" s="719">
        <f t="shared" si="21"/>
        <v>20.972999999999999</v>
      </c>
      <c r="L24" s="719">
        <f t="shared" si="21"/>
        <v>21.956499999999998</v>
      </c>
      <c r="M24" s="719">
        <f t="shared" si="21"/>
        <v>20.138500000000001</v>
      </c>
      <c r="N24" s="719">
        <f t="shared" si="21"/>
        <v>20.660499999999999</v>
      </c>
      <c r="O24" s="719">
        <f t="shared" si="21"/>
        <v>20.590499999999999</v>
      </c>
      <c r="P24" s="719">
        <f t="shared" si="21"/>
        <v>19.901</v>
      </c>
      <c r="Q24" s="719">
        <f t="shared" si="21"/>
        <v>20.317499999999999</v>
      </c>
      <c r="R24" s="719">
        <f t="shared" si="21"/>
        <v>19.6965</v>
      </c>
      <c r="S24" s="719">
        <f t="shared" si="21"/>
        <v>20.023499999999999</v>
      </c>
      <c r="T24" s="719">
        <f t="shared" si="21"/>
        <v>21.157</v>
      </c>
      <c r="U24" s="719">
        <f t="shared" si="21"/>
        <v>19.945499999999999</v>
      </c>
      <c r="V24" s="719">
        <f t="shared" si="21"/>
        <v>18.807500000000001</v>
      </c>
      <c r="W24" s="719">
        <f t="shared" si="21"/>
        <v>20.356000000000002</v>
      </c>
      <c r="X24" s="719">
        <f t="shared" si="21"/>
        <v>20.490500000000001</v>
      </c>
      <c r="Y24" s="719">
        <f t="shared" si="21"/>
        <v>20.330500000000001</v>
      </c>
      <c r="Z24" s="719">
        <f t="shared" si="21"/>
        <v>20.715499999999999</v>
      </c>
      <c r="AA24" s="719">
        <f t="shared" si="21"/>
        <v>19.79</v>
      </c>
      <c r="AB24" s="719">
        <f t="shared" si="21"/>
        <v>20.96</v>
      </c>
      <c r="AC24" s="719">
        <f t="shared" si="21"/>
        <v>19.359000000000002</v>
      </c>
      <c r="AD24" s="719">
        <f t="shared" si="21"/>
        <v>20.867999999999999</v>
      </c>
    </row>
    <row r="25" spans="2:65" s="714" customFormat="1">
      <c r="B25" s="714" t="str">
        <f>Commodities!K36</f>
        <v>T-MGT-ICE_DST00</v>
      </c>
      <c r="C25" s="714" t="s">
        <v>789</v>
      </c>
      <c r="D25" s="719">
        <f t="shared" ref="D25:AD25" si="22">D95</f>
        <v>29.397500000000001</v>
      </c>
      <c r="E25" s="719">
        <f t="shared" si="22"/>
        <v>31.172499999999999</v>
      </c>
      <c r="F25" s="719">
        <f t="shared" si="22"/>
        <v>33.305999999999997</v>
      </c>
      <c r="G25" s="719">
        <f t="shared" si="22"/>
        <v>25.042000000000002</v>
      </c>
      <c r="H25" s="719">
        <f t="shared" si="22"/>
        <v>24.787500000000001</v>
      </c>
      <c r="I25" s="719">
        <f t="shared" si="22"/>
        <v>26.09</v>
      </c>
      <c r="J25" s="719">
        <f t="shared" si="22"/>
        <v>24.6065</v>
      </c>
      <c r="K25" s="719">
        <f t="shared" si="22"/>
        <v>29.489000000000001</v>
      </c>
      <c r="L25" s="719">
        <f t="shared" si="22"/>
        <v>28.097000000000001</v>
      </c>
      <c r="M25" s="719">
        <f t="shared" si="22"/>
        <v>24.5305</v>
      </c>
      <c r="N25" s="719">
        <f t="shared" si="22"/>
        <v>26.7775</v>
      </c>
      <c r="O25" s="719">
        <f t="shared" si="22"/>
        <v>32.348999999999997</v>
      </c>
      <c r="P25" s="719">
        <f t="shared" si="22"/>
        <v>26.45</v>
      </c>
      <c r="Q25" s="719">
        <f t="shared" si="22"/>
        <v>25.686</v>
      </c>
      <c r="R25" s="719">
        <f t="shared" si="22"/>
        <v>29.422000000000001</v>
      </c>
      <c r="S25" s="719">
        <f t="shared" si="22"/>
        <v>26.604500000000002</v>
      </c>
      <c r="T25" s="719">
        <f t="shared" si="22"/>
        <v>30.3155</v>
      </c>
      <c r="U25" s="719">
        <f t="shared" si="22"/>
        <v>26.679500000000001</v>
      </c>
      <c r="V25" s="719">
        <f t="shared" si="22"/>
        <v>25.986000000000001</v>
      </c>
      <c r="W25" s="719">
        <f t="shared" si="22"/>
        <v>28.8355</v>
      </c>
      <c r="X25" s="719">
        <f t="shared" si="22"/>
        <v>26.519500000000001</v>
      </c>
      <c r="Y25" s="719">
        <f t="shared" si="22"/>
        <v>27.371500000000001</v>
      </c>
      <c r="Z25" s="719">
        <f t="shared" si="22"/>
        <v>34.000500000000002</v>
      </c>
      <c r="AA25" s="719">
        <f t="shared" si="22"/>
        <v>22.640499999999999</v>
      </c>
      <c r="AB25" s="719">
        <f t="shared" si="22"/>
        <v>30.84</v>
      </c>
      <c r="AC25" s="719">
        <f t="shared" si="22"/>
        <v>23.1995</v>
      </c>
      <c r="AD25" s="719">
        <f t="shared" si="22"/>
        <v>31.799499999999998</v>
      </c>
    </row>
    <row r="26" spans="2:65">
      <c r="B26" s="714" t="str">
        <f>Commodities!K37</f>
        <v>T-HGT-ICE_DST00</v>
      </c>
      <c r="C26" s="714" t="s">
        <v>789</v>
      </c>
      <c r="D26" s="719">
        <f t="shared" ref="D26:AD26" si="23">D96</f>
        <v>50.915999999999997</v>
      </c>
      <c r="E26" s="719">
        <f t="shared" si="23"/>
        <v>48.8825</v>
      </c>
      <c r="F26" s="719">
        <f t="shared" si="23"/>
        <v>49.607999999999997</v>
      </c>
      <c r="G26" s="719">
        <f t="shared" si="23"/>
        <v>54.716999999999999</v>
      </c>
      <c r="H26" s="719">
        <f t="shared" si="23"/>
        <v>59.597000000000001</v>
      </c>
      <c r="I26" s="719">
        <f t="shared" si="23"/>
        <v>52.476999999999997</v>
      </c>
      <c r="J26" s="719">
        <f t="shared" si="23"/>
        <v>51.298000000000002</v>
      </c>
      <c r="K26" s="719">
        <f t="shared" si="23"/>
        <v>51.7545</v>
      </c>
      <c r="L26" s="719">
        <f t="shared" si="23"/>
        <v>50.350499999999997</v>
      </c>
      <c r="M26" s="719">
        <f t="shared" si="23"/>
        <v>49.205500000000001</v>
      </c>
      <c r="N26" s="719">
        <f t="shared" si="23"/>
        <v>48.326999999999998</v>
      </c>
      <c r="O26" s="719">
        <f t="shared" si="23"/>
        <v>56.772500000000001</v>
      </c>
      <c r="P26" s="719">
        <f t="shared" si="23"/>
        <v>48.652999999999999</v>
      </c>
      <c r="Q26" s="719">
        <f t="shared" si="23"/>
        <v>48.671999999999997</v>
      </c>
      <c r="R26" s="719">
        <f t="shared" si="23"/>
        <v>51.267000000000003</v>
      </c>
      <c r="S26" s="719">
        <f t="shared" si="23"/>
        <v>47.985999999999997</v>
      </c>
      <c r="T26" s="719">
        <f t="shared" si="23"/>
        <v>54.374499999999998</v>
      </c>
      <c r="U26" s="719">
        <f t="shared" si="23"/>
        <v>45.490499999999997</v>
      </c>
      <c r="V26" s="719">
        <f t="shared" si="23"/>
        <v>50.088500000000003</v>
      </c>
      <c r="W26" s="719">
        <f t="shared" si="23"/>
        <v>42.529499999999999</v>
      </c>
      <c r="X26" s="719">
        <f t="shared" si="23"/>
        <v>52.52</v>
      </c>
      <c r="Y26" s="719">
        <f t="shared" si="23"/>
        <v>37.160499999999999</v>
      </c>
      <c r="Z26" s="719">
        <f t="shared" si="23"/>
        <v>48.639000000000003</v>
      </c>
      <c r="AA26" s="719">
        <f t="shared" si="23"/>
        <v>46.78</v>
      </c>
      <c r="AB26" s="719">
        <f t="shared" si="23"/>
        <v>61.667499999999997</v>
      </c>
      <c r="AC26" s="719">
        <f t="shared" si="23"/>
        <v>47.325000000000003</v>
      </c>
      <c r="AD26" s="719">
        <f t="shared" si="23"/>
        <v>57.072000000000003</v>
      </c>
      <c r="AF26" s="714"/>
      <c r="AG26" s="714"/>
      <c r="AH26" s="714"/>
      <c r="AI26" s="714"/>
      <c r="AJ26" s="714"/>
      <c r="AK26" s="714"/>
      <c r="AL26" s="714"/>
      <c r="AM26" s="714"/>
      <c r="AN26" s="714"/>
      <c r="AO26" s="714"/>
      <c r="AP26" s="714"/>
      <c r="AQ26" s="714"/>
      <c r="AR26" s="714"/>
      <c r="AS26" s="714"/>
      <c r="AT26" s="714"/>
      <c r="AU26" s="714"/>
      <c r="AV26" s="714"/>
      <c r="AW26" s="714"/>
      <c r="AX26" s="714"/>
      <c r="AY26" s="714"/>
      <c r="AZ26" s="714"/>
      <c r="BA26" s="714"/>
      <c r="BB26" s="714"/>
      <c r="BC26" s="714"/>
      <c r="BD26" s="714"/>
      <c r="BE26" s="714"/>
      <c r="BF26" s="714"/>
      <c r="BG26" s="714"/>
      <c r="BH26" s="714"/>
      <c r="BI26" s="714"/>
      <c r="BJ26" s="714"/>
      <c r="BK26" s="714"/>
      <c r="BL26" s="714"/>
      <c r="BM26" s="714"/>
    </row>
    <row r="27" spans="2:65">
      <c r="B27" s="458" t="str">
        <f>Commodities!K38</f>
        <v>T-GTR-ICE_DST00</v>
      </c>
      <c r="C27" s="458" t="s">
        <v>789</v>
      </c>
      <c r="D27" s="721">
        <f t="shared" ref="D27:AD27" si="24">D97</f>
        <v>39.363999999999997</v>
      </c>
      <c r="E27" s="721">
        <f t="shared" si="24"/>
        <v>39.363999999999997</v>
      </c>
      <c r="F27" s="721">
        <f t="shared" si="24"/>
        <v>39.363999999999997</v>
      </c>
      <c r="G27" s="721">
        <f t="shared" si="24"/>
        <v>39.363999999999997</v>
      </c>
      <c r="H27" s="721">
        <f t="shared" si="24"/>
        <v>39.363999999999997</v>
      </c>
      <c r="I27" s="721">
        <f t="shared" si="24"/>
        <v>39.363999999999997</v>
      </c>
      <c r="J27" s="721">
        <f t="shared" si="24"/>
        <v>39.363999999999997</v>
      </c>
      <c r="K27" s="721">
        <f t="shared" si="24"/>
        <v>39.363999999999997</v>
      </c>
      <c r="L27" s="721">
        <f t="shared" si="24"/>
        <v>39.363999999999997</v>
      </c>
      <c r="M27" s="721">
        <f t="shared" si="24"/>
        <v>39.363999999999997</v>
      </c>
      <c r="N27" s="721">
        <f t="shared" si="24"/>
        <v>39.363999999999997</v>
      </c>
      <c r="O27" s="721">
        <f t="shared" si="24"/>
        <v>39.363999999999997</v>
      </c>
      <c r="P27" s="721">
        <f t="shared" si="24"/>
        <v>39.363999999999997</v>
      </c>
      <c r="Q27" s="721">
        <f t="shared" si="24"/>
        <v>39.363999999999997</v>
      </c>
      <c r="R27" s="721">
        <f t="shared" si="24"/>
        <v>39.363999999999997</v>
      </c>
      <c r="S27" s="721">
        <f t="shared" si="24"/>
        <v>39.363999999999997</v>
      </c>
      <c r="T27" s="721">
        <f t="shared" si="24"/>
        <v>39.363999999999997</v>
      </c>
      <c r="U27" s="721">
        <f t="shared" si="24"/>
        <v>39.363999999999997</v>
      </c>
      <c r="V27" s="721">
        <f t="shared" si="24"/>
        <v>39.363999999999997</v>
      </c>
      <c r="W27" s="721">
        <f t="shared" si="24"/>
        <v>39.363999999999997</v>
      </c>
      <c r="X27" s="721">
        <f t="shared" si="24"/>
        <v>39.363999999999997</v>
      </c>
      <c r="Y27" s="721">
        <f t="shared" si="24"/>
        <v>39.363999999999997</v>
      </c>
      <c r="Z27" s="721">
        <f t="shared" si="24"/>
        <v>39.363999999999997</v>
      </c>
      <c r="AA27" s="721">
        <f t="shared" si="24"/>
        <v>39.363999999999997</v>
      </c>
      <c r="AB27" s="721">
        <f t="shared" si="24"/>
        <v>39.363999999999997</v>
      </c>
      <c r="AC27" s="721">
        <f t="shared" si="24"/>
        <v>39.363999999999997</v>
      </c>
      <c r="AD27" s="721">
        <f t="shared" si="24"/>
        <v>39.363999999999997</v>
      </c>
      <c r="AF27" s="714"/>
      <c r="AG27" s="714"/>
      <c r="AH27" s="714"/>
      <c r="AI27" s="714"/>
      <c r="AJ27" s="714"/>
      <c r="AK27" s="714"/>
      <c r="AL27" s="714"/>
      <c r="AM27" s="714"/>
      <c r="AN27" s="714"/>
      <c r="AO27" s="714"/>
      <c r="AP27" s="714"/>
      <c r="AQ27" s="714"/>
      <c r="AR27" s="714"/>
      <c r="AS27" s="714"/>
      <c r="AT27" s="714"/>
      <c r="AU27" s="714"/>
      <c r="AV27" s="714"/>
      <c r="AW27" s="714"/>
      <c r="AX27" s="714"/>
      <c r="AY27" s="714"/>
      <c r="AZ27" s="714"/>
      <c r="BA27" s="714"/>
      <c r="BB27" s="714"/>
      <c r="BC27" s="714"/>
      <c r="BD27" s="714"/>
      <c r="BE27" s="714"/>
      <c r="BF27" s="714"/>
      <c r="BG27" s="714"/>
      <c r="BH27" s="714"/>
      <c r="BI27" s="714"/>
      <c r="BJ27" s="714"/>
      <c r="BK27" s="714"/>
      <c r="BL27" s="714"/>
      <c r="BM27" s="714"/>
    </row>
    <row r="28" spans="2:65" s="714" customFormat="1">
      <c r="D28" s="650"/>
      <c r="E28" s="650"/>
      <c r="F28" s="650"/>
      <c r="G28" s="650"/>
      <c r="H28" s="650"/>
      <c r="I28" s="650"/>
      <c r="J28" s="650"/>
      <c r="K28" s="650"/>
      <c r="L28" s="650"/>
      <c r="M28" s="650"/>
      <c r="N28" s="650"/>
      <c r="O28" s="650"/>
      <c r="P28" s="650"/>
      <c r="Q28" s="650"/>
      <c r="R28" s="650"/>
      <c r="S28" s="650"/>
      <c r="T28" s="650"/>
      <c r="U28" s="650"/>
      <c r="V28" s="650"/>
      <c r="W28" s="650"/>
      <c r="X28" s="650"/>
      <c r="Y28" s="650"/>
      <c r="Z28" s="650"/>
      <c r="AA28" s="650"/>
      <c r="AB28" s="650"/>
      <c r="AC28" s="650"/>
      <c r="AD28" s="650"/>
    </row>
    <row r="29" spans="2:65" s="714" customFormat="1">
      <c r="D29" s="650"/>
      <c r="E29" s="650"/>
      <c r="F29" s="650"/>
      <c r="G29" s="650"/>
      <c r="H29" s="650"/>
      <c r="I29" s="650"/>
      <c r="J29" s="650"/>
      <c r="K29" s="650"/>
      <c r="L29" s="650"/>
      <c r="M29" s="650"/>
      <c r="N29" s="650"/>
      <c r="O29" s="650"/>
      <c r="P29" s="650"/>
      <c r="Q29" s="650"/>
      <c r="R29" s="650"/>
      <c r="S29" s="650"/>
      <c r="T29" s="650"/>
      <c r="U29" s="650"/>
      <c r="V29" s="650"/>
      <c r="W29" s="650"/>
      <c r="X29" s="650"/>
      <c r="Y29" s="650"/>
      <c r="Z29" s="650"/>
      <c r="AA29" s="650"/>
      <c r="AB29" s="650"/>
      <c r="AC29" s="650"/>
      <c r="AD29" s="650"/>
    </row>
    <row r="30" spans="2:65" s="714" customFormat="1"/>
    <row r="31" spans="2:65">
      <c r="B31" s="714"/>
      <c r="C31" s="1"/>
      <c r="D31" s="714"/>
      <c r="E31" s="714"/>
      <c r="F31" s="714"/>
      <c r="G31" s="714"/>
      <c r="H31" s="714"/>
      <c r="I31" s="714"/>
      <c r="J31" s="714"/>
      <c r="K31" s="459"/>
      <c r="L31" s="459"/>
      <c r="M31" s="459"/>
      <c r="N31" s="459"/>
      <c r="O31" s="459"/>
      <c r="P31" s="459"/>
      <c r="Q31" s="459"/>
      <c r="AF31" s="714"/>
      <c r="AG31" s="714"/>
      <c r="AH31" s="714"/>
      <c r="AI31" s="714"/>
      <c r="AJ31" s="714"/>
      <c r="AK31" s="714"/>
      <c r="AL31" s="714"/>
      <c r="AM31" s="714"/>
      <c r="AN31" s="714"/>
      <c r="AO31" s="714"/>
      <c r="AP31" s="714"/>
      <c r="AQ31" s="714"/>
      <c r="AR31" s="714"/>
      <c r="AS31" s="714"/>
      <c r="AT31" s="714"/>
      <c r="AU31" s="714"/>
      <c r="AV31" s="714"/>
      <c r="AW31" s="714"/>
      <c r="AX31" s="714"/>
      <c r="AY31" s="714"/>
      <c r="AZ31" s="714"/>
      <c r="BA31" s="714"/>
      <c r="BB31" s="714"/>
      <c r="BC31" s="714"/>
      <c r="BD31" s="714"/>
      <c r="BE31" s="714"/>
      <c r="BF31" s="714"/>
      <c r="BG31" s="714"/>
      <c r="BH31" s="714"/>
      <c r="BI31" s="714"/>
      <c r="BJ31" s="714"/>
      <c r="BK31" s="714"/>
      <c r="BL31" s="714"/>
      <c r="BM31" s="714"/>
    </row>
    <row r="32" spans="2:65" s="714" customFormat="1">
      <c r="C32" s="1"/>
    </row>
    <row r="33" spans="2:65" s="714" customFormat="1">
      <c r="C33" s="1"/>
    </row>
    <row r="34" spans="2:65" s="714" customFormat="1">
      <c r="C34" s="1"/>
    </row>
    <row r="35" spans="2:65" s="714" customFormat="1">
      <c r="C35" s="1"/>
    </row>
    <row r="36" spans="2:65" s="459" customFormat="1">
      <c r="C36" s="461"/>
      <c r="D36" s="714"/>
      <c r="E36" s="714"/>
      <c r="F36" s="714"/>
      <c r="G36" s="714"/>
      <c r="H36" s="714"/>
      <c r="I36" s="714"/>
      <c r="J36" s="714"/>
      <c r="AF36" s="714"/>
      <c r="AG36" s="714"/>
      <c r="AH36" s="714"/>
      <c r="AI36" s="714"/>
      <c r="AJ36" s="714"/>
      <c r="AK36" s="714"/>
      <c r="AL36" s="714"/>
      <c r="AM36" s="714"/>
      <c r="AN36" s="714"/>
      <c r="AO36" s="714"/>
      <c r="AP36" s="714"/>
      <c r="AQ36" s="714"/>
      <c r="AR36" s="714"/>
      <c r="AS36" s="714"/>
      <c r="AT36" s="714"/>
      <c r="AU36" s="714"/>
      <c r="AV36" s="714"/>
      <c r="AW36" s="714"/>
      <c r="AX36" s="714"/>
      <c r="AY36" s="714"/>
      <c r="AZ36" s="714"/>
      <c r="BA36" s="714"/>
      <c r="BB36" s="714"/>
      <c r="BC36" s="714"/>
      <c r="BD36" s="714"/>
      <c r="BE36" s="714"/>
      <c r="BF36" s="714"/>
      <c r="BG36" s="714"/>
      <c r="BH36" s="714"/>
      <c r="BI36" s="714"/>
      <c r="BJ36" s="714"/>
      <c r="BK36" s="714"/>
      <c r="BL36" s="714"/>
      <c r="BM36" s="714"/>
    </row>
    <row r="37" spans="2:65">
      <c r="B37" s="459"/>
      <c r="C37" s="134"/>
      <c r="D37" s="459"/>
      <c r="E37" s="459"/>
      <c r="F37" s="459"/>
      <c r="G37" s="459"/>
      <c r="H37" s="459"/>
      <c r="I37" s="459"/>
      <c r="J37" s="459"/>
      <c r="K37" s="459"/>
      <c r="L37" s="459"/>
      <c r="M37" s="459"/>
      <c r="N37" s="459"/>
      <c r="O37" s="459"/>
      <c r="P37" s="459"/>
      <c r="Q37" s="459"/>
      <c r="AF37" s="714"/>
      <c r="AG37" s="714"/>
      <c r="AH37" s="714"/>
      <c r="AI37" s="714"/>
      <c r="AJ37" s="714"/>
      <c r="AK37" s="714"/>
      <c r="AL37" s="714"/>
      <c r="AM37" s="714"/>
      <c r="AN37" s="714"/>
      <c r="AO37" s="714"/>
      <c r="AP37" s="714"/>
      <c r="AQ37" s="714"/>
      <c r="AR37" s="714"/>
      <c r="AS37" s="714"/>
      <c r="AT37" s="714"/>
      <c r="AU37" s="714"/>
      <c r="AV37" s="714"/>
      <c r="AW37" s="714"/>
      <c r="AX37" s="714"/>
      <c r="AY37" s="714"/>
      <c r="AZ37" s="714"/>
      <c r="BA37" s="714"/>
      <c r="BB37" s="714"/>
      <c r="BC37" s="714"/>
      <c r="BD37" s="714"/>
      <c r="BE37" s="714"/>
      <c r="BF37" s="714"/>
      <c r="BG37" s="714"/>
      <c r="BH37" s="714"/>
      <c r="BI37" s="714"/>
      <c r="BJ37" s="714"/>
      <c r="BK37" s="714"/>
      <c r="BL37" s="714"/>
      <c r="BM37" s="714"/>
    </row>
    <row r="38" spans="2:65">
      <c r="C38" s="453" t="s">
        <v>76</v>
      </c>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c r="AC38" s="459"/>
      <c r="AD38" s="459"/>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row>
    <row r="39" spans="2:65" ht="15" thickBot="1">
      <c r="B39" s="41" t="s">
        <v>70</v>
      </c>
      <c r="C39" s="41" t="s">
        <v>101</v>
      </c>
      <c r="D39" s="460" t="str">
        <f t="shared" ref="D39:AD39" si="25">D3</f>
        <v>IE</v>
      </c>
      <c r="E39" s="460" t="str">
        <f t="shared" si="25"/>
        <v>IE-CW</v>
      </c>
      <c r="F39" s="460" t="str">
        <f t="shared" si="25"/>
        <v>IE-D</v>
      </c>
      <c r="G39" s="460" t="str">
        <f t="shared" si="25"/>
        <v>IE-KE</v>
      </c>
      <c r="H39" s="460" t="str">
        <f t="shared" si="25"/>
        <v>IE-KK</v>
      </c>
      <c r="I39" s="460" t="str">
        <f t="shared" si="25"/>
        <v>IE-LS</v>
      </c>
      <c r="J39" s="460" t="str">
        <f t="shared" si="25"/>
        <v>IE-LD</v>
      </c>
      <c r="K39" s="460" t="str">
        <f t="shared" si="25"/>
        <v>IE-LH</v>
      </c>
      <c r="L39" s="460" t="str">
        <f t="shared" si="25"/>
        <v>IE-MH</v>
      </c>
      <c r="M39" s="460" t="str">
        <f t="shared" si="25"/>
        <v>IE-OY</v>
      </c>
      <c r="N39" s="460" t="str">
        <f t="shared" si="25"/>
        <v>IE-WH</v>
      </c>
      <c r="O39" s="460" t="str">
        <f t="shared" si="25"/>
        <v>IE-WX</v>
      </c>
      <c r="P39" s="460" t="str">
        <f t="shared" si="25"/>
        <v>IE-WW</v>
      </c>
      <c r="Q39" s="460" t="str">
        <f t="shared" si="25"/>
        <v>IE-CE</v>
      </c>
      <c r="R39" s="460" t="str">
        <f t="shared" si="25"/>
        <v>IE-CO</v>
      </c>
      <c r="S39" s="460" t="str">
        <f t="shared" si="25"/>
        <v>IE-KY</v>
      </c>
      <c r="T39" s="460" t="str">
        <f t="shared" si="25"/>
        <v>IE-LK</v>
      </c>
      <c r="U39" s="460" t="str">
        <f t="shared" si="25"/>
        <v>IE-TA</v>
      </c>
      <c r="V39" s="460" t="str">
        <f t="shared" si="25"/>
        <v>IE-WD</v>
      </c>
      <c r="W39" s="460" t="str">
        <f t="shared" si="25"/>
        <v>IE-G</v>
      </c>
      <c r="X39" s="460" t="str">
        <f t="shared" si="25"/>
        <v>IE-LM</v>
      </c>
      <c r="Y39" s="460" t="str">
        <f t="shared" si="25"/>
        <v>IE-MO</v>
      </c>
      <c r="Z39" s="460" t="str">
        <f t="shared" si="25"/>
        <v>IE-RN</v>
      </c>
      <c r="AA39" s="460" t="str">
        <f t="shared" si="25"/>
        <v>IE-SO</v>
      </c>
      <c r="AB39" s="460" t="str">
        <f t="shared" si="25"/>
        <v>IE-CN</v>
      </c>
      <c r="AC39" s="460" t="str">
        <f t="shared" si="25"/>
        <v>IE-DL</v>
      </c>
      <c r="AD39" s="460" t="str">
        <f t="shared" si="25"/>
        <v>IE-MN</v>
      </c>
      <c r="AF39" s="714"/>
      <c r="AG39" s="714"/>
      <c r="AH39" s="714"/>
      <c r="AI39" s="714"/>
      <c r="AJ39" s="714"/>
      <c r="AK39" s="714"/>
      <c r="AL39" s="71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c r="BK39" s="714"/>
      <c r="BL39" s="714"/>
      <c r="BM39" s="714"/>
    </row>
    <row r="40" spans="2:65" s="459" customFormat="1">
      <c r="B40" s="459" t="str">
        <f>Commodities!K8</f>
        <v>T-WLK_WLK</v>
      </c>
      <c r="C40" s="459" t="s">
        <v>555</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714"/>
      <c r="AG40" s="714"/>
      <c r="AH40" s="714"/>
      <c r="AI40" s="714"/>
      <c r="AJ40" s="714"/>
      <c r="AK40" s="714"/>
      <c r="AL40" s="71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c r="BK40" s="714"/>
      <c r="BL40" s="714"/>
      <c r="BM40" s="714"/>
    </row>
    <row r="41" spans="2:65" s="459" customFormat="1">
      <c r="B41" s="459" t="str">
        <f>Commodities!K9</f>
        <v>T-CYC_CYC</v>
      </c>
      <c r="C41" s="459" t="s">
        <v>555</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714"/>
      <c r="AG41" s="714"/>
      <c r="AH41" s="714"/>
      <c r="AI41" s="714"/>
      <c r="AJ41" s="714"/>
      <c r="AK41" s="714"/>
      <c r="AL41" s="714"/>
      <c r="AM41" s="714"/>
      <c r="AN41" s="714"/>
      <c r="AO41" s="714"/>
      <c r="AP41" s="714"/>
      <c r="AQ41" s="714"/>
      <c r="AR41" s="714"/>
      <c r="AS41" s="714"/>
      <c r="AT41" s="714"/>
      <c r="AU41" s="714"/>
      <c r="AV41" s="714"/>
      <c r="AW41" s="714"/>
      <c r="AX41" s="714"/>
      <c r="AY41" s="714"/>
      <c r="AZ41" s="714"/>
      <c r="BA41" s="714"/>
      <c r="BB41" s="714"/>
      <c r="BC41" s="714"/>
      <c r="BD41" s="714"/>
      <c r="BE41" s="714"/>
      <c r="BF41" s="714"/>
      <c r="BG41" s="714"/>
      <c r="BH41" s="714"/>
      <c r="BI41" s="714"/>
      <c r="BJ41" s="714"/>
      <c r="BK41" s="714"/>
      <c r="BL41" s="714"/>
      <c r="BM41" s="714"/>
    </row>
    <row r="42" spans="2:65">
      <c r="B42" s="459" t="str">
        <f>Commodities!K11</f>
        <v>T-MOT-ICE_GSL00</v>
      </c>
      <c r="C42" s="459" t="s">
        <v>555</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Commodities!K13</f>
        <v>T-CAR-ICE_GSL00</v>
      </c>
      <c r="C43" s="459" t="s">
        <v>555</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Commodities!K14</f>
        <v>T-CAR-ICE_DST00</v>
      </c>
      <c r="C44" s="459" t="s">
        <v>555</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Commodities!K15</f>
        <v>T-CAR-ICE_DF00</v>
      </c>
      <c r="C45" s="459" t="s">
        <v>555</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Commodities!K16</f>
        <v>T-CAR-ICE_E8500</v>
      </c>
      <c r="C46" s="459" t="s">
        <v>555</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Commodities!K17</f>
        <v>T-CAR-HEV_GSL00</v>
      </c>
      <c r="C47" s="459" t="s">
        <v>555</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Commodities!K18</f>
        <v>T-CAR-HEV_DST00</v>
      </c>
      <c r="C48" s="459" t="s">
        <v>555</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Commodities!K19</f>
        <v>T-CAR-PHEV_GSL00</v>
      </c>
      <c r="C49" s="459" t="s">
        <v>555</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Commodities!K20</f>
        <v>T-CAR-PHEV_DST00</v>
      </c>
      <c r="C50" s="459" t="s">
        <v>555</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Commodities!K21</f>
        <v>T-CAR-BEV_ELC00</v>
      </c>
      <c r="C51" s="459" t="s">
        <v>555</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Commodities!K23</f>
        <v>T-TAX-ICE_GSL00</v>
      </c>
      <c r="C52" s="459" t="s">
        <v>555</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Commodities!K24</f>
        <v>T-TAX-ICE_DST00</v>
      </c>
      <c r="C53" s="459" t="s">
        <v>555</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Commodities!K25</f>
        <v>T-TAX-HEV_GSL00</v>
      </c>
      <c r="C54" s="459" t="s">
        <v>555</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Commodities!K27</f>
        <v>T-BUS-ICE_DST00</v>
      </c>
      <c r="C55" s="459" t="s">
        <v>555</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Commodities!K29</f>
        <v>T-LPT-EV_ELC00</v>
      </c>
      <c r="C56" s="459" t="s">
        <v>555</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59" t="str">
        <f>Commodities!K30</f>
        <v>T-HPT-EV_ELC00</v>
      </c>
      <c r="C57" s="459" t="s">
        <v>555</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59" t="str">
        <f>Commodities!K31</f>
        <v>T-HPT-ICE_DST00</v>
      </c>
      <c r="C58" s="459" t="s">
        <v>555</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Commodities!K34</f>
        <v>T-LGT-ICE_GSL00</v>
      </c>
      <c r="C59" s="480" t="s">
        <v>555</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714" customFormat="1">
      <c r="B60" s="480" t="str">
        <f>Commodities!K35</f>
        <v>T-LGT-ICE_DST00</v>
      </c>
      <c r="C60" s="480" t="s">
        <v>555</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714" customFormat="1">
      <c r="B61" s="480" t="str">
        <f>Commodities!K36</f>
        <v>T-MGT-ICE_DST00</v>
      </c>
      <c r="C61" s="480" t="s">
        <v>555</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480" t="str">
        <f>Commodities!K37</f>
        <v>T-HGT-ICE_DST00</v>
      </c>
      <c r="C62" s="480" t="s">
        <v>555</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480" t="str">
        <f>Commodities!K38</f>
        <v>T-GTR-ICE_DST00</v>
      </c>
      <c r="C63" s="480" t="s">
        <v>555</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459" customFormat="1">
      <c r="B64" s="480" t="str">
        <f>Commodities!K40</f>
        <v>T-TUR_CON00</v>
      </c>
      <c r="C64" s="480" t="s">
        <v>555</v>
      </c>
      <c r="D64" s="135">
        <v>1</v>
      </c>
      <c r="E64" s="135">
        <v>1</v>
      </c>
      <c r="F64" s="135">
        <v>1</v>
      </c>
      <c r="G64" s="135">
        <v>1</v>
      </c>
      <c r="H64" s="135">
        <v>1</v>
      </c>
      <c r="I64" s="135">
        <v>1</v>
      </c>
      <c r="J64" s="135">
        <v>1</v>
      </c>
      <c r="K64" s="135">
        <v>1</v>
      </c>
      <c r="L64" s="135">
        <v>1</v>
      </c>
      <c r="M64" s="135">
        <v>1</v>
      </c>
      <c r="N64" s="135">
        <v>1</v>
      </c>
      <c r="O64" s="135">
        <v>1</v>
      </c>
      <c r="P64" s="135">
        <v>1</v>
      </c>
      <c r="Q64" s="135">
        <v>1</v>
      </c>
      <c r="R64" s="135">
        <v>1</v>
      </c>
      <c r="S64" s="135">
        <v>1</v>
      </c>
      <c r="T64" s="135">
        <v>1</v>
      </c>
      <c r="U64" s="135">
        <v>1</v>
      </c>
      <c r="V64" s="135">
        <v>1</v>
      </c>
      <c r="W64" s="135">
        <v>1</v>
      </c>
      <c r="X64" s="135">
        <v>1</v>
      </c>
      <c r="Y64" s="135">
        <v>1</v>
      </c>
      <c r="Z64" s="135">
        <v>1</v>
      </c>
      <c r="AA64" s="135">
        <v>1</v>
      </c>
      <c r="AB64" s="135">
        <v>1</v>
      </c>
      <c r="AC64" s="135">
        <v>1</v>
      </c>
      <c r="AD64" s="135">
        <v>1</v>
      </c>
    </row>
    <row r="65" spans="2:33" s="459" customFormat="1">
      <c r="B65" s="480" t="str">
        <f>Commodities!K41</f>
        <v>T-NAV_CON00</v>
      </c>
      <c r="C65" s="480" t="s">
        <v>555</v>
      </c>
      <c r="D65" s="135">
        <v>1</v>
      </c>
      <c r="E65" s="135">
        <v>1</v>
      </c>
      <c r="F65" s="135">
        <v>1</v>
      </c>
      <c r="G65" s="135">
        <v>1</v>
      </c>
      <c r="H65" s="135">
        <v>1</v>
      </c>
      <c r="I65" s="135">
        <v>1</v>
      </c>
      <c r="J65" s="135">
        <v>1</v>
      </c>
      <c r="K65" s="135">
        <v>1</v>
      </c>
      <c r="L65" s="135">
        <v>1</v>
      </c>
      <c r="M65" s="135">
        <v>1</v>
      </c>
      <c r="N65" s="135">
        <v>1</v>
      </c>
      <c r="O65" s="135">
        <v>1</v>
      </c>
      <c r="P65" s="135">
        <v>1</v>
      </c>
      <c r="Q65" s="135">
        <v>1</v>
      </c>
      <c r="R65" s="135">
        <v>1</v>
      </c>
      <c r="S65" s="135">
        <v>1</v>
      </c>
      <c r="T65" s="135">
        <v>1</v>
      </c>
      <c r="U65" s="135">
        <v>1</v>
      </c>
      <c r="V65" s="135">
        <v>1</v>
      </c>
      <c r="W65" s="135">
        <v>1</v>
      </c>
      <c r="X65" s="135">
        <v>1</v>
      </c>
      <c r="Y65" s="135">
        <v>1</v>
      </c>
      <c r="Z65" s="135">
        <v>1</v>
      </c>
      <c r="AA65" s="135">
        <v>1</v>
      </c>
      <c r="AB65" s="135">
        <v>1</v>
      </c>
      <c r="AC65" s="135">
        <v>1</v>
      </c>
      <c r="AD65" s="135">
        <v>1</v>
      </c>
    </row>
    <row r="66" spans="2:33" s="459" customFormat="1">
      <c r="B66" s="480" t="str">
        <f>Commodities!K42</f>
        <v>T-OTH_CON00</v>
      </c>
      <c r="C66" s="480" t="s">
        <v>555</v>
      </c>
      <c r="D66" s="135">
        <v>1</v>
      </c>
      <c r="E66" s="135">
        <v>1</v>
      </c>
      <c r="F66" s="135">
        <v>1</v>
      </c>
      <c r="G66" s="135">
        <v>1</v>
      </c>
      <c r="H66" s="135">
        <v>1</v>
      </c>
      <c r="I66" s="135">
        <v>1</v>
      </c>
      <c r="J66" s="135">
        <v>1</v>
      </c>
      <c r="K66" s="135">
        <v>1</v>
      </c>
      <c r="L66" s="135">
        <v>1</v>
      </c>
      <c r="M66" s="135">
        <v>1</v>
      </c>
      <c r="N66" s="135">
        <v>1</v>
      </c>
      <c r="O66" s="135">
        <v>1</v>
      </c>
      <c r="P66" s="135">
        <v>1</v>
      </c>
      <c r="Q66" s="135">
        <v>1</v>
      </c>
      <c r="R66" s="135">
        <v>1</v>
      </c>
      <c r="S66" s="135">
        <v>1</v>
      </c>
      <c r="T66" s="135">
        <v>1</v>
      </c>
      <c r="U66" s="135">
        <v>1</v>
      </c>
      <c r="V66" s="135">
        <v>1</v>
      </c>
      <c r="W66" s="135">
        <v>1</v>
      </c>
      <c r="X66" s="135">
        <v>1</v>
      </c>
      <c r="Y66" s="135">
        <v>1</v>
      </c>
      <c r="Z66" s="135">
        <v>1</v>
      </c>
      <c r="AA66" s="135">
        <v>1</v>
      </c>
      <c r="AB66" s="135">
        <v>1</v>
      </c>
      <c r="AC66" s="135">
        <v>1</v>
      </c>
      <c r="AD66" s="135">
        <v>1</v>
      </c>
    </row>
    <row r="67" spans="2:33" s="459" customFormat="1">
      <c r="B67" s="480" t="str">
        <f>Commodities!K44</f>
        <v>T-AVI_DOM00</v>
      </c>
      <c r="C67" s="480" t="s">
        <v>555</v>
      </c>
      <c r="D67" s="135">
        <v>1</v>
      </c>
      <c r="E67" s="135">
        <v>1</v>
      </c>
      <c r="F67" s="135">
        <v>1</v>
      </c>
      <c r="G67" s="135">
        <v>1</v>
      </c>
      <c r="H67" s="135">
        <v>1</v>
      </c>
      <c r="I67" s="135">
        <v>1</v>
      </c>
      <c r="J67" s="135">
        <v>1</v>
      </c>
      <c r="K67" s="135">
        <v>1</v>
      </c>
      <c r="L67" s="135">
        <v>1</v>
      </c>
      <c r="M67" s="135">
        <v>1</v>
      </c>
      <c r="N67" s="135">
        <v>1</v>
      </c>
      <c r="O67" s="135">
        <v>1</v>
      </c>
      <c r="P67" s="135">
        <v>1</v>
      </c>
      <c r="Q67" s="135">
        <v>1</v>
      </c>
      <c r="R67" s="135">
        <v>1</v>
      </c>
      <c r="S67" s="135">
        <v>1</v>
      </c>
      <c r="T67" s="135">
        <v>1</v>
      </c>
      <c r="U67" s="135">
        <v>1</v>
      </c>
      <c r="V67" s="135">
        <v>1</v>
      </c>
      <c r="W67" s="135">
        <v>1</v>
      </c>
      <c r="X67" s="135">
        <v>1</v>
      </c>
      <c r="Y67" s="135">
        <v>1</v>
      </c>
      <c r="Z67" s="135">
        <v>1</v>
      </c>
      <c r="AA67" s="135">
        <v>1</v>
      </c>
      <c r="AB67" s="135">
        <v>1</v>
      </c>
      <c r="AC67" s="135">
        <v>1</v>
      </c>
      <c r="AD67" s="135">
        <v>1</v>
      </c>
    </row>
    <row r="68" spans="2:33" s="459" customFormat="1">
      <c r="B68" s="496" t="str">
        <f>Commodities!K45</f>
        <v>T-AVI_INT00</v>
      </c>
      <c r="C68" s="496" t="s">
        <v>555</v>
      </c>
      <c r="D68" s="508">
        <v>1</v>
      </c>
      <c r="E68" s="508">
        <v>1</v>
      </c>
      <c r="F68" s="508">
        <v>1</v>
      </c>
      <c r="G68" s="508">
        <v>1</v>
      </c>
      <c r="H68" s="508">
        <v>1</v>
      </c>
      <c r="I68" s="508">
        <v>1</v>
      </c>
      <c r="J68" s="508">
        <v>1</v>
      </c>
      <c r="K68" s="508">
        <v>1</v>
      </c>
      <c r="L68" s="508">
        <v>1</v>
      </c>
      <c r="M68" s="508">
        <v>1</v>
      </c>
      <c r="N68" s="508">
        <v>1</v>
      </c>
      <c r="O68" s="508">
        <v>1</v>
      </c>
      <c r="P68" s="508">
        <v>1</v>
      </c>
      <c r="Q68" s="508">
        <v>1</v>
      </c>
      <c r="R68" s="508">
        <v>1</v>
      </c>
      <c r="S68" s="508">
        <v>1</v>
      </c>
      <c r="T68" s="508">
        <v>1</v>
      </c>
      <c r="U68" s="508">
        <v>1</v>
      </c>
      <c r="V68" s="508">
        <v>1</v>
      </c>
      <c r="W68" s="508">
        <v>1</v>
      </c>
      <c r="X68" s="508">
        <v>1</v>
      </c>
      <c r="Y68" s="508">
        <v>1</v>
      </c>
      <c r="Z68" s="508">
        <v>1</v>
      </c>
      <c r="AA68" s="508">
        <v>1</v>
      </c>
      <c r="AB68" s="508">
        <v>1</v>
      </c>
      <c r="AC68" s="508">
        <v>1</v>
      </c>
      <c r="AD68" s="508">
        <v>1</v>
      </c>
    </row>
    <row r="69" spans="2:33">
      <c r="B69" s="461"/>
      <c r="C69" s="461"/>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61"/>
      <c r="C70" s="461"/>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c r="B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row>
    <row r="72" spans="2:33">
      <c r="B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c r="AC72" s="459"/>
      <c r="AD72" s="459"/>
    </row>
    <row r="73" spans="2:33">
      <c r="B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row>
    <row r="74" spans="2:33">
      <c r="B74" s="459" t="s">
        <v>851</v>
      </c>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c r="AC74" s="459"/>
      <c r="AD74" s="459"/>
    </row>
    <row r="75" spans="2:33" ht="1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459" t="s">
        <v>556</v>
      </c>
      <c r="AG75" s="459"/>
    </row>
    <row r="76" spans="2:33">
      <c r="B76" s="459" t="str">
        <f t="shared" ref="B76:B93" si="27">B6</f>
        <v>T-MOT-ICE_GSL00</v>
      </c>
      <c r="C76" s="459" t="s">
        <v>789</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459" t="s">
        <v>557</v>
      </c>
      <c r="AG76" s="459"/>
    </row>
    <row r="77" spans="2:33">
      <c r="B77" s="459" t="str">
        <f t="shared" si="27"/>
        <v>T-CAR-ICE_GSL00</v>
      </c>
      <c r="C77" s="459" t="s">
        <v>789</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459" t="s">
        <v>493</v>
      </c>
      <c r="AG77" s="459"/>
    </row>
    <row r="78" spans="2:33">
      <c r="B78" s="459" t="str">
        <f t="shared" si="27"/>
        <v>T-CAR-ICE_DST00</v>
      </c>
      <c r="C78" s="459" t="s">
        <v>789</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459" t="s">
        <v>493</v>
      </c>
      <c r="AG78" s="459"/>
    </row>
    <row r="79" spans="2:33">
      <c r="B79" s="459" t="str">
        <f t="shared" si="27"/>
        <v>T-CAR-ICE_DF00</v>
      </c>
      <c r="C79" s="459" t="s">
        <v>789</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459" t="s">
        <v>493</v>
      </c>
      <c r="AG79" s="459"/>
    </row>
    <row r="80" spans="2:33">
      <c r="B80" s="459" t="str">
        <f t="shared" si="27"/>
        <v>T-CAR-ICE_E8500</v>
      </c>
      <c r="C80" s="459" t="s">
        <v>789</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459" t="s">
        <v>493</v>
      </c>
      <c r="AG80" s="459"/>
    </row>
    <row r="81" spans="2:33">
      <c r="B81" s="459" t="str">
        <f t="shared" si="27"/>
        <v>T-CAR-HEV_GSL00</v>
      </c>
      <c r="C81" s="459" t="s">
        <v>789</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459" t="s">
        <v>493</v>
      </c>
      <c r="AG81" s="459"/>
    </row>
    <row r="82" spans="2:33">
      <c r="B82" s="459" t="str">
        <f t="shared" si="27"/>
        <v>T-CAR-HEV_DST00</v>
      </c>
      <c r="C82" s="459" t="s">
        <v>789</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459" t="s">
        <v>493</v>
      </c>
      <c r="AG82" s="459"/>
    </row>
    <row r="83" spans="2:33">
      <c r="B83" s="459" t="str">
        <f t="shared" si="27"/>
        <v>T-CAR-PHEV_GSL00</v>
      </c>
      <c r="C83" s="459" t="s">
        <v>789</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459" t="s">
        <v>493</v>
      </c>
      <c r="AG83" s="459"/>
    </row>
    <row r="84" spans="2:33">
      <c r="B84" s="459" t="str">
        <f t="shared" si="27"/>
        <v>T-CAR-PHEV_DST00</v>
      </c>
      <c r="C84" s="459" t="s">
        <v>789</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459" t="s">
        <v>493</v>
      </c>
      <c r="AG84" s="459"/>
    </row>
    <row r="85" spans="2:33">
      <c r="B85" s="459" t="str">
        <f t="shared" si="27"/>
        <v>T-CAR-BEV_ELC00</v>
      </c>
      <c r="C85" s="459" t="s">
        <v>789</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459" t="s">
        <v>493</v>
      </c>
      <c r="AG85" s="459"/>
    </row>
    <row r="86" spans="2:33">
      <c r="B86" s="459" t="str">
        <f t="shared" si="27"/>
        <v>T-TAX-ICE_GSL00</v>
      </c>
      <c r="C86" s="459" t="s">
        <v>789</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459" t="s">
        <v>558</v>
      </c>
      <c r="AG86" s="459"/>
    </row>
    <row r="87" spans="2:33">
      <c r="B87" s="459" t="str">
        <f t="shared" si="27"/>
        <v>T-TAX-ICE_DST00</v>
      </c>
      <c r="C87" s="459" t="s">
        <v>789</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459" t="s">
        <v>558</v>
      </c>
      <c r="AG87" s="459"/>
    </row>
    <row r="88" spans="2:33">
      <c r="B88" s="459" t="str">
        <f t="shared" si="27"/>
        <v>T-TAX-HEV_GSL00</v>
      </c>
      <c r="C88" s="459" t="s">
        <v>789</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459" t="s">
        <v>558</v>
      </c>
      <c r="AG88" s="459"/>
    </row>
    <row r="89" spans="2:33">
      <c r="B89" s="459" t="str">
        <f t="shared" si="27"/>
        <v>T-BUS-ICE_DST00</v>
      </c>
      <c r="C89" s="459" t="s">
        <v>789</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459" t="s">
        <v>591</v>
      </c>
      <c r="AG89" s="459"/>
    </row>
    <row r="90" spans="2:33">
      <c r="B90" s="459" t="str">
        <f t="shared" si="27"/>
        <v>T-LPT-EV_ELC00</v>
      </c>
      <c r="C90" s="459" t="s">
        <v>789</v>
      </c>
      <c r="D90" s="719">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461" t="s">
        <v>600</v>
      </c>
      <c r="AG90" s="459"/>
    </row>
    <row r="91" spans="2:33">
      <c r="B91" s="459" t="str">
        <f t="shared" si="27"/>
        <v>T-HPT-EV_ELC00</v>
      </c>
      <c r="C91" s="459" t="s">
        <v>789</v>
      </c>
      <c r="D91" s="719">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461" t="s">
        <v>600</v>
      </c>
      <c r="AG91" s="459"/>
    </row>
    <row r="92" spans="2:33">
      <c r="B92" s="459" t="str">
        <f t="shared" si="27"/>
        <v>T-HPT-ICE_DST00</v>
      </c>
      <c r="C92" s="459" t="s">
        <v>789</v>
      </c>
      <c r="D92" s="719">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461" t="s">
        <v>600</v>
      </c>
      <c r="AG92" s="459"/>
    </row>
    <row r="93" spans="2:33">
      <c r="B93" s="459" t="str">
        <f t="shared" si="27"/>
        <v>T-LGT-ICE_GSL00</v>
      </c>
      <c r="C93" s="459" t="s">
        <v>789</v>
      </c>
      <c r="D93" s="719">
        <f>AVERAGE(D133:D134)/1000</f>
        <v>20.794499999999999</v>
      </c>
      <c r="E93" s="719">
        <f t="shared" ref="E93:AD93" si="59">AVERAGE(E133:E134)/1000</f>
        <v>20.6495</v>
      </c>
      <c r="F93" s="719">
        <f t="shared" si="59"/>
        <v>22.375</v>
      </c>
      <c r="G93" s="719">
        <f t="shared" si="59"/>
        <v>21.454000000000001</v>
      </c>
      <c r="H93" s="719">
        <f t="shared" si="59"/>
        <v>20.001000000000001</v>
      </c>
      <c r="I93" s="719">
        <f t="shared" si="59"/>
        <v>20.641500000000001</v>
      </c>
      <c r="J93" s="719">
        <f t="shared" si="59"/>
        <v>20.355</v>
      </c>
      <c r="K93" s="719">
        <f t="shared" si="59"/>
        <v>20.972999999999999</v>
      </c>
      <c r="L93" s="719">
        <f t="shared" si="59"/>
        <v>21.956499999999998</v>
      </c>
      <c r="M93" s="719">
        <f t="shared" si="59"/>
        <v>20.138500000000001</v>
      </c>
      <c r="N93" s="719">
        <f t="shared" si="59"/>
        <v>20.660499999999999</v>
      </c>
      <c r="O93" s="719">
        <f t="shared" si="59"/>
        <v>20.590499999999999</v>
      </c>
      <c r="P93" s="719">
        <f t="shared" si="59"/>
        <v>19.901</v>
      </c>
      <c r="Q93" s="719">
        <f t="shared" si="59"/>
        <v>20.317499999999999</v>
      </c>
      <c r="R93" s="719">
        <f t="shared" si="59"/>
        <v>19.6965</v>
      </c>
      <c r="S93" s="719">
        <f t="shared" si="59"/>
        <v>20.023499999999999</v>
      </c>
      <c r="T93" s="719">
        <f t="shared" si="59"/>
        <v>21.157</v>
      </c>
      <c r="U93" s="719">
        <f t="shared" si="59"/>
        <v>19.945499999999999</v>
      </c>
      <c r="V93" s="719">
        <f t="shared" si="59"/>
        <v>18.807500000000001</v>
      </c>
      <c r="W93" s="719">
        <f t="shared" si="59"/>
        <v>20.356000000000002</v>
      </c>
      <c r="X93" s="719">
        <f t="shared" si="59"/>
        <v>20.490500000000001</v>
      </c>
      <c r="Y93" s="719">
        <f t="shared" si="59"/>
        <v>20.330500000000001</v>
      </c>
      <c r="Z93" s="719">
        <f t="shared" si="59"/>
        <v>20.715499999999999</v>
      </c>
      <c r="AA93" s="719">
        <f t="shared" si="59"/>
        <v>19.79</v>
      </c>
      <c r="AB93" s="719">
        <f t="shared" si="59"/>
        <v>20.96</v>
      </c>
      <c r="AC93" s="719">
        <f t="shared" si="59"/>
        <v>19.359000000000002</v>
      </c>
      <c r="AD93" s="719">
        <f t="shared" si="59"/>
        <v>20.867999999999999</v>
      </c>
      <c r="AE93" s="459" t="s">
        <v>1140</v>
      </c>
      <c r="AG93" s="459"/>
    </row>
    <row r="94" spans="2:33" s="714" customFormat="1">
      <c r="B94" s="714" t="str">
        <f t="shared" ref="B94:B96" si="60">B24</f>
        <v>T-LGT-ICE_DST00</v>
      </c>
      <c r="C94" s="714" t="s">
        <v>789</v>
      </c>
      <c r="D94" s="719">
        <f>AVERAGE(D133:D134)/1000</f>
        <v>20.794499999999999</v>
      </c>
      <c r="E94" s="719">
        <f t="shared" ref="E94:AD94" si="61">AVERAGE(E133:E134)/1000</f>
        <v>20.6495</v>
      </c>
      <c r="F94" s="719">
        <f t="shared" si="61"/>
        <v>22.375</v>
      </c>
      <c r="G94" s="719">
        <f t="shared" si="61"/>
        <v>21.454000000000001</v>
      </c>
      <c r="H94" s="719">
        <f t="shared" si="61"/>
        <v>20.001000000000001</v>
      </c>
      <c r="I94" s="719">
        <f t="shared" si="61"/>
        <v>20.641500000000001</v>
      </c>
      <c r="J94" s="719">
        <f t="shared" si="61"/>
        <v>20.355</v>
      </c>
      <c r="K94" s="719">
        <f t="shared" si="61"/>
        <v>20.972999999999999</v>
      </c>
      <c r="L94" s="719">
        <f t="shared" si="61"/>
        <v>21.956499999999998</v>
      </c>
      <c r="M94" s="719">
        <f t="shared" si="61"/>
        <v>20.138500000000001</v>
      </c>
      <c r="N94" s="719">
        <f t="shared" si="61"/>
        <v>20.660499999999999</v>
      </c>
      <c r="O94" s="719">
        <f t="shared" si="61"/>
        <v>20.590499999999999</v>
      </c>
      <c r="P94" s="719">
        <f t="shared" si="61"/>
        <v>19.901</v>
      </c>
      <c r="Q94" s="719">
        <f t="shared" si="61"/>
        <v>20.317499999999999</v>
      </c>
      <c r="R94" s="719">
        <f t="shared" si="61"/>
        <v>19.6965</v>
      </c>
      <c r="S94" s="719">
        <f t="shared" si="61"/>
        <v>20.023499999999999</v>
      </c>
      <c r="T94" s="719">
        <f t="shared" si="61"/>
        <v>21.157</v>
      </c>
      <c r="U94" s="719">
        <f t="shared" si="61"/>
        <v>19.945499999999999</v>
      </c>
      <c r="V94" s="719">
        <f t="shared" si="61"/>
        <v>18.807500000000001</v>
      </c>
      <c r="W94" s="719">
        <f t="shared" si="61"/>
        <v>20.356000000000002</v>
      </c>
      <c r="X94" s="719">
        <f t="shared" si="61"/>
        <v>20.490500000000001</v>
      </c>
      <c r="Y94" s="719">
        <f t="shared" si="61"/>
        <v>20.330500000000001</v>
      </c>
      <c r="Z94" s="719">
        <f t="shared" si="61"/>
        <v>20.715499999999999</v>
      </c>
      <c r="AA94" s="719">
        <f t="shared" si="61"/>
        <v>19.79</v>
      </c>
      <c r="AB94" s="719">
        <f t="shared" si="61"/>
        <v>20.96</v>
      </c>
      <c r="AC94" s="719">
        <f t="shared" si="61"/>
        <v>19.359000000000002</v>
      </c>
      <c r="AD94" s="719">
        <f t="shared" si="61"/>
        <v>20.867999999999999</v>
      </c>
      <c r="AE94" s="719" t="str">
        <f>AE93</f>
        <v>CSO, Table THA19</v>
      </c>
    </row>
    <row r="95" spans="2:33" s="714" customFormat="1">
      <c r="B95" s="714" t="str">
        <f t="shared" si="60"/>
        <v>T-MGT-ICE_DST00</v>
      </c>
      <c r="C95" s="714" t="s">
        <v>789</v>
      </c>
      <c r="D95" s="719">
        <f>AVERAGE(D135:D136)/1000</f>
        <v>29.397500000000001</v>
      </c>
      <c r="E95" s="719">
        <f t="shared" ref="E95:AD95" si="62">AVERAGE(E135:E136)/1000</f>
        <v>31.172499999999999</v>
      </c>
      <c r="F95" s="719">
        <f t="shared" si="62"/>
        <v>33.305999999999997</v>
      </c>
      <c r="G95" s="719">
        <f t="shared" si="62"/>
        <v>25.042000000000002</v>
      </c>
      <c r="H95" s="719">
        <f t="shared" si="62"/>
        <v>24.787500000000001</v>
      </c>
      <c r="I95" s="719">
        <f t="shared" si="62"/>
        <v>26.09</v>
      </c>
      <c r="J95" s="719">
        <f t="shared" si="62"/>
        <v>24.6065</v>
      </c>
      <c r="K95" s="719">
        <f t="shared" si="62"/>
        <v>29.489000000000001</v>
      </c>
      <c r="L95" s="719">
        <f t="shared" si="62"/>
        <v>28.097000000000001</v>
      </c>
      <c r="M95" s="719">
        <f t="shared" si="62"/>
        <v>24.5305</v>
      </c>
      <c r="N95" s="719">
        <f t="shared" si="62"/>
        <v>26.7775</v>
      </c>
      <c r="O95" s="719">
        <f t="shared" si="62"/>
        <v>32.348999999999997</v>
      </c>
      <c r="P95" s="719">
        <f t="shared" si="62"/>
        <v>26.45</v>
      </c>
      <c r="Q95" s="719">
        <f t="shared" si="62"/>
        <v>25.686</v>
      </c>
      <c r="R95" s="719">
        <f t="shared" si="62"/>
        <v>29.422000000000001</v>
      </c>
      <c r="S95" s="719">
        <f t="shared" si="62"/>
        <v>26.604500000000002</v>
      </c>
      <c r="T95" s="719">
        <f t="shared" si="62"/>
        <v>30.3155</v>
      </c>
      <c r="U95" s="719">
        <f t="shared" si="62"/>
        <v>26.679500000000001</v>
      </c>
      <c r="V95" s="719">
        <f t="shared" si="62"/>
        <v>25.986000000000001</v>
      </c>
      <c r="W95" s="719">
        <f t="shared" si="62"/>
        <v>28.8355</v>
      </c>
      <c r="X95" s="719">
        <f t="shared" si="62"/>
        <v>26.519500000000001</v>
      </c>
      <c r="Y95" s="719">
        <f t="shared" si="62"/>
        <v>27.371500000000001</v>
      </c>
      <c r="Z95" s="719">
        <f t="shared" si="62"/>
        <v>34.000500000000002</v>
      </c>
      <c r="AA95" s="719">
        <f t="shared" si="62"/>
        <v>22.640499999999999</v>
      </c>
      <c r="AB95" s="719">
        <f t="shared" si="62"/>
        <v>30.84</v>
      </c>
      <c r="AC95" s="719">
        <f t="shared" si="62"/>
        <v>23.1995</v>
      </c>
      <c r="AD95" s="719">
        <f t="shared" si="62"/>
        <v>31.799499999999998</v>
      </c>
      <c r="AE95" s="719" t="str">
        <f>AE93</f>
        <v>CSO, Table THA19</v>
      </c>
    </row>
    <row r="96" spans="2:33">
      <c r="B96" s="714" t="str">
        <f t="shared" si="60"/>
        <v>T-HGT-ICE_DST00</v>
      </c>
      <c r="C96" s="714" t="s">
        <v>789</v>
      </c>
      <c r="D96" s="720">
        <f>AVERAGE(D137:D138)/1000</f>
        <v>50.915999999999997</v>
      </c>
      <c r="E96" s="720">
        <f t="shared" ref="E96:AD96" si="63">AVERAGE(E137:E138)/1000</f>
        <v>48.8825</v>
      </c>
      <c r="F96" s="720">
        <f t="shared" si="63"/>
        <v>49.607999999999997</v>
      </c>
      <c r="G96" s="720">
        <f t="shared" si="63"/>
        <v>54.716999999999999</v>
      </c>
      <c r="H96" s="720">
        <f t="shared" si="63"/>
        <v>59.597000000000001</v>
      </c>
      <c r="I96" s="720">
        <f t="shared" si="63"/>
        <v>52.476999999999997</v>
      </c>
      <c r="J96" s="720">
        <f t="shared" si="63"/>
        <v>51.298000000000002</v>
      </c>
      <c r="K96" s="720">
        <f t="shared" si="63"/>
        <v>51.7545</v>
      </c>
      <c r="L96" s="720">
        <f t="shared" si="63"/>
        <v>50.350499999999997</v>
      </c>
      <c r="M96" s="720">
        <f t="shared" si="63"/>
        <v>49.205500000000001</v>
      </c>
      <c r="N96" s="720">
        <f t="shared" si="63"/>
        <v>48.326999999999998</v>
      </c>
      <c r="O96" s="720">
        <f t="shared" si="63"/>
        <v>56.772500000000001</v>
      </c>
      <c r="P96" s="720">
        <f t="shared" si="63"/>
        <v>48.652999999999999</v>
      </c>
      <c r="Q96" s="720">
        <f t="shared" si="63"/>
        <v>48.671999999999997</v>
      </c>
      <c r="R96" s="720">
        <f t="shared" si="63"/>
        <v>51.267000000000003</v>
      </c>
      <c r="S96" s="720">
        <f t="shared" si="63"/>
        <v>47.985999999999997</v>
      </c>
      <c r="T96" s="720">
        <f t="shared" si="63"/>
        <v>54.374499999999998</v>
      </c>
      <c r="U96" s="720">
        <f t="shared" si="63"/>
        <v>45.490499999999997</v>
      </c>
      <c r="V96" s="720">
        <f t="shared" si="63"/>
        <v>50.088500000000003</v>
      </c>
      <c r="W96" s="720">
        <f t="shared" si="63"/>
        <v>42.529499999999999</v>
      </c>
      <c r="X96" s="720">
        <f t="shared" si="63"/>
        <v>52.52</v>
      </c>
      <c r="Y96" s="720">
        <f t="shared" si="63"/>
        <v>37.160499999999999</v>
      </c>
      <c r="Z96" s="720">
        <f t="shared" si="63"/>
        <v>48.639000000000003</v>
      </c>
      <c r="AA96" s="720">
        <f t="shared" si="63"/>
        <v>46.78</v>
      </c>
      <c r="AB96" s="720">
        <f t="shared" si="63"/>
        <v>61.667499999999997</v>
      </c>
      <c r="AC96" s="720">
        <f t="shared" si="63"/>
        <v>47.325000000000003</v>
      </c>
      <c r="AD96" s="720">
        <f t="shared" si="63"/>
        <v>57.072000000000003</v>
      </c>
      <c r="AE96" s="5" t="str">
        <f>AE95</f>
        <v>CSO, Table THA19</v>
      </c>
      <c r="AG96" s="459"/>
    </row>
    <row r="97" spans="2:33">
      <c r="B97" s="458" t="str">
        <f>B27</f>
        <v>T-GTR-ICE_DST00</v>
      </c>
      <c r="C97" s="458" t="s">
        <v>789</v>
      </c>
      <c r="D97" s="721">
        <v>39.363999999999997</v>
      </c>
      <c r="E97" s="600">
        <f>D97</f>
        <v>39.363999999999997</v>
      </c>
      <c r="F97" s="600">
        <f t="shared" ref="F97" si="64">E97</f>
        <v>39.363999999999997</v>
      </c>
      <c r="G97" s="600">
        <f t="shared" ref="G97" si="65">F97</f>
        <v>39.363999999999997</v>
      </c>
      <c r="H97" s="600">
        <f t="shared" ref="H97" si="66">G97</f>
        <v>39.363999999999997</v>
      </c>
      <c r="I97" s="600">
        <f t="shared" ref="I97" si="67">H97</f>
        <v>39.363999999999997</v>
      </c>
      <c r="J97" s="600">
        <f t="shared" ref="J97" si="68">I97</f>
        <v>39.363999999999997</v>
      </c>
      <c r="K97" s="600">
        <f t="shared" ref="K97" si="69">J97</f>
        <v>39.363999999999997</v>
      </c>
      <c r="L97" s="600">
        <f t="shared" ref="L97" si="70">K97</f>
        <v>39.363999999999997</v>
      </c>
      <c r="M97" s="600">
        <f t="shared" ref="M97" si="71">L97</f>
        <v>39.363999999999997</v>
      </c>
      <c r="N97" s="600">
        <f t="shared" ref="N97" si="72">M97</f>
        <v>39.363999999999997</v>
      </c>
      <c r="O97" s="600">
        <f t="shared" ref="O97" si="73">N97</f>
        <v>39.363999999999997</v>
      </c>
      <c r="P97" s="600">
        <f t="shared" ref="P97" si="74">O97</f>
        <v>39.363999999999997</v>
      </c>
      <c r="Q97" s="600">
        <f t="shared" ref="Q97" si="75">P97</f>
        <v>39.363999999999997</v>
      </c>
      <c r="R97" s="600">
        <f t="shared" ref="R97" si="76">Q97</f>
        <v>39.363999999999997</v>
      </c>
      <c r="S97" s="600">
        <f t="shared" ref="S97" si="77">R97</f>
        <v>39.363999999999997</v>
      </c>
      <c r="T97" s="600">
        <f t="shared" ref="T97" si="78">S97</f>
        <v>39.363999999999997</v>
      </c>
      <c r="U97" s="600">
        <f t="shared" ref="U97" si="79">T97</f>
        <v>39.363999999999997</v>
      </c>
      <c r="V97" s="600">
        <f t="shared" ref="V97" si="80">U97</f>
        <v>39.363999999999997</v>
      </c>
      <c r="W97" s="600">
        <f t="shared" ref="W97" si="81">V97</f>
        <v>39.363999999999997</v>
      </c>
      <c r="X97" s="600">
        <f t="shared" ref="X97" si="82">W97</f>
        <v>39.363999999999997</v>
      </c>
      <c r="Y97" s="600">
        <f t="shared" ref="Y97" si="83">X97</f>
        <v>39.363999999999997</v>
      </c>
      <c r="Z97" s="600">
        <f t="shared" ref="Z97" si="84">Y97</f>
        <v>39.363999999999997</v>
      </c>
      <c r="AA97" s="600">
        <f t="shared" ref="AA97" si="85">Z97</f>
        <v>39.363999999999997</v>
      </c>
      <c r="AB97" s="600">
        <f t="shared" ref="AB97" si="86">AA97</f>
        <v>39.363999999999997</v>
      </c>
      <c r="AC97" s="600">
        <f t="shared" ref="AC97" si="87">AB97</f>
        <v>39.363999999999997</v>
      </c>
      <c r="AD97" s="600">
        <f t="shared" ref="AD97" si="88">AC97</f>
        <v>39.363999999999997</v>
      </c>
      <c r="AE97" s="459"/>
      <c r="AG97" s="459"/>
    </row>
    <row r="105" spans="2:33" ht="18">
      <c r="B105" s="646" t="s">
        <v>852</v>
      </c>
    </row>
    <row r="106" spans="2:33" ht="15" thickBot="1">
      <c r="B106" s="41" t="s">
        <v>70</v>
      </c>
      <c r="C106" s="41" t="s">
        <v>96</v>
      </c>
      <c r="D106" s="460" t="str">
        <f t="shared" ref="D106:AD106" si="89">D3</f>
        <v>IE</v>
      </c>
      <c r="E106" s="460" t="str">
        <f t="shared" si="89"/>
        <v>IE-CW</v>
      </c>
      <c r="F106" s="460" t="str">
        <f t="shared" si="89"/>
        <v>IE-D</v>
      </c>
      <c r="G106" s="460" t="str">
        <f t="shared" si="89"/>
        <v>IE-KE</v>
      </c>
      <c r="H106" s="460" t="str">
        <f t="shared" si="89"/>
        <v>IE-KK</v>
      </c>
      <c r="I106" s="460" t="str">
        <f t="shared" si="89"/>
        <v>IE-LS</v>
      </c>
      <c r="J106" s="460" t="str">
        <f t="shared" si="89"/>
        <v>IE-LD</v>
      </c>
      <c r="K106" s="460" t="str">
        <f t="shared" si="89"/>
        <v>IE-LH</v>
      </c>
      <c r="L106" s="460" t="str">
        <f t="shared" si="89"/>
        <v>IE-MH</v>
      </c>
      <c r="M106" s="460" t="str">
        <f t="shared" si="89"/>
        <v>IE-OY</v>
      </c>
      <c r="N106" s="460" t="str">
        <f t="shared" si="89"/>
        <v>IE-WH</v>
      </c>
      <c r="O106" s="460" t="str">
        <f t="shared" si="89"/>
        <v>IE-WX</v>
      </c>
      <c r="P106" s="460" t="str">
        <f t="shared" si="89"/>
        <v>IE-WW</v>
      </c>
      <c r="Q106" s="460" t="str">
        <f t="shared" si="89"/>
        <v>IE-CE</v>
      </c>
      <c r="R106" s="460" t="str">
        <f t="shared" si="89"/>
        <v>IE-CO</v>
      </c>
      <c r="S106" s="460" t="str">
        <f t="shared" si="89"/>
        <v>IE-KY</v>
      </c>
      <c r="T106" s="460" t="str">
        <f t="shared" si="89"/>
        <v>IE-LK</v>
      </c>
      <c r="U106" s="460" t="str">
        <f t="shared" si="89"/>
        <v>IE-TA</v>
      </c>
      <c r="V106" s="460" t="str">
        <f t="shared" si="89"/>
        <v>IE-WD</v>
      </c>
      <c r="W106" s="460" t="str">
        <f t="shared" si="89"/>
        <v>IE-G</v>
      </c>
      <c r="X106" s="460" t="str">
        <f t="shared" si="89"/>
        <v>IE-LM</v>
      </c>
      <c r="Y106" s="460" t="str">
        <f t="shared" si="89"/>
        <v>IE-MO</v>
      </c>
      <c r="Z106" s="460" t="str">
        <f t="shared" si="89"/>
        <v>IE-RN</v>
      </c>
      <c r="AA106" s="460" t="str">
        <f t="shared" si="89"/>
        <v>IE-SO</v>
      </c>
      <c r="AB106" s="460" t="str">
        <f t="shared" si="89"/>
        <v>IE-CN</v>
      </c>
      <c r="AC106" s="460" t="str">
        <f t="shared" si="89"/>
        <v>IE-DL</v>
      </c>
      <c r="AD106" s="460" t="str">
        <f t="shared" si="89"/>
        <v>IE-MN</v>
      </c>
    </row>
    <row r="107" spans="2:33">
      <c r="B107" s="459" t="str">
        <f t="shared" ref="B107:B124" si="90">B6</f>
        <v>T-MOT-ICE_GSL00</v>
      </c>
      <c r="C107" s="459" t="s">
        <v>853</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459" t="str">
        <f t="shared" si="90"/>
        <v>T-CAR-ICE_GSL00</v>
      </c>
      <c r="C108" s="459" t="s">
        <v>853</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459" t="str">
        <f t="shared" si="90"/>
        <v>T-CAR-ICE_DST00</v>
      </c>
      <c r="C109" s="459" t="s">
        <v>853</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459" t="str">
        <f t="shared" si="90"/>
        <v>T-CAR-ICE_DF00</v>
      </c>
      <c r="C110" s="459" t="s">
        <v>853</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459" t="str">
        <f t="shared" si="90"/>
        <v>T-CAR-ICE_E8500</v>
      </c>
      <c r="C111" s="459" t="s">
        <v>853</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459" t="str">
        <f t="shared" si="90"/>
        <v>T-CAR-HEV_GSL00</v>
      </c>
      <c r="C112" s="459" t="s">
        <v>853</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459" t="str">
        <f t="shared" si="90"/>
        <v>T-CAR-HEV_DST00</v>
      </c>
      <c r="C113" s="459" t="s">
        <v>853</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459" t="str">
        <f t="shared" si="90"/>
        <v>T-CAR-PHEV_GSL00</v>
      </c>
      <c r="C114" s="459" t="s">
        <v>853</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459" t="str">
        <f t="shared" si="90"/>
        <v>T-CAR-PHEV_DST00</v>
      </c>
      <c r="C115" s="459" t="s">
        <v>853</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459" t="str">
        <f t="shared" si="90"/>
        <v>T-CAR-BEV_ELC00</v>
      </c>
      <c r="C116" s="459" t="s">
        <v>853</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459" t="str">
        <f t="shared" si="90"/>
        <v>T-TAX-ICE_GSL00</v>
      </c>
      <c r="C117" s="459" t="s">
        <v>853</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459" t="str">
        <f t="shared" si="90"/>
        <v>T-TAX-ICE_DST00</v>
      </c>
      <c r="C118" s="459" t="s">
        <v>853</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459" t="str">
        <f t="shared" si="90"/>
        <v>T-TAX-HEV_GSL00</v>
      </c>
      <c r="C119" s="459" t="s">
        <v>853</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459" t="str">
        <f t="shared" si="90"/>
        <v>T-BUS-ICE_DST00</v>
      </c>
      <c r="C120" s="459" t="s">
        <v>853</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459" t="str">
        <f t="shared" si="90"/>
        <v>T-LPT-EV_ELC00</v>
      </c>
      <c r="C121" s="459" t="s">
        <v>853</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459" t="str">
        <f t="shared" si="90"/>
        <v>T-HPT-EV_ELC00</v>
      </c>
      <c r="C122" s="459" t="s">
        <v>853</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459" t="str">
        <f t="shared" si="90"/>
        <v>T-HPT-ICE_DST00</v>
      </c>
      <c r="C123" s="459" t="s">
        <v>853</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459" t="str">
        <f t="shared" si="90"/>
        <v>T-LGT-ICE_GSL00</v>
      </c>
      <c r="C124" s="459" t="s">
        <v>854</v>
      </c>
      <c r="D124" s="657">
        <f>Stock!E74*AF!D93*ACT2FLO!D70*AF!D59</f>
        <v>8.4201848862574039E-4</v>
      </c>
      <c r="E124" s="657">
        <f>Stock!F74*AF!E93*ACT2FLO!E70*AF!E59</f>
        <v>8.9421546583187683E-6</v>
      </c>
      <c r="F124" s="657">
        <f>Stock!G74*AF!F93*ACT2FLO!F70*AF!F59</f>
        <v>2.8139305205821604E-4</v>
      </c>
      <c r="G124" s="657">
        <f>Stock!H74*AF!G93*ACT2FLO!G70*AF!G59</f>
        <v>4.263150962868593E-5</v>
      </c>
      <c r="H124" s="657">
        <f>Stock!I74*AF!H93*ACT2FLO!H70*AF!H59</f>
        <v>1.694296635629948E-5</v>
      </c>
      <c r="I124" s="657">
        <f>Stock!J74*AF!I93*ACT2FLO!I70*AF!I59</f>
        <v>2.2234579815439145E-5</v>
      </c>
      <c r="J124" s="657">
        <f>Stock!K74*AF!J93*ACT2FLO!J70*AF!J59</f>
        <v>6.367594023693619E-6</v>
      </c>
      <c r="K124" s="657">
        <f>Stock!L74*AF!K93*ACT2FLO!K70*AF!K59</f>
        <v>1.5340441122553245E-5</v>
      </c>
      <c r="L124" s="657">
        <f>Stock!M74*AF!L93*ACT2FLO!L70*AF!L59</f>
        <v>1.8138489837455382E-5</v>
      </c>
      <c r="M124" s="657">
        <f>Stock!N74*AF!M93*ACT2FLO!M70*AF!M59</f>
        <v>8.7831310228157341E-6</v>
      </c>
      <c r="N124" s="657">
        <f>Stock!O74*AF!N93*ACT2FLO!N70*AF!N59</f>
        <v>1.1151116251730151E-5</v>
      </c>
      <c r="O124" s="657">
        <f>Stock!P74*AF!O93*ACT2FLO!O70*AF!O59</f>
        <v>2.8100484346162368E-5</v>
      </c>
      <c r="P124" s="657">
        <f>Stock!Q74*AF!P93*ACT2FLO!P70*AF!P59</f>
        <v>4.110784776081316E-5</v>
      </c>
      <c r="Q124" s="657">
        <f>Stock!R74*AF!Q93*ACT2FLO!Q70*AF!Q59</f>
        <v>1.4531864162155563E-5</v>
      </c>
      <c r="R124" s="657">
        <f>Stock!S74*AF!R93*ACT2FLO!R70*AF!R59</f>
        <v>1.499286792273567E-4</v>
      </c>
      <c r="S124" s="657">
        <f>Stock!T74*AF!S93*ACT2FLO!S70*AF!S59</f>
        <v>2.2413229805244414E-5</v>
      </c>
      <c r="T124" s="657">
        <f>Stock!U74*AF!T93*ACT2FLO!T70*AF!T59</f>
        <v>1.5247779076915033E-5</v>
      </c>
      <c r="U124" s="657">
        <f>Stock!V74*AF!U93*ACT2FLO!U70*AF!U59</f>
        <v>2.3264659905429684E-5</v>
      </c>
      <c r="V124" s="657">
        <f>Stock!W74*AF!V93*ACT2FLO!V70*AF!V59</f>
        <v>3.7304693801047606E-5</v>
      </c>
      <c r="W124" s="657">
        <f>Stock!X74*AF!W93*ACT2FLO!W70*AF!W59</f>
        <v>3.7373876925599331E-5</v>
      </c>
      <c r="X124" s="657">
        <f>Stock!Y74*AF!X93*ACT2FLO!X70*AF!X59</f>
        <v>1.372085162546971E-6</v>
      </c>
      <c r="Y124" s="657">
        <f>Stock!Z74*AF!Y93*ACT2FLO!Y70*AF!Y59</f>
        <v>1.2413384111880433E-5</v>
      </c>
      <c r="Z124" s="657">
        <f>Stock!AA74*AF!Z93*ACT2FLO!Z70*AF!Z59</f>
        <v>9.5761979031033097E-6</v>
      </c>
      <c r="AA124" s="657">
        <f>Stock!AB74*AF!AA93*ACT2FLO!AA70*AF!AA59</f>
        <v>7.0852297354632537E-6</v>
      </c>
      <c r="AB124" s="657">
        <f>Stock!AC74*AF!AB93*ACT2FLO!AB70*AF!AB59</f>
        <v>4.9814190042691618E-6</v>
      </c>
      <c r="AC124" s="657">
        <f>Stock!AD74*AF!AC93*ACT2FLO!AC70*AF!AC59</f>
        <v>2.3061461759664663E-5</v>
      </c>
      <c r="AD124" s="657">
        <f>Stock!AE74*AF!AD93*ACT2FLO!AD70*AF!AD59</f>
        <v>7.4789691493898381E-6</v>
      </c>
    </row>
    <row r="125" spans="2:30">
      <c r="B125" s="459" t="str">
        <f t="shared" ref="B125:B126" si="91">B26</f>
        <v>T-HGT-ICE_DST00</v>
      </c>
      <c r="C125" s="459" t="s">
        <v>854</v>
      </c>
      <c r="D125" s="657">
        <f>Stock!E77*AF!D96*ACT2FLO!D73*AF!D62</f>
        <v>9.7711684335157898</v>
      </c>
      <c r="E125" s="657">
        <f>Stock!F77*AF!E96*ACT2FLO!E73*AF!E62</f>
        <v>0.14150153126841422</v>
      </c>
      <c r="F125" s="657">
        <f>Stock!G77*AF!F96*ACT2FLO!F73*AF!F62</f>
        <v>2.2519955497906801</v>
      </c>
      <c r="G125" s="657">
        <f>Stock!H77*AF!G96*ACT2FLO!G73*AF!G62</f>
        <v>0.41459558145850212</v>
      </c>
      <c r="H125" s="657">
        <f>Stock!I77*AF!H96*ACT2FLO!H73*AF!H62</f>
        <v>0.26847459460605017</v>
      </c>
      <c r="I125" s="657">
        <f>Stock!J77*AF!I96*ACT2FLO!I73*AF!I62</f>
        <v>0.17770447582133139</v>
      </c>
      <c r="J125" s="657">
        <f>Stock!K77*AF!J96*ACT2FLO!J73*AF!J62</f>
        <v>8.8141018003144431E-2</v>
      </c>
      <c r="K125" s="657">
        <f>Stock!L77*AF!K96*ACT2FLO!K73*AF!K62</f>
        <v>0.24419332022567697</v>
      </c>
      <c r="L125" s="657">
        <f>Stock!M77*AF!L96*ACT2FLO!L73*AF!L62</f>
        <v>0.36877828997611134</v>
      </c>
      <c r="M125" s="657">
        <f>Stock!N77*AF!M96*ACT2FLO!M73*AF!M62</f>
        <v>0.16652059039973316</v>
      </c>
      <c r="N125" s="657">
        <f>Stock!O77*AF!N96*ACT2FLO!N73*AF!N62</f>
        <v>0.19357374253988496</v>
      </c>
      <c r="O125" s="657">
        <f>Stock!P77*AF!O96*ACT2FLO!O73*AF!O62</f>
        <v>0.41471506708691475</v>
      </c>
      <c r="P125" s="657">
        <f>Stock!Q77*AF!P96*ACT2FLO!P73*AF!P62</f>
        <v>0.24809797215820162</v>
      </c>
      <c r="Q125" s="657">
        <f>Stock!R77*AF!Q96*ACT2FLO!Q73*AF!Q62</f>
        <v>0.24485353155559458</v>
      </c>
      <c r="R125" s="657">
        <f>Stock!S77*AF!R96*ACT2FLO!R73*AF!R62</f>
        <v>1.3729464407027969</v>
      </c>
      <c r="S125" s="657">
        <f>Stock!T77*AF!S96*ACT2FLO!S73*AF!S62</f>
        <v>0.36893664804774351</v>
      </c>
      <c r="T125" s="657">
        <f>Stock!U77*AF!T96*ACT2FLO!T73*AF!T62</f>
        <v>0.41359772002302531</v>
      </c>
      <c r="U125" s="657">
        <f>Stock!V77*AF!U96*ACT2FLO!U73*AF!U62</f>
        <v>0.32823812668312785</v>
      </c>
      <c r="V125" s="657">
        <f>Stock!W77*AF!V96*ACT2FLO!V73*AF!V62</f>
        <v>0.30018559566274472</v>
      </c>
      <c r="W125" s="657">
        <f>Stock!X77*AF!W96*ACT2FLO!W73*AF!W62</f>
        <v>0.50276535715318882</v>
      </c>
      <c r="X125" s="657">
        <f>Stock!Y77*AF!X96*ACT2FLO!X73*AF!X62</f>
        <v>7.1595419763476498E-2</v>
      </c>
      <c r="Y125" s="657">
        <f>Stock!Z77*AF!Y96*ACT2FLO!Y73*AF!Y62</f>
        <v>0.25806894255329127</v>
      </c>
      <c r="Z125" s="657">
        <f>Stock!AA77*AF!Z96*ACT2FLO!Z73*AF!Z62</f>
        <v>0.13137306834671686</v>
      </c>
      <c r="AA125" s="657">
        <f>Stock!AB77*AF!AA96*ACT2FLO!AA73*AF!AA62</f>
        <v>0.14262868945399812</v>
      </c>
      <c r="AB125" s="657">
        <f>Stock!AC77*AF!AB96*ACT2FLO!AB73*AF!AB62</f>
        <v>0.16855868893625911</v>
      </c>
      <c r="AC125" s="657">
        <f>Stock!AD77*AF!AC96*ACT2FLO!AC73*AF!AC62</f>
        <v>0.34186479870381087</v>
      </c>
      <c r="AD125" s="657">
        <f>Stock!AE77*AF!AD96*ACT2FLO!AD73*AF!AD62</f>
        <v>0.13125033427866109</v>
      </c>
    </row>
    <row r="126" spans="2:30">
      <c r="B126" s="458" t="str">
        <f t="shared" si="91"/>
        <v>T-GTR-ICE_DST00</v>
      </c>
      <c r="C126" s="458" t="s">
        <v>854</v>
      </c>
      <c r="D126" s="658">
        <f>Stock!E78*AF!D97*ACT2FLO!D74*AF!D63</f>
        <v>9.0838999999999989E-2</v>
      </c>
      <c r="E126" s="658">
        <f>Stock!F78*AF!E97*ACT2FLO!E74*AF!E63</f>
        <v>0</v>
      </c>
      <c r="F126" s="658">
        <f>Stock!G78*AF!F97*ACT2FLO!F74*AF!F63</f>
        <v>9.0838999999999989E-2</v>
      </c>
      <c r="G126" s="658">
        <f>Stock!H78*AF!G97*ACT2FLO!G74*AF!G63</f>
        <v>0</v>
      </c>
      <c r="H126" s="658">
        <f>Stock!I78*AF!H97*ACT2FLO!H74*AF!H63</f>
        <v>0</v>
      </c>
      <c r="I126" s="658">
        <f>Stock!J78*AF!I97*ACT2FLO!I74*AF!I63</f>
        <v>0</v>
      </c>
      <c r="J126" s="658">
        <f>Stock!K78*AF!J97*ACT2FLO!J74*AF!J63</f>
        <v>0</v>
      </c>
      <c r="K126" s="658">
        <f>Stock!L78*AF!K97*ACT2FLO!K74*AF!K63</f>
        <v>0</v>
      </c>
      <c r="L126" s="658">
        <f>Stock!M78*AF!L97*ACT2FLO!L74*AF!L63</f>
        <v>9.0838999999999989E-2</v>
      </c>
      <c r="M126" s="658">
        <f>Stock!N78*AF!M97*ACT2FLO!M74*AF!M63</f>
        <v>0</v>
      </c>
      <c r="N126" s="658">
        <f>Stock!O78*AF!N97*ACT2FLO!N74*AF!N63</f>
        <v>0</v>
      </c>
      <c r="O126" s="658">
        <f>Stock!P78*AF!O97*ACT2FLO!O74*AF!O63</f>
        <v>0</v>
      </c>
      <c r="P126" s="658">
        <f>Stock!Q78*AF!P97*ACT2FLO!P74*AF!P63</f>
        <v>0</v>
      </c>
      <c r="Q126" s="658">
        <f>Stock!R78*AF!Q97*ACT2FLO!Q74*AF!Q63</f>
        <v>0</v>
      </c>
      <c r="R126" s="658">
        <f>Stock!S78*AF!R97*ACT2FLO!R74*AF!R63</f>
        <v>0</v>
      </c>
      <c r="S126" s="658">
        <f>Stock!T78*AF!S97*ACT2FLO!S74*AF!S63</f>
        <v>0</v>
      </c>
      <c r="T126" s="658">
        <f>Stock!U78*AF!T97*ACT2FLO!T74*AF!T63</f>
        <v>0</v>
      </c>
      <c r="U126" s="658">
        <f>Stock!V78*AF!U97*ACT2FLO!U74*AF!U63</f>
        <v>0</v>
      </c>
      <c r="V126" s="658">
        <f>Stock!W78*AF!V97*ACT2FLO!V74*AF!V63</f>
        <v>9.0838999999999989E-2</v>
      </c>
      <c r="W126" s="658">
        <f>Stock!X78*AF!W97*ACT2FLO!W74*AF!W63</f>
        <v>0</v>
      </c>
      <c r="X126" s="658">
        <f>Stock!Y78*AF!X97*ACT2FLO!X74*AF!X63</f>
        <v>0</v>
      </c>
      <c r="Y126" s="658">
        <f>Stock!Z78*AF!Y97*ACT2FLO!Y74*AF!Y63</f>
        <v>9.0838999999999989E-2</v>
      </c>
      <c r="Z126" s="658">
        <f>Stock!AA78*AF!Z97*ACT2FLO!Z74*AF!Z63</f>
        <v>0</v>
      </c>
      <c r="AA126" s="658">
        <f>Stock!AB78*AF!AA97*ACT2FLO!AA74*AF!AA63</f>
        <v>0</v>
      </c>
      <c r="AB126" s="658">
        <f>Stock!AC78*AF!AB97*ACT2FLO!AB74*AF!AB63</f>
        <v>0</v>
      </c>
      <c r="AC126" s="658">
        <f>Stock!AD78*AF!AC97*ACT2FLO!AC74*AF!AC63</f>
        <v>0</v>
      </c>
      <c r="AD126" s="658">
        <f>Stock!AE78*AF!AD97*ACT2FLO!AD74*AF!AD63</f>
        <v>0</v>
      </c>
    </row>
    <row r="131" spans="2:31" ht="15.6">
      <c r="B131" s="401" t="s">
        <v>1141</v>
      </c>
      <c r="C131" s="714"/>
    </row>
    <row r="132" spans="2:31" ht="17.399999999999999">
      <c r="B132" s="716" t="s">
        <v>1122</v>
      </c>
      <c r="C132" s="716" t="s">
        <v>677</v>
      </c>
      <c r="D132" s="716" t="str">
        <f>D106</f>
        <v>IE</v>
      </c>
      <c r="E132" s="716" t="str">
        <f t="shared" ref="E132:AD132" si="92">E106</f>
        <v>IE-CW</v>
      </c>
      <c r="F132" s="716" t="str">
        <f t="shared" si="92"/>
        <v>IE-D</v>
      </c>
      <c r="G132" s="716" t="str">
        <f t="shared" si="92"/>
        <v>IE-KE</v>
      </c>
      <c r="H132" s="716" t="str">
        <f t="shared" si="92"/>
        <v>IE-KK</v>
      </c>
      <c r="I132" s="716" t="str">
        <f t="shared" si="92"/>
        <v>IE-LS</v>
      </c>
      <c r="J132" s="716" t="str">
        <f t="shared" si="92"/>
        <v>IE-LD</v>
      </c>
      <c r="K132" s="716" t="str">
        <f t="shared" si="92"/>
        <v>IE-LH</v>
      </c>
      <c r="L132" s="716" t="str">
        <f t="shared" si="92"/>
        <v>IE-MH</v>
      </c>
      <c r="M132" s="716" t="str">
        <f t="shared" si="92"/>
        <v>IE-OY</v>
      </c>
      <c r="N132" s="716" t="str">
        <f t="shared" si="92"/>
        <v>IE-WH</v>
      </c>
      <c r="O132" s="716" t="str">
        <f t="shared" si="92"/>
        <v>IE-WX</v>
      </c>
      <c r="P132" s="716" t="str">
        <f t="shared" si="92"/>
        <v>IE-WW</v>
      </c>
      <c r="Q132" s="716" t="str">
        <f t="shared" si="92"/>
        <v>IE-CE</v>
      </c>
      <c r="R132" s="716" t="str">
        <f t="shared" si="92"/>
        <v>IE-CO</v>
      </c>
      <c r="S132" s="716" t="str">
        <f t="shared" si="92"/>
        <v>IE-KY</v>
      </c>
      <c r="T132" s="716" t="str">
        <f t="shared" si="92"/>
        <v>IE-LK</v>
      </c>
      <c r="U132" s="716" t="str">
        <f t="shared" si="92"/>
        <v>IE-TA</v>
      </c>
      <c r="V132" s="716" t="str">
        <f t="shared" si="92"/>
        <v>IE-WD</v>
      </c>
      <c r="W132" s="716" t="str">
        <f t="shared" si="92"/>
        <v>IE-G</v>
      </c>
      <c r="X132" s="716" t="str">
        <f t="shared" si="92"/>
        <v>IE-LM</v>
      </c>
      <c r="Y132" s="716" t="str">
        <f t="shared" si="92"/>
        <v>IE-MO</v>
      </c>
      <c r="Z132" s="716" t="str">
        <f t="shared" si="92"/>
        <v>IE-RN</v>
      </c>
      <c r="AA132" s="716" t="str">
        <f t="shared" si="92"/>
        <v>IE-SO</v>
      </c>
      <c r="AB132" s="716" t="str">
        <f t="shared" si="92"/>
        <v>IE-CN</v>
      </c>
      <c r="AC132" s="716" t="str">
        <f t="shared" si="92"/>
        <v>IE-DL</v>
      </c>
      <c r="AD132" s="716" t="str">
        <f t="shared" si="92"/>
        <v>IE-MN</v>
      </c>
    </row>
    <row r="133" spans="2:31">
      <c r="B133" s="845" t="s">
        <v>1119</v>
      </c>
      <c r="C133" s="714" t="s">
        <v>671</v>
      </c>
      <c r="D133" s="813">
        <v>18812</v>
      </c>
      <c r="E133" s="813">
        <v>18327</v>
      </c>
      <c r="F133" s="813">
        <v>20874</v>
      </c>
      <c r="G133" s="813">
        <v>19721</v>
      </c>
      <c r="H133" s="813">
        <v>17550</v>
      </c>
      <c r="I133" s="813">
        <v>18496</v>
      </c>
      <c r="J133" s="813">
        <v>18161</v>
      </c>
      <c r="K133" s="813">
        <v>19163</v>
      </c>
      <c r="L133" s="813">
        <v>19238</v>
      </c>
      <c r="M133" s="813">
        <v>18565</v>
      </c>
      <c r="N133" s="813">
        <v>19338</v>
      </c>
      <c r="O133" s="813">
        <v>18918</v>
      </c>
      <c r="P133" s="813">
        <v>17802</v>
      </c>
      <c r="Q133" s="813">
        <v>18458</v>
      </c>
      <c r="R133" s="813">
        <v>17796</v>
      </c>
      <c r="S133" s="813">
        <v>17679</v>
      </c>
      <c r="T133" s="813">
        <v>18705</v>
      </c>
      <c r="U133" s="813">
        <v>17793</v>
      </c>
      <c r="V133" s="813">
        <v>17605</v>
      </c>
      <c r="W133" s="813">
        <v>18640</v>
      </c>
      <c r="X133" s="813">
        <v>18071</v>
      </c>
      <c r="Y133" s="813">
        <v>17930</v>
      </c>
      <c r="Z133" s="813">
        <v>18533</v>
      </c>
      <c r="AA133" s="813">
        <v>17813</v>
      </c>
      <c r="AB133" s="813">
        <v>17732</v>
      </c>
      <c r="AC133" s="813">
        <v>17350</v>
      </c>
      <c r="AD133" s="813">
        <v>17979</v>
      </c>
    </row>
    <row r="134" spans="2:31">
      <c r="B134" s="845"/>
      <c r="C134" s="714" t="s">
        <v>672</v>
      </c>
      <c r="D134" s="813">
        <v>22777</v>
      </c>
      <c r="E134" s="813">
        <v>22972</v>
      </c>
      <c r="F134" s="813">
        <v>23876</v>
      </c>
      <c r="G134" s="813">
        <v>23187</v>
      </c>
      <c r="H134" s="813">
        <v>22452</v>
      </c>
      <c r="I134" s="813">
        <v>22787</v>
      </c>
      <c r="J134" s="813">
        <v>22549</v>
      </c>
      <c r="K134" s="813">
        <v>22783</v>
      </c>
      <c r="L134" s="813">
        <v>24675</v>
      </c>
      <c r="M134" s="813">
        <v>21712</v>
      </c>
      <c r="N134" s="813">
        <v>21983</v>
      </c>
      <c r="O134" s="813">
        <v>22263</v>
      </c>
      <c r="P134" s="813">
        <v>22000</v>
      </c>
      <c r="Q134" s="813">
        <v>22177</v>
      </c>
      <c r="R134" s="813">
        <v>21597</v>
      </c>
      <c r="S134" s="813">
        <v>22368</v>
      </c>
      <c r="T134" s="813">
        <v>23609</v>
      </c>
      <c r="U134" s="813">
        <v>22098</v>
      </c>
      <c r="V134" s="813">
        <v>20010</v>
      </c>
      <c r="W134" s="813">
        <v>22072</v>
      </c>
      <c r="X134" s="813">
        <v>22910</v>
      </c>
      <c r="Y134" s="813">
        <v>22731</v>
      </c>
      <c r="Z134" s="813">
        <v>22898</v>
      </c>
      <c r="AA134" s="813">
        <v>21767</v>
      </c>
      <c r="AB134" s="813">
        <v>24188</v>
      </c>
      <c r="AC134" s="813">
        <v>21368</v>
      </c>
      <c r="AD134" s="813">
        <v>23757</v>
      </c>
    </row>
    <row r="135" spans="2:31">
      <c r="B135" s="845" t="s">
        <v>1120</v>
      </c>
      <c r="C135" s="714" t="s">
        <v>673</v>
      </c>
      <c r="D135" s="813">
        <v>24886</v>
      </c>
      <c r="E135" s="813">
        <v>26210</v>
      </c>
      <c r="F135" s="813">
        <v>29256</v>
      </c>
      <c r="G135" s="813">
        <v>17558</v>
      </c>
      <c r="H135" s="813">
        <v>19522</v>
      </c>
      <c r="I135" s="813">
        <v>21770</v>
      </c>
      <c r="J135" s="813">
        <v>20540</v>
      </c>
      <c r="K135" s="813">
        <v>23423</v>
      </c>
      <c r="L135" s="813">
        <v>22646</v>
      </c>
      <c r="M135" s="813">
        <v>16971</v>
      </c>
      <c r="N135" s="813">
        <v>20521</v>
      </c>
      <c r="O135" s="813">
        <v>25577</v>
      </c>
      <c r="P135" s="813">
        <v>21935</v>
      </c>
      <c r="Q135" s="813">
        <v>21810</v>
      </c>
      <c r="R135" s="813">
        <v>27526</v>
      </c>
      <c r="S135" s="813">
        <v>20496</v>
      </c>
      <c r="T135" s="813">
        <v>25046</v>
      </c>
      <c r="U135" s="813">
        <v>24342</v>
      </c>
      <c r="V135" s="813">
        <v>23562</v>
      </c>
      <c r="W135" s="813">
        <v>25393</v>
      </c>
      <c r="X135" s="813">
        <v>27179</v>
      </c>
      <c r="Y135" s="813">
        <v>20837</v>
      </c>
      <c r="Z135" s="813">
        <v>29842</v>
      </c>
      <c r="AA135" s="813">
        <v>15596</v>
      </c>
      <c r="AB135" s="813">
        <v>25082</v>
      </c>
      <c r="AC135" s="813">
        <v>21056</v>
      </c>
      <c r="AD135" s="813">
        <v>31334</v>
      </c>
    </row>
    <row r="136" spans="2:31">
      <c r="B136" s="845"/>
      <c r="C136" s="714" t="s">
        <v>674</v>
      </c>
      <c r="D136" s="813">
        <v>33909</v>
      </c>
      <c r="E136" s="813">
        <v>36135</v>
      </c>
      <c r="F136" s="813">
        <v>37356</v>
      </c>
      <c r="G136" s="813">
        <v>32526</v>
      </c>
      <c r="H136" s="813">
        <v>30053</v>
      </c>
      <c r="I136" s="813">
        <v>30410</v>
      </c>
      <c r="J136" s="813">
        <v>28673</v>
      </c>
      <c r="K136" s="813">
        <v>35555</v>
      </c>
      <c r="L136" s="813">
        <v>33548</v>
      </c>
      <c r="M136" s="813">
        <v>32090</v>
      </c>
      <c r="N136" s="813">
        <v>33034</v>
      </c>
      <c r="O136" s="813">
        <v>39121</v>
      </c>
      <c r="P136" s="813">
        <v>30965</v>
      </c>
      <c r="Q136" s="813">
        <v>29562</v>
      </c>
      <c r="R136" s="813">
        <v>31318</v>
      </c>
      <c r="S136" s="813">
        <v>32713</v>
      </c>
      <c r="T136" s="813">
        <v>35585</v>
      </c>
      <c r="U136" s="813">
        <v>29017</v>
      </c>
      <c r="V136" s="813">
        <v>28410</v>
      </c>
      <c r="W136" s="813">
        <v>32278</v>
      </c>
      <c r="X136" s="813">
        <v>25860</v>
      </c>
      <c r="Y136" s="813">
        <v>33906</v>
      </c>
      <c r="Z136" s="813">
        <v>38159</v>
      </c>
      <c r="AA136" s="813">
        <v>29685</v>
      </c>
      <c r="AB136" s="813">
        <v>36598</v>
      </c>
      <c r="AC136" s="813">
        <v>25343</v>
      </c>
      <c r="AD136" s="813">
        <v>32265</v>
      </c>
    </row>
    <row r="137" spans="2:31">
      <c r="B137" s="845" t="s">
        <v>1121</v>
      </c>
      <c r="C137" s="1" t="s">
        <v>675</v>
      </c>
      <c r="D137" s="814">
        <v>43778</v>
      </c>
      <c r="E137" s="814">
        <v>33395</v>
      </c>
      <c r="F137" s="814">
        <v>43605</v>
      </c>
      <c r="G137" s="814">
        <v>50666</v>
      </c>
      <c r="H137" s="814">
        <v>53428</v>
      </c>
      <c r="I137" s="814">
        <v>41522</v>
      </c>
      <c r="J137" s="814">
        <v>38587</v>
      </c>
      <c r="K137" s="814">
        <v>45110</v>
      </c>
      <c r="L137" s="814">
        <v>50321</v>
      </c>
      <c r="M137" s="814">
        <v>37139</v>
      </c>
      <c r="N137" s="814">
        <v>39912</v>
      </c>
      <c r="O137" s="814">
        <v>47642</v>
      </c>
      <c r="P137" s="814">
        <v>36894</v>
      </c>
      <c r="Q137" s="814">
        <v>39750</v>
      </c>
      <c r="R137" s="814">
        <v>45961</v>
      </c>
      <c r="S137" s="814">
        <v>39555</v>
      </c>
      <c r="T137" s="814">
        <v>47304</v>
      </c>
      <c r="U137" s="814">
        <v>34552</v>
      </c>
      <c r="V137" s="814">
        <v>38682</v>
      </c>
      <c r="W137" s="814">
        <v>34222</v>
      </c>
      <c r="X137" s="814">
        <v>42807</v>
      </c>
      <c r="Y137" s="814">
        <v>29929</v>
      </c>
      <c r="Z137" s="814">
        <v>39795</v>
      </c>
      <c r="AA137" s="814">
        <v>37003</v>
      </c>
      <c r="AB137" s="814">
        <v>53670</v>
      </c>
      <c r="AC137" s="814">
        <v>35221</v>
      </c>
      <c r="AD137" s="814">
        <v>47146</v>
      </c>
    </row>
    <row r="138" spans="2:31">
      <c r="B138" s="856"/>
      <c r="C138" s="458" t="s">
        <v>676</v>
      </c>
      <c r="D138" s="815">
        <v>58054</v>
      </c>
      <c r="E138" s="815">
        <v>64370</v>
      </c>
      <c r="F138" s="815">
        <v>55611</v>
      </c>
      <c r="G138" s="815">
        <v>58768</v>
      </c>
      <c r="H138" s="815">
        <v>65766</v>
      </c>
      <c r="I138" s="815">
        <v>63432</v>
      </c>
      <c r="J138" s="815">
        <v>64009</v>
      </c>
      <c r="K138" s="815">
        <v>58399</v>
      </c>
      <c r="L138" s="815">
        <v>50380</v>
      </c>
      <c r="M138" s="815">
        <v>61272</v>
      </c>
      <c r="N138" s="815">
        <v>56742</v>
      </c>
      <c r="O138" s="815">
        <v>65903</v>
      </c>
      <c r="P138" s="815">
        <v>60412</v>
      </c>
      <c r="Q138" s="815">
        <v>57594</v>
      </c>
      <c r="R138" s="815">
        <v>56573</v>
      </c>
      <c r="S138" s="815">
        <v>56417</v>
      </c>
      <c r="T138" s="815">
        <v>61445</v>
      </c>
      <c r="U138" s="815">
        <v>56429</v>
      </c>
      <c r="V138" s="815">
        <v>61495</v>
      </c>
      <c r="W138" s="815">
        <v>50837</v>
      </c>
      <c r="X138" s="815">
        <v>62233</v>
      </c>
      <c r="Y138" s="815">
        <v>44392</v>
      </c>
      <c r="Z138" s="815">
        <v>57483</v>
      </c>
      <c r="AA138" s="815">
        <v>56557</v>
      </c>
      <c r="AB138" s="815">
        <v>69665</v>
      </c>
      <c r="AC138" s="815">
        <v>59429</v>
      </c>
      <c r="AD138" s="815">
        <v>66998</v>
      </c>
    </row>
    <row r="139" spans="2:31">
      <c r="B139" s="714" t="s">
        <v>678</v>
      </c>
      <c r="C139" s="805"/>
    </row>
    <row r="142" spans="2:31">
      <c r="B142" s="714"/>
      <c r="C142" s="714"/>
      <c r="D142" s="714"/>
      <c r="E142" s="714"/>
      <c r="F142" s="714"/>
      <c r="G142" s="714"/>
      <c r="H142" s="714"/>
      <c r="I142" s="714"/>
      <c r="J142" s="714"/>
      <c r="K142" s="714"/>
      <c r="L142" s="714"/>
      <c r="M142" s="714"/>
      <c r="N142" s="714"/>
      <c r="O142" s="714"/>
      <c r="P142" s="714"/>
      <c r="Q142" s="714"/>
      <c r="R142" s="714"/>
      <c r="S142" s="714"/>
      <c r="T142" s="714"/>
      <c r="U142" s="714"/>
      <c r="V142" s="714"/>
      <c r="W142" s="714"/>
      <c r="X142" s="714"/>
      <c r="Y142" s="714"/>
      <c r="Z142" s="714"/>
      <c r="AA142" s="714"/>
      <c r="AB142" s="714"/>
      <c r="AC142" s="714"/>
      <c r="AD142" s="714"/>
      <c r="AE142" s="714"/>
    </row>
    <row r="143" spans="2:31">
      <c r="B143" s="714"/>
      <c r="C143" s="714"/>
      <c r="D143" s="714"/>
      <c r="E143" s="714"/>
      <c r="F143" s="714"/>
      <c r="G143" s="714"/>
      <c r="H143" s="714"/>
      <c r="I143" s="714"/>
      <c r="J143" s="714"/>
      <c r="K143" s="714"/>
      <c r="L143" s="714"/>
      <c r="M143" s="714"/>
      <c r="N143" s="714"/>
      <c r="O143" s="714"/>
      <c r="P143" s="714"/>
      <c r="Q143" s="714"/>
      <c r="R143" s="714"/>
      <c r="S143" s="714"/>
      <c r="T143" s="714"/>
      <c r="U143" s="714"/>
      <c r="V143" s="714"/>
      <c r="W143" s="714"/>
      <c r="X143" s="714"/>
      <c r="Y143" s="714"/>
      <c r="Z143" s="714"/>
      <c r="AA143" s="714"/>
      <c r="AB143" s="714"/>
      <c r="AC143" s="714"/>
      <c r="AD143" s="714"/>
      <c r="AE143" s="714"/>
    </row>
    <row r="144" spans="2:31">
      <c r="B144" s="714"/>
      <c r="C144" s="714"/>
      <c r="D144" s="714"/>
      <c r="E144" s="714"/>
      <c r="F144" s="714"/>
      <c r="G144" s="714"/>
      <c r="H144" s="714"/>
      <c r="I144" s="714"/>
      <c r="J144" s="714"/>
      <c r="K144" s="714"/>
      <c r="L144" s="714"/>
      <c r="M144" s="714"/>
      <c r="N144" s="714"/>
      <c r="O144" s="714"/>
      <c r="P144" s="714"/>
      <c r="Q144" s="714"/>
      <c r="R144" s="714"/>
      <c r="S144" s="714"/>
      <c r="T144" s="714"/>
      <c r="U144" s="714"/>
      <c r="V144" s="714"/>
      <c r="W144" s="714"/>
      <c r="X144" s="714"/>
      <c r="Y144" s="714"/>
      <c r="Z144" s="714"/>
      <c r="AA144" s="714"/>
      <c r="AB144" s="714"/>
      <c r="AC144" s="714"/>
      <c r="AD144" s="714"/>
      <c r="AE144" s="714"/>
    </row>
    <row r="145" spans="2:31">
      <c r="B145" s="714"/>
      <c r="C145" s="714"/>
      <c r="D145" s="714"/>
      <c r="E145" s="714"/>
      <c r="F145" s="714"/>
      <c r="G145" s="714"/>
      <c r="H145" s="714"/>
      <c r="I145" s="714"/>
      <c r="J145" s="714"/>
      <c r="K145" s="714"/>
      <c r="L145" s="714"/>
      <c r="M145" s="714"/>
      <c r="N145" s="714"/>
      <c r="O145" s="714"/>
      <c r="P145" s="714"/>
      <c r="Q145" s="714"/>
      <c r="R145" s="714"/>
      <c r="S145" s="714"/>
      <c r="T145" s="714"/>
      <c r="U145" s="714"/>
      <c r="V145" s="714"/>
      <c r="W145" s="714"/>
      <c r="X145" s="714"/>
      <c r="Y145" s="714"/>
      <c r="Z145" s="714"/>
      <c r="AA145" s="714"/>
      <c r="AB145" s="714"/>
      <c r="AC145" s="714"/>
      <c r="AD145" s="714"/>
      <c r="AE145" s="714"/>
    </row>
    <row r="146" spans="2:31">
      <c r="B146" s="714"/>
      <c r="C146" s="714"/>
      <c r="D146" s="714"/>
      <c r="E146" s="714"/>
      <c r="F146" s="714"/>
      <c r="G146" s="714"/>
      <c r="H146" s="714"/>
      <c r="I146" s="714"/>
      <c r="J146" s="714"/>
      <c r="K146" s="714"/>
      <c r="M146" s="714"/>
      <c r="N146" s="714"/>
      <c r="O146" s="714"/>
      <c r="P146" s="714"/>
      <c r="Q146" s="714"/>
      <c r="R146" s="714"/>
      <c r="S146" s="714"/>
      <c r="T146" s="714"/>
      <c r="U146" s="714"/>
      <c r="V146" s="714"/>
      <c r="W146" s="714"/>
      <c r="X146" s="714"/>
      <c r="Y146" s="714"/>
      <c r="Z146" s="714"/>
      <c r="AA146" s="714"/>
      <c r="AB146" s="714"/>
      <c r="AC146" s="714"/>
      <c r="AD146" s="714"/>
      <c r="AE146" s="714"/>
    </row>
    <row r="147" spans="2:31">
      <c r="B147" s="714"/>
      <c r="C147" s="714"/>
      <c r="D147" s="714"/>
      <c r="E147" s="714"/>
      <c r="F147" s="714"/>
      <c r="G147" s="714"/>
      <c r="H147" s="714"/>
      <c r="I147" s="714"/>
      <c r="J147" s="714"/>
      <c r="K147" s="714"/>
      <c r="L147" s="714"/>
      <c r="M147" s="714"/>
      <c r="N147" s="714"/>
      <c r="O147" s="714"/>
      <c r="P147" s="714"/>
      <c r="Q147" s="714"/>
      <c r="R147" s="714"/>
      <c r="S147" s="714"/>
      <c r="T147" s="714"/>
      <c r="U147" s="714"/>
      <c r="V147" s="714"/>
      <c r="W147" s="714"/>
      <c r="X147" s="714"/>
      <c r="Y147" s="714"/>
      <c r="Z147" s="714"/>
      <c r="AA147" s="714"/>
      <c r="AB147" s="714"/>
      <c r="AC147" s="714"/>
      <c r="AD147" s="714"/>
      <c r="AE147" s="714"/>
    </row>
    <row r="148" spans="2:31">
      <c r="B148" s="714"/>
      <c r="C148" s="714"/>
      <c r="D148" s="714"/>
      <c r="E148" s="714"/>
      <c r="F148" s="714"/>
      <c r="G148" s="714"/>
      <c r="H148" s="714"/>
      <c r="I148" s="714"/>
      <c r="J148" s="714"/>
      <c r="K148" s="714"/>
      <c r="L148" s="714"/>
      <c r="M148" s="714"/>
      <c r="N148" s="714"/>
      <c r="O148" s="714"/>
      <c r="P148" s="714"/>
      <c r="Q148" s="714"/>
      <c r="R148" s="714"/>
      <c r="S148" s="714"/>
      <c r="T148" s="714"/>
      <c r="U148" s="714"/>
      <c r="V148" s="714"/>
      <c r="W148" s="714"/>
      <c r="X148" s="714"/>
      <c r="Y148" s="714"/>
      <c r="Z148" s="714"/>
      <c r="AA148" s="714"/>
      <c r="AB148" s="714"/>
      <c r="AC148" s="714"/>
      <c r="AD148" s="714"/>
      <c r="AE148" s="714"/>
    </row>
    <row r="149" spans="2:31">
      <c r="B149" s="714"/>
      <c r="C149" s="714"/>
      <c r="D149" s="714"/>
      <c r="E149" s="714"/>
      <c r="F149" s="714"/>
      <c r="G149" s="714"/>
      <c r="H149" s="714"/>
      <c r="I149" s="714"/>
      <c r="J149" s="714"/>
      <c r="K149" s="714"/>
      <c r="L149" s="714"/>
      <c r="M149" s="714"/>
      <c r="N149" s="714"/>
      <c r="O149" s="714"/>
      <c r="P149" s="714"/>
      <c r="Q149" s="714"/>
      <c r="R149" s="714"/>
      <c r="S149" s="714"/>
      <c r="T149" s="714"/>
      <c r="U149" s="714"/>
      <c r="V149" s="714"/>
      <c r="W149" s="714"/>
      <c r="X149" s="714"/>
      <c r="Y149" s="714"/>
      <c r="Z149" s="714"/>
      <c r="AA149" s="714"/>
      <c r="AB149" s="714"/>
      <c r="AC149" s="714"/>
      <c r="AD149" s="714"/>
      <c r="AE149" s="714"/>
    </row>
    <row r="150" spans="2:31">
      <c r="B150" s="714"/>
      <c r="C150" s="714"/>
      <c r="D150" s="714"/>
      <c r="E150" s="714"/>
      <c r="F150" s="714"/>
      <c r="G150" s="714"/>
      <c r="H150" s="714"/>
      <c r="I150" s="714"/>
      <c r="J150" s="714"/>
      <c r="K150" s="714"/>
      <c r="L150" s="714"/>
      <c r="M150" s="714"/>
      <c r="N150" s="714"/>
      <c r="O150" s="714"/>
      <c r="P150" s="714"/>
      <c r="Q150" s="714"/>
      <c r="R150" s="714"/>
      <c r="S150" s="714"/>
      <c r="T150" s="714"/>
      <c r="U150" s="714"/>
      <c r="V150" s="714"/>
      <c r="W150" s="714"/>
      <c r="X150" s="714"/>
      <c r="Y150" s="714"/>
      <c r="Z150" s="714"/>
      <c r="AA150" s="714"/>
      <c r="AB150" s="714"/>
      <c r="AC150" s="714"/>
      <c r="AD150" s="714"/>
      <c r="AE150" s="714"/>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4"/>
  </cols>
  <sheetData>
    <row r="3" spans="2:15">
      <c r="B3" s="728" t="s">
        <v>1117</v>
      </c>
      <c r="C3" s="29"/>
      <c r="D3" s="29"/>
      <c r="E3" s="29"/>
      <c r="F3" s="29"/>
      <c r="G3" s="29"/>
      <c r="H3" s="29"/>
      <c r="I3" s="29"/>
      <c r="J3" s="29"/>
      <c r="K3" s="29"/>
      <c r="L3" s="29"/>
      <c r="M3" s="29"/>
      <c r="N3" s="29"/>
      <c r="O3" s="29"/>
    </row>
    <row r="4" spans="2:15" ht="15" thickBot="1">
      <c r="B4" s="41" t="s">
        <v>62</v>
      </c>
      <c r="C4" s="729" t="str">
        <f>Commodities!B8</f>
        <v>TRAGSL</v>
      </c>
      <c r="D4" s="729" t="str">
        <f>Commodities!B9</f>
        <v>TRADST</v>
      </c>
      <c r="E4" s="729" t="str">
        <f>Commodities!B10</f>
        <v>TRAETH</v>
      </c>
      <c r="F4" s="729" t="str">
        <f>Commodities!B11</f>
        <v>TRABDL</v>
      </c>
      <c r="G4" s="729" t="str">
        <f>Commodities!B12</f>
        <v>TRACNG</v>
      </c>
      <c r="H4" s="729" t="str">
        <f>Commodities!B13</f>
        <v>TRABNG</v>
      </c>
      <c r="I4" s="729" t="str">
        <f>Commodities!B14</f>
        <v>TRAELC</v>
      </c>
      <c r="J4" s="729" t="str">
        <f>Commodities!B15</f>
        <v>TRALNG</v>
      </c>
      <c r="K4" s="729" t="str">
        <f>Commodities!B16</f>
        <v>TRAHYD</v>
      </c>
      <c r="L4" s="729" t="str">
        <f>Commodities!B17</f>
        <v>TRAKER</v>
      </c>
      <c r="M4" s="729" t="str">
        <f>Commodities!B20</f>
        <v>TRAE85</v>
      </c>
      <c r="N4" s="729" t="str">
        <f>Commodities!B21</f>
        <v>TRANGB</v>
      </c>
      <c r="O4" s="729" t="s">
        <v>96</v>
      </c>
    </row>
    <row r="5" spans="2:15">
      <c r="B5" s="29" t="str">
        <f>[1]Commodities!C33</f>
        <v>Carbon Dioxide - Combustion (TRA)</v>
      </c>
      <c r="C5" s="801">
        <v>69.3</v>
      </c>
      <c r="D5" s="802">
        <v>74.099999999999994</v>
      </c>
      <c r="E5" s="803"/>
      <c r="F5" s="803"/>
      <c r="G5" s="803">
        <v>56.1</v>
      </c>
      <c r="H5" s="803"/>
      <c r="I5" s="803"/>
      <c r="J5" s="803">
        <v>56.1</v>
      </c>
      <c r="K5" s="803"/>
      <c r="L5" s="803">
        <v>71.900000000000006</v>
      </c>
      <c r="M5" s="803"/>
      <c r="N5" s="803"/>
      <c r="O5" s="803" t="s">
        <v>1118</v>
      </c>
    </row>
    <row r="6" spans="2:15">
      <c r="B6" s="29" t="str">
        <f>[1]Commodities!C34</f>
        <v>Methane (TRA)</v>
      </c>
      <c r="C6" s="803"/>
      <c r="D6" s="803"/>
      <c r="E6" s="29"/>
      <c r="F6" s="29"/>
      <c r="G6" s="803"/>
      <c r="H6" s="803"/>
      <c r="I6" s="803"/>
      <c r="J6" s="803"/>
      <c r="K6" s="803"/>
      <c r="L6" s="803"/>
      <c r="M6" s="803"/>
      <c r="N6" s="803"/>
      <c r="O6" s="803" t="s">
        <v>1118</v>
      </c>
    </row>
    <row r="7" spans="2:15">
      <c r="B7" s="29" t="str">
        <f>[1]Commodities!C35</f>
        <v>Sulphur Oxides (TRA)</v>
      </c>
      <c r="C7" s="803"/>
      <c r="D7" s="803"/>
      <c r="E7" s="29"/>
      <c r="F7" s="29"/>
      <c r="G7" s="803"/>
      <c r="H7" s="803"/>
      <c r="I7" s="803"/>
      <c r="J7" s="803"/>
      <c r="K7" s="803"/>
      <c r="L7" s="803"/>
      <c r="M7" s="803"/>
      <c r="N7" s="803"/>
      <c r="O7" s="803" t="s">
        <v>1118</v>
      </c>
    </row>
    <row r="8" spans="2:15">
      <c r="B8" s="29" t="str">
        <f>[1]Commodities!C36</f>
        <v>Nitrogen Oxide (TRA)</v>
      </c>
      <c r="C8" s="803"/>
      <c r="D8" s="803"/>
      <c r="E8" s="29"/>
      <c r="F8" s="29"/>
      <c r="G8" s="803"/>
      <c r="H8" s="803"/>
      <c r="I8" s="803"/>
      <c r="J8" s="803"/>
      <c r="K8" s="803"/>
      <c r="L8" s="803"/>
      <c r="M8" s="803"/>
      <c r="N8" s="803"/>
      <c r="O8" s="803" t="s">
        <v>1118</v>
      </c>
    </row>
    <row r="9" spans="2:15">
      <c r="B9" s="56" t="s">
        <v>110</v>
      </c>
      <c r="C9" s="29"/>
      <c r="D9" s="29"/>
      <c r="E9" s="29"/>
      <c r="F9" s="29"/>
      <c r="G9" s="29"/>
      <c r="H9" s="29"/>
      <c r="I9" s="29"/>
      <c r="J9" s="29"/>
      <c r="K9" s="29"/>
      <c r="L9" s="29"/>
      <c r="M9" s="29"/>
      <c r="N9" s="29"/>
      <c r="O9" s="803" t="s">
        <v>1118</v>
      </c>
    </row>
    <row r="10" spans="2:15">
      <c r="B10" s="56" t="s">
        <v>111</v>
      </c>
      <c r="C10" s="29"/>
      <c r="D10" s="29"/>
      <c r="E10" s="29"/>
      <c r="F10" s="29"/>
      <c r="G10" s="29"/>
      <c r="H10" s="29"/>
      <c r="I10" s="29"/>
      <c r="J10" s="29"/>
      <c r="K10" s="29"/>
      <c r="L10" s="29"/>
      <c r="M10" s="29"/>
      <c r="N10" s="29"/>
      <c r="O10" s="803" t="s">
        <v>1118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On-Road Fac.</vt:lpstr>
      <vt:lpstr>ACT2FLO</vt:lpstr>
      <vt:lpstr>Efficiency</vt:lpstr>
      <vt:lpstr>AF</vt:lpstr>
      <vt:lpstr>Emissions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2020-12-16T15:58:37Z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297985255718231</vt:r8>
  </property>
</Properties>
</file>