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RA_VA5\SuppXLS\"/>
    </mc:Choice>
  </mc:AlternateContent>
  <xr:revisionPtr revIDLastSave="0" documentId="13_ncr:1_{28953B98-8B59-4B4F-8281-B2B100E79E0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gions" sheetId="15" r:id="rId1"/>
    <sheet name="Hurdle Rates" sheetId="16" r:id="rId2"/>
    <sheet name="INS" sheetId="2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6" i="16" l="1"/>
  <c r="G45" i="16" s="1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45" i="16"/>
  <c r="B73" i="16"/>
  <c r="B74" i="16"/>
  <c r="B72" i="16"/>
  <c r="D49" i="16"/>
  <c r="D48" i="16"/>
  <c r="D45" i="16" s="1"/>
  <c r="D47" i="16"/>
  <c r="D46" i="16"/>
  <c r="B48" i="16"/>
  <c r="B47" i="16"/>
  <c r="K19" i="16"/>
  <c r="J19" i="16"/>
  <c r="L24" i="16"/>
  <c r="L25" i="16"/>
  <c r="L23" i="16"/>
  <c r="K26" i="16"/>
  <c r="K24" i="16"/>
  <c r="K25" i="16"/>
  <c r="K23" i="16"/>
  <c r="J24" i="16"/>
  <c r="J25" i="16"/>
  <c r="J23" i="16"/>
  <c r="K21" i="16"/>
  <c r="L19" i="16" s="1"/>
  <c r="K20" i="16"/>
  <c r="J20" i="16"/>
  <c r="C39" i="16"/>
  <c r="D39" i="16"/>
  <c r="E39" i="16"/>
  <c r="B39" i="16"/>
  <c r="D66" i="16"/>
  <c r="D67" i="16"/>
  <c r="D68" i="16"/>
  <c r="D69" i="16"/>
  <c r="D70" i="16"/>
  <c r="D71" i="16"/>
  <c r="D65" i="16"/>
  <c r="D64" i="16"/>
  <c r="D61" i="16"/>
  <c r="D62" i="16"/>
  <c r="D63" i="16"/>
  <c r="D60" i="16"/>
  <c r="D59" i="16"/>
  <c r="D50" i="16"/>
  <c r="D51" i="16"/>
  <c r="D52" i="16"/>
  <c r="D53" i="16"/>
  <c r="D54" i="16"/>
  <c r="D55" i="16"/>
  <c r="D56" i="16"/>
  <c r="D57" i="16"/>
  <c r="D58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4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8" i="16"/>
  <c r="B57" i="16"/>
  <c r="B56" i="16"/>
  <c r="B55" i="16"/>
  <c r="B54" i="16"/>
  <c r="B53" i="16"/>
  <c r="B52" i="16"/>
  <c r="B51" i="16"/>
  <c r="B50" i="16"/>
  <c r="B49" i="16"/>
  <c r="B46" i="16"/>
  <c r="B45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E5" i="16"/>
  <c r="E6" i="16" s="1"/>
  <c r="E7" i="16" s="1"/>
  <c r="E8" i="16" s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D5" i="16"/>
  <c r="F5" i="16" s="1"/>
  <c r="D4" i="16"/>
  <c r="F4" i="16" s="1"/>
  <c r="L20" i="16" l="1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B75" i="16"/>
  <c r="E6" i="2"/>
  <c r="G54" i="16"/>
  <c r="H61" i="16"/>
  <c r="G62" i="16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AB6" i="2" l="1"/>
  <c r="I68" i="16"/>
  <c r="J68" i="16"/>
  <c r="K68" i="16"/>
  <c r="H68" i="16"/>
  <c r="T6" i="2"/>
  <c r="H60" i="16"/>
  <c r="G60" i="16"/>
  <c r="I60" i="16"/>
  <c r="J60" i="16"/>
  <c r="K60" i="16"/>
  <c r="L6" i="2"/>
  <c r="H52" i="16"/>
  <c r="K52" i="16"/>
  <c r="I52" i="16"/>
  <c r="G52" i="16"/>
  <c r="J52" i="16"/>
  <c r="AA6" i="2"/>
  <c r="H67" i="16"/>
  <c r="K67" i="16"/>
  <c r="I67" i="16"/>
  <c r="J67" i="16"/>
  <c r="S6" i="2"/>
  <c r="K59" i="16"/>
  <c r="G59" i="16"/>
  <c r="J59" i="16"/>
  <c r="I59" i="16"/>
  <c r="H59" i="16"/>
  <c r="K6" i="2"/>
  <c r="H51" i="16"/>
  <c r="I51" i="16"/>
  <c r="J51" i="16"/>
  <c r="K51" i="16"/>
  <c r="Z6" i="2"/>
  <c r="I66" i="16"/>
  <c r="H66" i="16"/>
  <c r="J66" i="16"/>
  <c r="G66" i="16"/>
  <c r="K66" i="16"/>
  <c r="R6" i="2"/>
  <c r="G58" i="16"/>
  <c r="I58" i="16"/>
  <c r="J58" i="16"/>
  <c r="K58" i="16"/>
  <c r="J6" i="2"/>
  <c r="G50" i="16"/>
  <c r="I50" i="16"/>
  <c r="K50" i="16"/>
  <c r="J50" i="16"/>
  <c r="H50" i="16"/>
  <c r="Y6" i="2"/>
  <c r="K65" i="16"/>
  <c r="H65" i="16"/>
  <c r="G65" i="16"/>
  <c r="I65" i="16"/>
  <c r="J65" i="16"/>
  <c r="Q6" i="2"/>
  <c r="H57" i="16"/>
  <c r="G57" i="16"/>
  <c r="I57" i="16"/>
  <c r="J57" i="16"/>
  <c r="K57" i="16"/>
  <c r="I6" i="2"/>
  <c r="I49" i="16"/>
  <c r="H49" i="16"/>
  <c r="J49" i="16"/>
  <c r="G49" i="16"/>
  <c r="K49" i="16"/>
  <c r="H58" i="16"/>
  <c r="X6" i="2"/>
  <c r="I64" i="16"/>
  <c r="J64" i="16"/>
  <c r="K64" i="16"/>
  <c r="G64" i="16"/>
  <c r="H64" i="16"/>
  <c r="P6" i="2"/>
  <c r="G56" i="16"/>
  <c r="K56" i="16"/>
  <c r="H56" i="16"/>
  <c r="I56" i="16"/>
  <c r="J56" i="16"/>
  <c r="G51" i="16"/>
  <c r="AE6" i="2"/>
  <c r="G71" i="16"/>
  <c r="K71" i="16"/>
  <c r="I71" i="16"/>
  <c r="H71" i="16"/>
  <c r="J71" i="16"/>
  <c r="W6" i="2"/>
  <c r="J63" i="16"/>
  <c r="H63" i="16"/>
  <c r="I63" i="16"/>
  <c r="K63" i="16"/>
  <c r="O6" i="2"/>
  <c r="H55" i="16"/>
  <c r="I55" i="16"/>
  <c r="J55" i="16"/>
  <c r="K55" i="16"/>
  <c r="G55" i="16"/>
  <c r="F6" i="2"/>
  <c r="J46" i="16"/>
  <c r="I46" i="16"/>
  <c r="K46" i="16"/>
  <c r="H46" i="16"/>
  <c r="G67" i="16"/>
  <c r="V6" i="2"/>
  <c r="H62" i="16"/>
  <c r="I62" i="16"/>
  <c r="J62" i="16"/>
  <c r="K62" i="16"/>
  <c r="N6" i="2"/>
  <c r="K54" i="16"/>
  <c r="H54" i="16"/>
  <c r="I54" i="16"/>
  <c r="J54" i="16"/>
  <c r="AD6" i="2"/>
  <c r="I70" i="16"/>
  <c r="G70" i="16"/>
  <c r="J70" i="16"/>
  <c r="K70" i="16"/>
  <c r="H70" i="16"/>
  <c r="AC6" i="2"/>
  <c r="I69" i="16"/>
  <c r="H69" i="16"/>
  <c r="K69" i="16"/>
  <c r="J69" i="16"/>
  <c r="G69" i="16"/>
  <c r="U6" i="2"/>
  <c r="G61" i="16"/>
  <c r="I61" i="16"/>
  <c r="J61" i="16"/>
  <c r="K61" i="16"/>
  <c r="M6" i="2"/>
  <c r="H53" i="16"/>
  <c r="I53" i="16"/>
  <c r="J53" i="16"/>
  <c r="K53" i="16"/>
  <c r="G53" i="16"/>
  <c r="G63" i="16"/>
  <c r="G68" i="16"/>
  <c r="K48" i="16"/>
  <c r="G6" i="2"/>
  <c r="K47" i="16"/>
  <c r="H47" i="16"/>
  <c r="G47" i="16"/>
  <c r="I47" i="16"/>
  <c r="J47" i="16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48" i="16" l="1"/>
  <c r="H45" i="16" s="1"/>
  <c r="H6" i="2"/>
  <c r="J48" i="16"/>
  <c r="J45" i="16" s="1"/>
  <c r="I48" i="16"/>
  <c r="I45" i="16" s="1"/>
  <c r="K45" i="16"/>
  <c r="G48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18C8E724-9833-4F1F-895A-EBA74A3E3FB9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<sst xmlns="http://schemas.openxmlformats.org/spreadsheetml/2006/main" count="176" uniqueCount="117">
  <si>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</si>
  <si>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</si>
  <si>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</si>
  <si>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</si>
  <si>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</si>
  <si>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</si>
  <si>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</si>
  <si>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</si>
  <si>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</si>
  <si>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</si>
  <si>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</si>
  <si>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</si>
  <si>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</si>
  <si>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</si>
  <si>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</si>
  <si>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</si>
  <si>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</si>
  <si>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</si>
  <si>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</si>
  <si>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</si>
  <si>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</si>
  <si>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</si>
  <si>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</si>
  <si>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</si>
  <si>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</si>
  <si>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</si>
  <si>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</si>
  <si>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</si>
  <si>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</si>
  <si>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</si>
  <si>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</si>
  <si>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</si>
  <si>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</si>
  <si>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</si>
  <si>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</si>
  <si>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</si>
  <si>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</si>
  <si>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</si>
  <si>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</si>
  <si>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</si>
  <si>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</si>
  <si>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</si>
  <si>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</si>
  <si>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</si>
  <si>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</si>
  <si>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</si>
  <si>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</si>
  <si>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</si>
  <si>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</si>
  <si>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</si>
  <si>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</si>
  <si>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</si>
  <si>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</si>
  <si>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</si>
  <si>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</si>
  <si>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</si>
  <si>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</si>
  <si>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</si>
  <si>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</si>
  <si>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</si>
  <si>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Table 1.1: Household median gross income by county, 2016</t>
  </si>
  <si>
    <t> </t>
  </si>
  <si>
    <t>County</t>
  </si>
  <si>
    <t>Household median gross income (€)</t>
  </si>
  <si>
    <t>Average household size</t>
  </si>
  <si>
    <t>Average individual income (€)</t>
  </si>
  <si>
    <t>Euro Dollar Exchange Rate</t>
  </si>
  <si>
    <t>Average individual income ($)</t>
  </si>
  <si>
    <t>State</t>
  </si>
  <si>
    <t>Dublin City</t>
  </si>
  <si>
    <t>South Dublin</t>
  </si>
  <si>
    <t>Fingal</t>
  </si>
  <si>
    <t>Dún Laoghaire-Rathdown</t>
  </si>
  <si>
    <t>Cork City</t>
  </si>
  <si>
    <t>Cork County</t>
  </si>
  <si>
    <t>Galway City</t>
  </si>
  <si>
    <t>Galway County</t>
  </si>
  <si>
    <t>Dún Laoghaire</t>
  </si>
  <si>
    <t xml:space="preserve">Galway City </t>
  </si>
  <si>
    <t>Population (2016)</t>
  </si>
  <si>
    <t>Min</t>
  </si>
  <si>
    <t>Max</t>
  </si>
  <si>
    <t>Average</t>
  </si>
  <si>
    <t>High income</t>
  </si>
  <si>
    <t>High-Medium income</t>
  </si>
  <si>
    <t>Medium income</t>
  </si>
  <si>
    <t>Low income</t>
  </si>
  <si>
    <t>Technology-specific hurdle rates for private cars</t>
  </si>
  <si>
    <t>~TFM_INS</t>
  </si>
  <si>
    <t>TimeSlice</t>
  </si>
  <si>
    <t>Attribute</t>
  </si>
  <si>
    <t>Pset_Set</t>
  </si>
  <si>
    <t>Pset_PN</t>
  </si>
  <si>
    <t>Pset_PD</t>
  </si>
  <si>
    <t>NCAP_DRATE</t>
  </si>
  <si>
    <t>T-CAR*</t>
  </si>
  <si>
    <t>*New</t>
  </si>
  <si>
    <t>Discount rate</t>
  </si>
  <si>
    <t>Income range</t>
  </si>
  <si>
    <t>Consumer groups</t>
  </si>
  <si>
    <t>Medium-low income</t>
  </si>
  <si>
    <t>ILLUSTRATION OF DEPENDENCE OF INDIVIDUAL DISCOUNT RATES ON INCOME</t>
  </si>
  <si>
    <r>
      <rPr>
        <b/>
        <sz val="11"/>
        <color theme="1"/>
        <rFont val="Calibri"/>
        <family val="2"/>
        <scheme val="minor"/>
      </rPr>
      <t>Reference:</t>
    </r>
    <r>
      <rPr>
        <sz val="11"/>
        <color theme="1"/>
        <rFont val="Calibri"/>
        <family val="2"/>
        <scheme val="minor"/>
      </rPr>
      <t xml:space="preserve"> Capros P, De Vita A, Tasios N, Siskos P, Kannavou M, Petropoulos A, Evangelopoulou S, Zampara M, Papadopoulos D, Nakos C, Paroussos L. EU Reference Scenario 2016-Energy, transport and GHG emissions Trends to 2050.</t>
    </r>
  </si>
  <si>
    <t>Discount rate (5 groups)</t>
  </si>
  <si>
    <t>National (median)</t>
  </si>
  <si>
    <t>Population</t>
  </si>
  <si>
    <t>Population (share)</t>
  </si>
  <si>
    <t>Frequencies</t>
  </si>
  <si>
    <t>Year</t>
  </si>
  <si>
    <t>Share</t>
  </si>
  <si>
    <t>Kildare+Finegal+Dun</t>
  </si>
  <si>
    <t>Dublin city+South Dublin</t>
  </si>
  <si>
    <t>&gt;58,000</t>
  </si>
  <si>
    <t>52,000-58,000</t>
  </si>
  <si>
    <t>&lt;41,809</t>
  </si>
  <si>
    <t>45,256-52,000</t>
  </si>
  <si>
    <t>41,809-45,226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</si>
</sst>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"/>
    <numFmt numFmtId="165" formatCode="0.00000"/>
    <numFmt numFmtId="166" formatCode="_-* #,##0_-;\-* #,##0_-;_-* &quot;-&quot;??_-;_-@_-"/>
    <numFmt numFmtId="167" formatCode="0.0%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8"/>
      <color rgb="FF000000"/>
      <name val="Arial"/>
      <family val="2"/>
    </font>
    <font>
      <b/>
      <i/>
      <sz val="8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202122"/>
      <name val="Arial"/>
      <charset val="1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rgb="FF202122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AECF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4">
    <xf numFmtId="0" fontId="0" fillId="0" borderId="0"/>
    <xf numFmtId="9" fontId="11" fillId="0" borderId="0" applyFont="0" applyFill="0" applyBorder="0" applyAlignment="0" applyProtection="0"/>
    <xf numFmtId="0" fontId="14" fillId="0" borderId="0" applyBorder="0"/>
    <xf numFmtId="43" fontId="11" fillId="0" borderId="0" applyFont="0" applyFill="0" applyBorder="0" applyAlignment="0" applyProtection="0"/>
  </cellStyleXfs>
  <cellXfs count="5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 applyProtection="1">
      <alignment horizontal="left" vertical="center"/>
      <protection locked="0"/>
    </xf>
    <xf numFmtId="0" fontId="5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6" fillId="0" borderId="0" xfId="0" applyFont="1"/>
    <xf numFmtId="9" fontId="0" fillId="0" borderId="0" xfId="0" applyNumberFormat="1"/>
    <xf numFmtId="0" fontId="7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Alignment="1">
      <alignment wrapText="1"/>
    </xf>
    <xf numFmtId="3" fontId="7" fillId="0" borderId="0" xfId="0" applyNumberFormat="1" applyFont="1" applyAlignment="1">
      <alignment wrapText="1"/>
    </xf>
    <xf numFmtId="164" fontId="7" fillId="0" borderId="0" xfId="0" applyNumberFormat="1" applyFont="1" applyAlignment="1">
      <alignment wrapText="1"/>
    </xf>
    <xf numFmtId="4" fontId="7" fillId="0" borderId="0" xfId="0" applyNumberFormat="1" applyFont="1" applyAlignment="1">
      <alignment wrapText="1"/>
    </xf>
    <xf numFmtId="1" fontId="0" fillId="0" borderId="0" xfId="0" applyNumberFormat="1"/>
    <xf numFmtId="0" fontId="9" fillId="0" borderId="0" xfId="0" applyFont="1" applyAlignment="1">
      <alignment wrapText="1"/>
    </xf>
    <xf numFmtId="3" fontId="9" fillId="0" borderId="0" xfId="0" applyNumberFormat="1" applyFont="1" applyAlignment="1">
      <alignment wrapText="1"/>
    </xf>
    <xf numFmtId="164" fontId="9" fillId="0" borderId="0" xfId="0" applyNumberFormat="1" applyFont="1" applyAlignment="1">
      <alignment wrapText="1"/>
    </xf>
    <xf numFmtId="4" fontId="9" fillId="0" borderId="0" xfId="0" applyNumberFormat="1" applyFont="1" applyAlignment="1">
      <alignment wrapText="1"/>
    </xf>
    <xf numFmtId="0" fontId="9" fillId="0" borderId="2" xfId="0" applyFont="1" applyBorder="1" applyAlignment="1">
      <alignment wrapText="1"/>
    </xf>
    <xf numFmtId="3" fontId="9" fillId="0" borderId="2" xfId="0" applyNumberFormat="1" applyFont="1" applyBorder="1" applyAlignment="1">
      <alignment wrapText="1"/>
    </xf>
    <xf numFmtId="164" fontId="9" fillId="0" borderId="2" xfId="0" applyNumberFormat="1" applyFont="1" applyBorder="1" applyAlignment="1">
      <alignment wrapText="1"/>
    </xf>
    <xf numFmtId="3" fontId="9" fillId="0" borderId="7" xfId="0" applyNumberFormat="1" applyFont="1" applyBorder="1" applyAlignment="1">
      <alignment wrapText="1"/>
    </xf>
    <xf numFmtId="4" fontId="9" fillId="0" borderId="7" xfId="0" applyNumberFormat="1" applyFont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10" fillId="7" borderId="8" xfId="0" applyFont="1" applyFill="1" applyBorder="1" applyAlignment="1">
      <alignment wrapText="1"/>
    </xf>
    <xf numFmtId="3" fontId="9" fillId="0" borderId="7" xfId="0" applyNumberFormat="1" applyFont="1" applyBorder="1" applyAlignment="1">
      <alignment horizontal="center" vertical="center" wrapText="1"/>
    </xf>
    <xf numFmtId="165" fontId="0" fillId="0" borderId="0" xfId="0" applyNumberFormat="1"/>
    <xf numFmtId="0" fontId="9" fillId="0" borderId="7" xfId="0" applyFont="1" applyBorder="1" applyAlignment="1">
      <alignment wrapText="1"/>
    </xf>
    <xf numFmtId="9" fontId="12" fillId="0" borderId="0" xfId="0" applyNumberFormat="1" applyFont="1"/>
    <xf numFmtId="9" fontId="12" fillId="0" borderId="2" xfId="0" applyNumberFormat="1" applyFont="1" applyBorder="1"/>
    <xf numFmtId="0" fontId="13" fillId="7" borderId="8" xfId="0" applyFont="1" applyFill="1" applyBorder="1" applyAlignment="1">
      <alignment wrapText="1"/>
    </xf>
    <xf numFmtId="3" fontId="9" fillId="0" borderId="0" xfId="0" applyNumberFormat="1" applyFont="1" applyBorder="1" applyAlignment="1">
      <alignment wrapText="1"/>
    </xf>
    <xf numFmtId="9" fontId="0" fillId="0" borderId="0" xfId="1" applyFont="1"/>
    <xf numFmtId="9" fontId="0" fillId="0" borderId="2" xfId="1" applyFont="1" applyBorder="1"/>
    <xf numFmtId="9" fontId="12" fillId="0" borderId="0" xfId="1" applyFont="1"/>
    <xf numFmtId="9" fontId="12" fillId="0" borderId="2" xfId="1" applyFont="1" applyBorder="1"/>
    <xf numFmtId="9" fontId="0" fillId="0" borderId="2" xfId="0" applyNumberFormat="1" applyBorder="1"/>
    <xf numFmtId="2" fontId="0" fillId="0" borderId="0" xfId="0" applyNumberFormat="1"/>
    <xf numFmtId="166" fontId="0" fillId="0" borderId="0" xfId="3" applyNumberFormat="1" applyFont="1"/>
    <xf numFmtId="167" fontId="0" fillId="0" borderId="0" xfId="1" applyNumberFormat="1" applyFont="1"/>
    <xf numFmtId="0" fontId="7" fillId="0" borderId="0" xfId="0" applyFont="1" applyAlignment="1">
      <alignment wrapText="1"/>
    </xf>
  </cellXfs>
  <cellStyles count="4">
    <cellStyle name="Comma" xfId="3" builtinId="3"/>
    <cellStyle name="Normal" xfId="0" builtinId="0"/>
    <cellStyle name="Normal 2" xfId="2" xr:uid="{D5919A00-7A71-458F-8105-A63E1BB7E967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'Hurdle Rates'!$F$45</c:f>
              <c:strCache>
                <c:ptCount val="1"/>
                <c:pt idx="0">
                  <c:v>Frequencies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'Hurdle Rates'!$G$44:$K$44</c:f>
              <c:numCache>
                <c:formatCode>0%</c:formatCode>
                <c:ptCount val="5"/>
                <c:pt idx="0">
                  <c:v>0.39</c:v>
                </c:pt>
                <c:pt idx="1">
                  <c:v>0.27</c:v>
                </c:pt>
                <c:pt idx="2">
                  <c:v>0.17</c:v>
                </c:pt>
                <c:pt idx="3">
                  <c:v>0.09</c:v>
                </c:pt>
                <c:pt idx="4">
                  <c:v>0.05</c:v>
                </c:pt>
              </c:numCache>
            </c:numRef>
          </c:cat>
          <c:val>
            <c:numRef>
              <c:f>'Hurdle Rates'!$G$45:$K$45</c:f>
              <c:numCache>
                <c:formatCode>0%</c:formatCode>
                <c:ptCount val="5"/>
                <c:pt idx="0">
                  <c:v>0.30811289274265435</c:v>
                </c:pt>
                <c:pt idx="1">
                  <c:v>0.17734081079577013</c:v>
                </c:pt>
                <c:pt idx="2">
                  <c:v>0.31891160291188431</c:v>
                </c:pt>
                <c:pt idx="3">
                  <c:v>4.0959582012509807E-2</c:v>
                </c:pt>
                <c:pt idx="4">
                  <c:v>0.15467511153718133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8-4EA0-A51C-46F2814521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04499088"/>
        <c:axId val="1004495344"/>
      </c:barChart>
      <c:catAx>
        <c:axId val="1004499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IE"/>
                  <a:t>Individual Discount Rate</a:t>
                </a:r>
              </a:p>
            </c:rich>
          </c:tx>
          <c:layout>
            <c:manualLayout>
              <c:xMode val="edge"/>
              <c:yMode val="edge"/>
              <c:x val="0.38919138797687192"/>
              <c:y val="0.902520209224916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04495344"/>
        <c:crosses val="autoZero"/>
        <c:auto val="1"/>
        <c:lblAlgn val="ctr"/>
        <c:lblOffset val="100"/>
        <c:noMultiLvlLbl val="0"/>
      </c:catAx>
      <c:valAx>
        <c:axId val="1004495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IE"/>
                  <a:t>Frequencies</a:t>
                </a:r>
              </a:p>
            </c:rich>
          </c:tx>
          <c:layout>
            <c:manualLayout>
              <c:xMode val="edge"/>
              <c:yMode val="edge"/>
              <c:x val="1.3888888888888888E-2"/>
              <c:y val="0.313406605424321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shade val="95000"/>
                <a:satMod val="105000"/>
              </a:schemeClr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0449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22860</xdr:colOff>
      <xdr:row>3</xdr:row>
      <xdr:rowOff>0</xdr:rowOff>
    </xdr:to>
    <xdr:sp macro="" textlink="">
      <xdr:nvSpPr>
        <xdr:cNvPr id="3073" name="Drop Down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76</xdr:row>
      <xdr:rowOff>0</xdr:rowOff>
    </xdr:from>
    <xdr:to>
      <xdr:col>11</xdr:col>
      <xdr:colOff>770200</xdr:colOff>
      <xdr:row>90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6DD249-D37D-48F4-AA7A-2FD8FC2BF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6340" y="14241780"/>
          <a:ext cx="6538540" cy="2621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754380</xdr:colOff>
      <xdr:row>46</xdr:row>
      <xdr:rowOff>102870</xdr:rowOff>
    </xdr:from>
    <xdr:to>
      <xdr:col>11</xdr:col>
      <xdr:colOff>106680</xdr:colOff>
      <xdr:row>61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C1238A-99FA-4854-A050-B05E90CC77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7621</xdr:colOff>
      <xdr:row>3</xdr:row>
      <xdr:rowOff>1</xdr:rowOff>
    </xdr:from>
    <xdr:to>
      <xdr:col>12</xdr:col>
      <xdr:colOff>549645</xdr:colOff>
      <xdr:row>16</xdr:row>
      <xdr:rowOff>121921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3B9315-A4FC-40DD-BC9A-B4A46F7A8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35441" y="708661"/>
          <a:ext cx="3673844" cy="2499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 x14ac:dyDescent="0.3">
      <c r="A4">
        <v>1</v>
      </c>
    </row>
    <row r="5" spans="1:30" x14ac:dyDescent="0.3">
      <c r="A5" t="s">
        <v>0</v>
      </c>
      <c r="C5" s="8" t="s">
        <v>1</v>
      </c>
      <c r="D5" s="8" t="s">
        <v>2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x14ac:dyDescent="0.3">
      <c r="A6" t="s">
        <v>3</v>
      </c>
      <c r="C6" s="7" t="str">
        <f>C5</f>
        <v>IE</v>
      </c>
      <c r="D6" s="7" t="str">
        <f>"*"&amp;D5</f>
        <v>*National</v>
      </c>
      <c r="E6" s="7" t="str">
        <f t="shared" ref="E6:AD6" si="0">"*"&amp;E5</f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x14ac:dyDescent="0.3">
      <c r="A7" t="s">
        <v>4</v>
      </c>
      <c r="C7" s="7" t="str">
        <f>"*"&amp;C5</f>
        <v>*IE</v>
      </c>
      <c r="D7" s="7" t="str">
        <f>D5</f>
        <v>National</v>
      </c>
      <c r="E7" s="7" t="str">
        <f t="shared" ref="E7:AD7" si="1">E5</f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" thickBot="1" x14ac:dyDescent="0.35">
      <c r="A10" s="9" t="s">
        <v>5</v>
      </c>
      <c r="B10" s="9" t="s">
        <v>6</v>
      </c>
    </row>
    <row r="11" spans="1:30" x14ac:dyDescent="0.3">
      <c r="A11" s="10" t="s">
        <v>7</v>
      </c>
      <c r="B11" s="10" t="s">
        <v>8</v>
      </c>
    </row>
    <row r="12" spans="1:30" x14ac:dyDescent="0.3">
      <c r="A12" s="11" t="s">
        <v>9</v>
      </c>
      <c r="B12" s="11" t="s">
        <v>10</v>
      </c>
    </row>
    <row r="13" spans="1:30" x14ac:dyDescent="0.3">
      <c r="A13" s="11" t="s">
        <v>11</v>
      </c>
      <c r="B13" s="11" t="s">
        <v>12</v>
      </c>
    </row>
    <row r="14" spans="1:30" x14ac:dyDescent="0.3">
      <c r="A14" s="11" t="s">
        <v>13</v>
      </c>
      <c r="B14" s="11" t="s">
        <v>14</v>
      </c>
    </row>
    <row r="15" spans="1:30" x14ac:dyDescent="0.3">
      <c r="A15" s="11" t="s">
        <v>15</v>
      </c>
      <c r="B15" s="11" t="s">
        <v>16</v>
      </c>
    </row>
    <row r="16" spans="1:30" x14ac:dyDescent="0.3">
      <c r="A16" s="11" t="s">
        <v>17</v>
      </c>
      <c r="B16" s="11" t="s">
        <v>18</v>
      </c>
    </row>
    <row r="17" spans="1:2" x14ac:dyDescent="0.3">
      <c r="A17" s="11" t="s">
        <v>19</v>
      </c>
      <c r="B17" s="11" t="s">
        <v>20</v>
      </c>
    </row>
    <row r="18" spans="1:2" x14ac:dyDescent="0.3">
      <c r="A18" s="11" t="s">
        <v>21</v>
      </c>
      <c r="B18" s="11" t="s">
        <v>22</v>
      </c>
    </row>
    <row r="19" spans="1:2" x14ac:dyDescent="0.3">
      <c r="A19" s="11" t="s">
        <v>23</v>
      </c>
      <c r="B19" s="11" t="s">
        <v>24</v>
      </c>
    </row>
    <row r="20" spans="1:2" x14ac:dyDescent="0.3">
      <c r="A20" s="11" t="s">
        <v>25</v>
      </c>
      <c r="B20" s="11" t="s">
        <v>26</v>
      </c>
    </row>
    <row r="21" spans="1:2" x14ac:dyDescent="0.3">
      <c r="A21" s="11" t="s">
        <v>27</v>
      </c>
      <c r="B21" s="11" t="s">
        <v>28</v>
      </c>
    </row>
    <row r="22" spans="1:2" x14ac:dyDescent="0.3">
      <c r="A22" s="11" t="s">
        <v>29</v>
      </c>
      <c r="B22" s="11" t="s">
        <v>30</v>
      </c>
    </row>
    <row r="23" spans="1:2" x14ac:dyDescent="0.3">
      <c r="A23" s="11" t="s">
        <v>31</v>
      </c>
      <c r="B23" s="11" t="s">
        <v>32</v>
      </c>
    </row>
    <row r="24" spans="1:2" x14ac:dyDescent="0.3">
      <c r="A24" s="11" t="s">
        <v>33</v>
      </c>
      <c r="B24" s="11" t="s">
        <v>34</v>
      </c>
    </row>
    <row r="25" spans="1:2" x14ac:dyDescent="0.3">
      <c r="A25" s="11" t="s">
        <v>35</v>
      </c>
      <c r="B25" s="11" t="s">
        <v>36</v>
      </c>
    </row>
    <row r="26" spans="1:2" x14ac:dyDescent="0.3">
      <c r="A26" s="11" t="s">
        <v>37</v>
      </c>
      <c r="B26" s="11" t="s">
        <v>38</v>
      </c>
    </row>
    <row r="27" spans="1:2" x14ac:dyDescent="0.3">
      <c r="A27" s="11" t="s">
        <v>39</v>
      </c>
      <c r="B27" s="11" t="s">
        <v>40</v>
      </c>
    </row>
    <row r="28" spans="1:2" x14ac:dyDescent="0.3">
      <c r="A28" s="11" t="s">
        <v>41</v>
      </c>
      <c r="B28" s="11" t="s">
        <v>42</v>
      </c>
    </row>
    <row r="29" spans="1:2" x14ac:dyDescent="0.3">
      <c r="A29" s="11" t="s">
        <v>43</v>
      </c>
      <c r="B29" s="11" t="s">
        <v>44</v>
      </c>
    </row>
    <row r="30" spans="1:2" x14ac:dyDescent="0.3">
      <c r="A30" s="11" t="s">
        <v>45</v>
      </c>
      <c r="B30" s="11" t="s">
        <v>46</v>
      </c>
    </row>
    <row r="31" spans="1:2" x14ac:dyDescent="0.3">
      <c r="A31" s="11" t="s">
        <v>47</v>
      </c>
      <c r="B31" s="11" t="s">
        <v>48</v>
      </c>
    </row>
    <row r="32" spans="1:2" x14ac:dyDescent="0.3">
      <c r="A32" s="11" t="s">
        <v>49</v>
      </c>
      <c r="B32" s="11" t="s">
        <v>50</v>
      </c>
    </row>
    <row r="33" spans="1:2" x14ac:dyDescent="0.3">
      <c r="A33" s="11" t="s">
        <v>51</v>
      </c>
      <c r="B33" s="11" t="s">
        <v>52</v>
      </c>
    </row>
    <row r="34" spans="1:2" x14ac:dyDescent="0.3">
      <c r="A34" s="11" t="s">
        <v>53</v>
      </c>
      <c r="B34" s="11" t="s">
        <v>54</v>
      </c>
    </row>
    <row r="35" spans="1:2" x14ac:dyDescent="0.3">
      <c r="A35" s="11" t="s">
        <v>55</v>
      </c>
      <c r="B35" s="11" t="s">
        <v>56</v>
      </c>
    </row>
    <row r="36" spans="1:2" x14ac:dyDescent="0.3">
      <c r="A36" s="11" t="s">
        <v>57</v>
      </c>
      <c r="B36" s="11" t="s">
        <v>58</v>
      </c>
    </row>
    <row r="37" spans="1:2" x14ac:dyDescent="0.3">
      <c r="A37" s="12" t="s">
        <v>59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3877-A08D-4CCA-B771-C8BFBACB29E1}">
  <dimension ref="A1:N92"/>
  <sheetViews>
    <sheetView topLeftCell="A16" zoomScaleNormal="100" workbookViewId="0">
      <selection activeCell="C53" sqref="A53:C53"/>
    </sheetView>
  </sheetViews>
  <sheetFormatPr defaultRowHeight="14.4" x14ac:dyDescent="0.3"/>
  <cols>
    <col min="1" max="1" width="19.109375" customWidth="1"/>
    <col min="2" max="2" width="23.6640625" customWidth="1"/>
    <col min="3" max="3" width="14.77734375" customWidth="1"/>
    <col min="4" max="4" width="15.44140625" customWidth="1"/>
    <col min="5" max="5" width="14.44140625" customWidth="1"/>
    <col min="6" max="6" width="15.109375" customWidth="1"/>
    <col min="7" max="7" width="10.5546875" customWidth="1"/>
    <col min="8" max="8" width="9.88671875" customWidth="1"/>
    <col min="9" max="9" width="11.5546875" customWidth="1"/>
    <col min="10" max="10" width="11.21875" bestFit="1" customWidth="1"/>
    <col min="11" max="11" width="11.33203125" bestFit="1" customWidth="1"/>
    <col min="12" max="12" width="23.109375" bestFit="1" customWidth="1"/>
    <col min="13" max="13" width="10.6640625" bestFit="1" customWidth="1"/>
  </cols>
  <sheetData>
    <row r="1" spans="1:14" x14ac:dyDescent="0.3">
      <c r="A1" s="49" t="s">
        <v>60</v>
      </c>
      <c r="B1" s="49"/>
    </row>
    <row r="2" spans="1:14" x14ac:dyDescent="0.3">
      <c r="A2" s="15" t="s">
        <v>61</v>
      </c>
      <c r="B2" s="16"/>
    </row>
    <row r="3" spans="1:14" ht="27" customHeight="1" x14ac:dyDescent="0.3">
      <c r="A3" s="15" t="s">
        <v>62</v>
      </c>
      <c r="B3" s="15" t="s">
        <v>63</v>
      </c>
      <c r="C3" s="17" t="s">
        <v>64</v>
      </c>
      <c r="D3" s="17" t="s">
        <v>65</v>
      </c>
      <c r="E3" s="17" t="s">
        <v>66</v>
      </c>
      <c r="F3" s="17" t="s">
        <v>67</v>
      </c>
      <c r="G3" s="17" t="s">
        <v>105</v>
      </c>
      <c r="H3" s="17" t="s">
        <v>106</v>
      </c>
      <c r="K3" s="22"/>
      <c r="L3" s="22"/>
      <c r="M3" s="22"/>
      <c r="N3" s="22"/>
    </row>
    <row r="4" spans="1:14" x14ac:dyDescent="0.3">
      <c r="A4" s="18" t="s">
        <v>68</v>
      </c>
      <c r="B4" s="19">
        <v>45256</v>
      </c>
      <c r="C4" s="20">
        <v>2.7</v>
      </c>
      <c r="D4" s="19">
        <f>B4/C4</f>
        <v>16761.481481481482</v>
      </c>
      <c r="E4" s="21">
        <v>1.1100000000000001</v>
      </c>
      <c r="F4" s="19">
        <f>D4*E4</f>
        <v>18605.244444444448</v>
      </c>
      <c r="G4" s="40">
        <v>4761865</v>
      </c>
      <c r="H4" s="43">
        <f>G4/$G$4</f>
        <v>1</v>
      </c>
      <c r="J4" s="22"/>
      <c r="K4" s="22"/>
      <c r="L4" s="22"/>
      <c r="M4" s="22"/>
      <c r="N4" s="22"/>
    </row>
    <row r="5" spans="1:14" x14ac:dyDescent="0.3">
      <c r="A5" s="23" t="s">
        <v>8</v>
      </c>
      <c r="B5" s="24">
        <v>39779</v>
      </c>
      <c r="C5" s="25">
        <v>2.8</v>
      </c>
      <c r="D5" s="24">
        <f>B5/C5</f>
        <v>14206.785714285716</v>
      </c>
      <c r="E5" s="26">
        <f>E4</f>
        <v>1.1100000000000001</v>
      </c>
      <c r="F5" s="24">
        <f t="shared" ref="F5:F35" si="0">D5*E5</f>
        <v>15769.532142857146</v>
      </c>
      <c r="G5" s="40">
        <v>56932</v>
      </c>
      <c r="H5" s="43">
        <f t="shared" ref="H5:H35" si="1">G5/$G$4</f>
        <v>1.1955819831095589E-2</v>
      </c>
      <c r="J5" s="22"/>
      <c r="K5" s="22"/>
      <c r="L5" s="22"/>
      <c r="M5" s="22"/>
      <c r="N5" s="22"/>
    </row>
    <row r="6" spans="1:14" x14ac:dyDescent="0.3">
      <c r="A6" s="23" t="s">
        <v>69</v>
      </c>
      <c r="B6" s="24">
        <v>47294</v>
      </c>
      <c r="C6" s="25">
        <v>2.5</v>
      </c>
      <c r="D6" s="24">
        <f t="shared" ref="D6:D35" si="2">B6/C6</f>
        <v>18917.599999999999</v>
      </c>
      <c r="E6" s="26">
        <f t="shared" ref="E6:E35" si="3">E5</f>
        <v>1.1100000000000001</v>
      </c>
      <c r="F6" s="24">
        <f t="shared" si="0"/>
        <v>20998.536</v>
      </c>
      <c r="G6" s="40">
        <v>554554</v>
      </c>
      <c r="H6" s="43">
        <f t="shared" si="1"/>
        <v>0.11645731241855869</v>
      </c>
      <c r="J6" s="22"/>
      <c r="K6" s="22"/>
      <c r="L6" s="22"/>
      <c r="M6" s="22"/>
      <c r="N6" s="22"/>
    </row>
    <row r="7" spans="1:14" x14ac:dyDescent="0.3">
      <c r="A7" s="23" t="s">
        <v>70</v>
      </c>
      <c r="B7" s="24">
        <v>52759</v>
      </c>
      <c r="C7" s="25">
        <v>3</v>
      </c>
      <c r="D7" s="24">
        <f t="shared" si="2"/>
        <v>17586.333333333332</v>
      </c>
      <c r="E7" s="26">
        <f t="shared" si="3"/>
        <v>1.1100000000000001</v>
      </c>
      <c r="F7" s="24">
        <f t="shared" si="0"/>
        <v>19520.830000000002</v>
      </c>
      <c r="G7" s="40">
        <v>278767</v>
      </c>
      <c r="H7" s="43">
        <f t="shared" si="1"/>
        <v>5.8541558822016164E-2</v>
      </c>
      <c r="J7" s="22"/>
      <c r="K7" s="22"/>
      <c r="L7" s="22"/>
      <c r="M7" s="22"/>
      <c r="N7" s="22"/>
    </row>
    <row r="8" spans="1:14" x14ac:dyDescent="0.3">
      <c r="A8" s="23" t="s">
        <v>71</v>
      </c>
      <c r="B8" s="24">
        <v>58795</v>
      </c>
      <c r="C8" s="25">
        <v>3</v>
      </c>
      <c r="D8" s="24">
        <f t="shared" si="2"/>
        <v>19598.333333333332</v>
      </c>
      <c r="E8" s="26">
        <f t="shared" si="3"/>
        <v>1.1100000000000001</v>
      </c>
      <c r="F8" s="24">
        <f t="shared" si="0"/>
        <v>21754.15</v>
      </c>
      <c r="G8" s="40">
        <v>296020</v>
      </c>
      <c r="H8" s="43">
        <f t="shared" si="1"/>
        <v>6.216471907540428E-2</v>
      </c>
      <c r="J8" s="22"/>
      <c r="K8" s="22"/>
      <c r="L8" s="22"/>
      <c r="M8" s="22"/>
      <c r="N8" s="22"/>
    </row>
    <row r="9" spans="1:14" x14ac:dyDescent="0.3">
      <c r="A9" s="23" t="s">
        <v>72</v>
      </c>
      <c r="B9" s="24">
        <v>66203</v>
      </c>
      <c r="C9" s="25">
        <v>2.7</v>
      </c>
      <c r="D9" s="24">
        <f t="shared" si="2"/>
        <v>24519.629629629628</v>
      </c>
      <c r="E9" s="26">
        <f t="shared" si="3"/>
        <v>1.1100000000000001</v>
      </c>
      <c r="F9" s="24">
        <f t="shared" si="0"/>
        <v>27216.788888888888</v>
      </c>
      <c r="G9" s="40">
        <v>218018</v>
      </c>
      <c r="H9" s="43">
        <f t="shared" si="1"/>
        <v>4.5784162297755185E-2</v>
      </c>
      <c r="J9" s="22"/>
      <c r="K9" s="22"/>
      <c r="L9" s="22"/>
      <c r="M9" s="22"/>
      <c r="N9" s="22"/>
    </row>
    <row r="10" spans="1:14" x14ac:dyDescent="0.3">
      <c r="A10" s="23" t="s">
        <v>24</v>
      </c>
      <c r="B10" s="24">
        <v>54472</v>
      </c>
      <c r="C10" s="25">
        <v>3</v>
      </c>
      <c r="D10" s="24">
        <f t="shared" si="2"/>
        <v>18157.333333333332</v>
      </c>
      <c r="E10" s="26">
        <f t="shared" si="3"/>
        <v>1.1100000000000001</v>
      </c>
      <c r="F10" s="24">
        <f t="shared" si="0"/>
        <v>20154.64</v>
      </c>
      <c r="G10" s="40">
        <v>222504</v>
      </c>
      <c r="H10" s="43">
        <f t="shared" si="1"/>
        <v>4.6726230164021873E-2</v>
      </c>
      <c r="J10" s="22"/>
      <c r="K10" s="22"/>
      <c r="L10" s="22"/>
      <c r="M10" s="22"/>
      <c r="N10" s="22"/>
    </row>
    <row r="11" spans="1:14" x14ac:dyDescent="0.3">
      <c r="A11" s="23" t="s">
        <v>26</v>
      </c>
      <c r="B11" s="24">
        <v>44235</v>
      </c>
      <c r="C11" s="25">
        <v>2.8</v>
      </c>
      <c r="D11" s="24">
        <f t="shared" si="2"/>
        <v>15798.214285714286</v>
      </c>
      <c r="E11" s="26">
        <f t="shared" si="3"/>
        <v>1.1100000000000001</v>
      </c>
      <c r="F11" s="24">
        <f t="shared" si="0"/>
        <v>17536.017857142859</v>
      </c>
      <c r="G11" s="40">
        <v>99232</v>
      </c>
      <c r="H11" s="43">
        <f t="shared" si="1"/>
        <v>2.0838894004764939E-2</v>
      </c>
      <c r="J11" s="22"/>
      <c r="K11" s="22"/>
      <c r="L11" s="22"/>
      <c r="M11" s="22"/>
      <c r="N11" s="22"/>
    </row>
    <row r="12" spans="1:14" x14ac:dyDescent="0.3">
      <c r="A12" s="23" t="s">
        <v>28</v>
      </c>
      <c r="B12" s="24">
        <v>43254</v>
      </c>
      <c r="C12" s="25">
        <v>2.9</v>
      </c>
      <c r="D12" s="24">
        <f t="shared" si="2"/>
        <v>14915.172413793103</v>
      </c>
      <c r="E12" s="26">
        <f t="shared" si="3"/>
        <v>1.1100000000000001</v>
      </c>
      <c r="F12" s="24">
        <f t="shared" si="0"/>
        <v>16555.841379310346</v>
      </c>
      <c r="G12" s="40">
        <v>84697</v>
      </c>
      <c r="H12" s="43">
        <f t="shared" si="1"/>
        <v>1.7786518517429621E-2</v>
      </c>
      <c r="J12" s="22"/>
      <c r="K12" s="22"/>
      <c r="L12" s="22"/>
      <c r="M12" s="22"/>
      <c r="N12" s="22"/>
    </row>
    <row r="13" spans="1:14" x14ac:dyDescent="0.3">
      <c r="A13" s="23" t="s">
        <v>34</v>
      </c>
      <c r="B13" s="24">
        <v>34892</v>
      </c>
      <c r="C13" s="25">
        <v>2.7</v>
      </c>
      <c r="D13" s="24">
        <f t="shared" si="2"/>
        <v>12922.962962962962</v>
      </c>
      <c r="E13" s="26">
        <f t="shared" si="3"/>
        <v>1.1100000000000001</v>
      </c>
      <c r="F13" s="24">
        <f t="shared" si="0"/>
        <v>14344.488888888889</v>
      </c>
      <c r="G13" s="40">
        <v>40873</v>
      </c>
      <c r="H13" s="43">
        <f t="shared" si="1"/>
        <v>8.5834016714039559E-3</v>
      </c>
      <c r="J13" s="22"/>
      <c r="K13" s="22"/>
      <c r="L13" s="22"/>
      <c r="M13" s="22"/>
      <c r="N13" s="22"/>
    </row>
    <row r="14" spans="1:14" x14ac:dyDescent="0.3">
      <c r="A14" s="23" t="s">
        <v>36</v>
      </c>
      <c r="B14" s="24">
        <v>41033</v>
      </c>
      <c r="C14" s="25">
        <v>2.8</v>
      </c>
      <c r="D14" s="24">
        <f t="shared" si="2"/>
        <v>14654.642857142859</v>
      </c>
      <c r="E14" s="26">
        <f t="shared" si="3"/>
        <v>1.1100000000000001</v>
      </c>
      <c r="F14" s="24">
        <f t="shared" si="0"/>
        <v>16266.653571428575</v>
      </c>
      <c r="G14" s="40">
        <v>128884</v>
      </c>
      <c r="H14" s="43">
        <f t="shared" si="1"/>
        <v>2.7065865999981099E-2</v>
      </c>
      <c r="J14" s="22"/>
      <c r="K14" s="22"/>
      <c r="L14" s="22"/>
      <c r="M14" s="22"/>
      <c r="N14" s="22"/>
    </row>
    <row r="15" spans="1:14" x14ac:dyDescent="0.3">
      <c r="A15" s="23" t="s">
        <v>40</v>
      </c>
      <c r="B15" s="24">
        <v>52156</v>
      </c>
      <c r="C15" s="25">
        <v>3</v>
      </c>
      <c r="D15" s="24">
        <f t="shared" si="2"/>
        <v>17385.333333333332</v>
      </c>
      <c r="E15" s="26">
        <f t="shared" si="3"/>
        <v>1.1100000000000001</v>
      </c>
      <c r="F15" s="24">
        <f t="shared" si="0"/>
        <v>19297.72</v>
      </c>
      <c r="G15" s="40">
        <v>195044</v>
      </c>
      <c r="H15" s="43">
        <f t="shared" si="1"/>
        <v>4.0959582012509807E-2</v>
      </c>
      <c r="J15" s="22"/>
      <c r="K15" s="22"/>
      <c r="L15" s="22"/>
      <c r="M15" s="22"/>
      <c r="N15" s="22"/>
    </row>
    <row r="16" spans="1:14" x14ac:dyDescent="0.3">
      <c r="A16" s="23" t="s">
        <v>44</v>
      </c>
      <c r="B16" s="24">
        <v>41271</v>
      </c>
      <c r="C16" s="25">
        <v>2.8</v>
      </c>
      <c r="D16" s="24">
        <f t="shared" si="2"/>
        <v>14739.642857142859</v>
      </c>
      <c r="E16" s="26">
        <f t="shared" si="3"/>
        <v>1.1100000000000001</v>
      </c>
      <c r="F16" s="24">
        <f t="shared" si="0"/>
        <v>16361.003571428575</v>
      </c>
      <c r="G16" s="40">
        <v>77961</v>
      </c>
      <c r="H16" s="43">
        <f t="shared" si="1"/>
        <v>1.6371946705754994E-2</v>
      </c>
      <c r="J16" s="22"/>
      <c r="K16" s="22"/>
      <c r="L16" s="22"/>
      <c r="M16" s="22"/>
      <c r="N16" s="22"/>
    </row>
    <row r="17" spans="1:14" x14ac:dyDescent="0.3">
      <c r="A17" s="23" t="s">
        <v>54</v>
      </c>
      <c r="B17" s="24">
        <v>42332</v>
      </c>
      <c r="C17" s="25">
        <v>2.8</v>
      </c>
      <c r="D17" s="24">
        <f t="shared" si="2"/>
        <v>15118.571428571429</v>
      </c>
      <c r="E17" s="26">
        <f t="shared" si="3"/>
        <v>1.1100000000000001</v>
      </c>
      <c r="F17" s="24">
        <f t="shared" si="0"/>
        <v>16781.614285714288</v>
      </c>
      <c r="G17" s="40">
        <v>88770</v>
      </c>
      <c r="H17" s="43">
        <f t="shared" si="1"/>
        <v>1.8641855659494756E-2</v>
      </c>
      <c r="J17" s="22"/>
      <c r="K17" s="22"/>
      <c r="L17" s="22"/>
      <c r="M17" s="22"/>
      <c r="N17" s="22"/>
    </row>
    <row r="18" spans="1:14" x14ac:dyDescent="0.3">
      <c r="A18" s="23" t="s">
        <v>56</v>
      </c>
      <c r="B18" s="24">
        <v>38008</v>
      </c>
      <c r="C18" s="25">
        <v>2.7</v>
      </c>
      <c r="D18" s="24">
        <f t="shared" si="2"/>
        <v>14077.037037037036</v>
      </c>
      <c r="E18" s="26">
        <f t="shared" si="3"/>
        <v>1.1100000000000001</v>
      </c>
      <c r="F18" s="24">
        <f t="shared" si="0"/>
        <v>15625.511111111113</v>
      </c>
      <c r="G18" s="40">
        <v>149722</v>
      </c>
      <c r="H18" s="43">
        <f t="shared" si="1"/>
        <v>3.1441882539719204E-2</v>
      </c>
      <c r="J18" s="22"/>
      <c r="K18" s="22" t="s">
        <v>105</v>
      </c>
      <c r="L18" s="22" t="s">
        <v>109</v>
      </c>
      <c r="M18" s="22"/>
      <c r="N18" s="22"/>
    </row>
    <row r="19" spans="1:14" x14ac:dyDescent="0.3">
      <c r="A19" s="23" t="s">
        <v>58</v>
      </c>
      <c r="B19" s="24">
        <v>48392</v>
      </c>
      <c r="C19" s="25">
        <v>2.9</v>
      </c>
      <c r="D19" s="24">
        <f t="shared" si="2"/>
        <v>16686.896551724138</v>
      </c>
      <c r="E19" s="26">
        <f t="shared" si="3"/>
        <v>1.1100000000000001</v>
      </c>
      <c r="F19" s="24">
        <f t="shared" si="0"/>
        <v>18522.455172413793</v>
      </c>
      <c r="G19" s="40">
        <v>142425</v>
      </c>
      <c r="H19" s="43">
        <f t="shared" si="1"/>
        <v>2.9909499744322866E-2</v>
      </c>
      <c r="J19" s="22" t="str">
        <f>A6</f>
        <v>Dublin City</v>
      </c>
      <c r="K19" s="47">
        <f>G6</f>
        <v>554554</v>
      </c>
      <c r="L19" s="41">
        <f>K19/K21</f>
        <v>0.66547464902480558</v>
      </c>
      <c r="M19" s="22"/>
      <c r="N19" s="22"/>
    </row>
    <row r="20" spans="1:14" x14ac:dyDescent="0.3">
      <c r="A20" s="23" t="s">
        <v>12</v>
      </c>
      <c r="B20" s="24">
        <v>42196</v>
      </c>
      <c r="C20" s="25">
        <v>2.7</v>
      </c>
      <c r="D20" s="24">
        <f t="shared" si="2"/>
        <v>15628.148148148148</v>
      </c>
      <c r="E20" s="26">
        <f t="shared" si="3"/>
        <v>1.1100000000000001</v>
      </c>
      <c r="F20" s="24">
        <f t="shared" si="0"/>
        <v>17347.244444444445</v>
      </c>
      <c r="G20" s="40">
        <v>118817</v>
      </c>
      <c r="H20" s="43">
        <f t="shared" si="1"/>
        <v>2.4951778347349199E-2</v>
      </c>
      <c r="J20" s="22" t="str">
        <f>A7</f>
        <v>South Dublin</v>
      </c>
      <c r="K20" s="47">
        <f>G7</f>
        <v>278767</v>
      </c>
      <c r="L20" s="41">
        <f>K20/K21</f>
        <v>0.33452535097519442</v>
      </c>
      <c r="M20" s="22"/>
      <c r="N20" s="22"/>
    </row>
    <row r="21" spans="1:14" x14ac:dyDescent="0.3">
      <c r="A21" s="23" t="s">
        <v>73</v>
      </c>
      <c r="B21" s="24">
        <v>38935</v>
      </c>
      <c r="C21" s="25">
        <v>2.4</v>
      </c>
      <c r="D21" s="24">
        <f t="shared" si="2"/>
        <v>16222.916666666668</v>
      </c>
      <c r="E21" s="26">
        <f t="shared" si="3"/>
        <v>1.1100000000000001</v>
      </c>
      <c r="F21" s="24">
        <f t="shared" si="0"/>
        <v>18007.437500000004</v>
      </c>
      <c r="G21" s="40">
        <v>125657</v>
      </c>
      <c r="H21" s="43">
        <f t="shared" si="1"/>
        <v>2.638819034138935E-2</v>
      </c>
      <c r="J21" s="22"/>
      <c r="K21" s="47">
        <f>SUM(K19:K20)</f>
        <v>833321</v>
      </c>
      <c r="L21" s="22"/>
      <c r="M21" s="22"/>
      <c r="N21" s="22"/>
    </row>
    <row r="22" spans="1:14" x14ac:dyDescent="0.3">
      <c r="A22" s="23" t="s">
        <v>74</v>
      </c>
      <c r="B22" s="24">
        <v>49489</v>
      </c>
      <c r="C22" s="25">
        <v>2.8</v>
      </c>
      <c r="D22" s="24">
        <f t="shared" si="2"/>
        <v>17674.642857142859</v>
      </c>
      <c r="E22" s="26">
        <f t="shared" si="3"/>
        <v>1.1100000000000001</v>
      </c>
      <c r="F22" s="24">
        <f t="shared" si="0"/>
        <v>19618.853571428575</v>
      </c>
      <c r="G22" s="40">
        <v>417211</v>
      </c>
      <c r="H22" s="43">
        <f t="shared" si="1"/>
        <v>8.7615041585597242E-2</v>
      </c>
      <c r="J22" s="22"/>
      <c r="K22" s="22"/>
      <c r="L22" s="22"/>
      <c r="M22" s="22"/>
      <c r="N22" s="22"/>
    </row>
    <row r="23" spans="1:14" x14ac:dyDescent="0.3">
      <c r="A23" s="23" t="s">
        <v>22</v>
      </c>
      <c r="B23" s="24">
        <v>37339</v>
      </c>
      <c r="C23" s="25">
        <v>2.6</v>
      </c>
      <c r="D23" s="24">
        <f t="shared" si="2"/>
        <v>14361.153846153846</v>
      </c>
      <c r="E23" s="26">
        <f t="shared" si="3"/>
        <v>1.1100000000000001</v>
      </c>
      <c r="F23" s="24">
        <f t="shared" si="0"/>
        <v>15940.880769230771</v>
      </c>
      <c r="G23" s="40">
        <v>147707</v>
      </c>
      <c r="H23" s="43">
        <f t="shared" si="1"/>
        <v>3.1018729006387202E-2</v>
      </c>
      <c r="J23" s="22" t="str">
        <f>A8</f>
        <v>Fingal</v>
      </c>
      <c r="K23" s="47">
        <f>G8</f>
        <v>296020</v>
      </c>
      <c r="L23" s="48">
        <f>K23/$K$26</f>
        <v>0.40190511878480795</v>
      </c>
      <c r="M23" s="22"/>
      <c r="N23" s="22"/>
    </row>
    <row r="24" spans="1:14" x14ac:dyDescent="0.3">
      <c r="A24" s="23" t="s">
        <v>32</v>
      </c>
      <c r="B24" s="24">
        <v>41824</v>
      </c>
      <c r="C24" s="25">
        <v>2.7</v>
      </c>
      <c r="D24" s="24">
        <f t="shared" si="2"/>
        <v>15490.370370370369</v>
      </c>
      <c r="E24" s="26">
        <f t="shared" si="3"/>
        <v>1.1100000000000001</v>
      </c>
      <c r="F24" s="24">
        <f t="shared" si="0"/>
        <v>17194.31111111111</v>
      </c>
      <c r="G24" s="40">
        <v>194899</v>
      </c>
      <c r="H24" s="43">
        <f t="shared" si="1"/>
        <v>4.0929131758250178E-2</v>
      </c>
      <c r="J24" s="22" t="str">
        <f t="shared" ref="J24:J25" si="4">A9</f>
        <v>Dún Laoghaire-Rathdown</v>
      </c>
      <c r="K24" s="47">
        <f t="shared" ref="K24:K25" si="5">G9</f>
        <v>218018</v>
      </c>
      <c r="L24" s="48">
        <f t="shared" ref="L24:L25" si="6">K24/$K$26</f>
        <v>0.29600212886705712</v>
      </c>
      <c r="M24" s="22"/>
      <c r="N24" s="22"/>
    </row>
    <row r="25" spans="1:14" x14ac:dyDescent="0.3">
      <c r="A25" s="23" t="s">
        <v>50</v>
      </c>
      <c r="B25" s="24">
        <v>39551</v>
      </c>
      <c r="C25" s="25">
        <v>2.7</v>
      </c>
      <c r="D25" s="24">
        <f t="shared" si="2"/>
        <v>14648.518518518518</v>
      </c>
      <c r="E25" s="26">
        <f t="shared" si="3"/>
        <v>1.1100000000000001</v>
      </c>
      <c r="F25" s="24">
        <f t="shared" si="0"/>
        <v>16259.855555555556</v>
      </c>
      <c r="G25" s="40">
        <v>159553</v>
      </c>
      <c r="H25" s="43">
        <f t="shared" si="1"/>
        <v>3.3506409778521651E-2</v>
      </c>
      <c r="J25" s="22" t="str">
        <f t="shared" si="4"/>
        <v>Kildare</v>
      </c>
      <c r="K25" s="47">
        <f t="shared" si="5"/>
        <v>222504</v>
      </c>
      <c r="L25" s="48">
        <f t="shared" si="6"/>
        <v>0.30209275234813493</v>
      </c>
      <c r="M25" s="22"/>
      <c r="N25" s="22"/>
    </row>
    <row r="26" spans="1:14" x14ac:dyDescent="0.3">
      <c r="A26" s="23" t="s">
        <v>52</v>
      </c>
      <c r="B26" s="24">
        <v>39545</v>
      </c>
      <c r="C26" s="25">
        <v>2.6</v>
      </c>
      <c r="D26" s="24">
        <f t="shared" si="2"/>
        <v>15209.615384615385</v>
      </c>
      <c r="E26" s="26">
        <f t="shared" si="3"/>
        <v>1.1100000000000001</v>
      </c>
      <c r="F26" s="24">
        <f t="shared" si="0"/>
        <v>16882.673076923078</v>
      </c>
      <c r="G26" s="40">
        <v>116176</v>
      </c>
      <c r="H26" s="43">
        <f t="shared" si="1"/>
        <v>2.4397163716317033E-2</v>
      </c>
      <c r="J26" s="22"/>
      <c r="K26" s="47">
        <f>SUM(K23:K25)</f>
        <v>736542</v>
      </c>
      <c r="L26" s="22"/>
      <c r="M26" s="22"/>
      <c r="N26" s="22"/>
    </row>
    <row r="27" spans="1:14" x14ac:dyDescent="0.3">
      <c r="A27" s="23" t="s">
        <v>75</v>
      </c>
      <c r="B27" s="24">
        <v>44492</v>
      </c>
      <c r="C27" s="25">
        <v>2.6</v>
      </c>
      <c r="D27" s="24">
        <f t="shared" si="2"/>
        <v>17112.307692307691</v>
      </c>
      <c r="E27" s="26">
        <f t="shared" si="3"/>
        <v>1.1100000000000001</v>
      </c>
      <c r="F27" s="24">
        <f t="shared" si="0"/>
        <v>18994.66153846154</v>
      </c>
      <c r="G27" s="40">
        <v>78668</v>
      </c>
      <c r="H27" s="43">
        <f t="shared" si="1"/>
        <v>1.6520417945489845E-2</v>
      </c>
      <c r="J27" s="22"/>
      <c r="K27" s="22"/>
      <c r="L27" s="22"/>
      <c r="M27" s="22"/>
      <c r="N27" s="22"/>
    </row>
    <row r="28" spans="1:14" x14ac:dyDescent="0.3">
      <c r="A28" s="23" t="s">
        <v>76</v>
      </c>
      <c r="B28" s="24">
        <v>44352</v>
      </c>
      <c r="C28" s="25">
        <v>2.8</v>
      </c>
      <c r="D28" s="24">
        <f t="shared" si="2"/>
        <v>15840.000000000002</v>
      </c>
      <c r="E28" s="26">
        <f t="shared" si="3"/>
        <v>1.1100000000000001</v>
      </c>
      <c r="F28" s="24">
        <f t="shared" si="0"/>
        <v>17582.400000000005</v>
      </c>
      <c r="G28" s="40">
        <v>179390</v>
      </c>
      <c r="H28" s="43">
        <f t="shared" si="1"/>
        <v>3.76722145629916E-2</v>
      </c>
      <c r="J28" s="22"/>
      <c r="K28" s="22"/>
      <c r="L28" s="22"/>
      <c r="M28" s="22"/>
      <c r="N28" s="22"/>
    </row>
    <row r="29" spans="1:14" x14ac:dyDescent="0.3">
      <c r="A29" s="23" t="s">
        <v>30</v>
      </c>
      <c r="B29" s="24">
        <v>34800</v>
      </c>
      <c r="C29" s="25">
        <v>2.5</v>
      </c>
      <c r="D29" s="24">
        <f t="shared" si="2"/>
        <v>13920</v>
      </c>
      <c r="E29" s="26">
        <f t="shared" si="3"/>
        <v>1.1100000000000001</v>
      </c>
      <c r="F29" s="24">
        <f t="shared" si="0"/>
        <v>15451.2</v>
      </c>
      <c r="G29" s="40">
        <v>32044</v>
      </c>
      <c r="H29" s="43">
        <f t="shared" si="1"/>
        <v>6.7292961896231835E-3</v>
      </c>
      <c r="J29" s="22"/>
      <c r="K29" s="22"/>
      <c r="L29" s="22"/>
      <c r="M29" s="22"/>
      <c r="N29" s="22"/>
    </row>
    <row r="30" spans="1:14" x14ac:dyDescent="0.3">
      <c r="A30" s="23" t="s">
        <v>38</v>
      </c>
      <c r="B30" s="24">
        <v>37214</v>
      </c>
      <c r="C30" s="25">
        <v>2.6</v>
      </c>
      <c r="D30" s="24">
        <f t="shared" si="2"/>
        <v>14313.076923076922</v>
      </c>
      <c r="E30" s="26">
        <f t="shared" si="3"/>
        <v>1.1100000000000001</v>
      </c>
      <c r="F30" s="24">
        <f t="shared" si="0"/>
        <v>15887.515384615384</v>
      </c>
      <c r="G30" s="40">
        <v>130507</v>
      </c>
      <c r="H30" s="43">
        <f t="shared" si="1"/>
        <v>2.7406698845935364E-2</v>
      </c>
      <c r="J30" s="22"/>
      <c r="K30" s="22"/>
      <c r="L30" s="22"/>
      <c r="M30" s="22"/>
      <c r="N30" s="22"/>
    </row>
    <row r="31" spans="1:14" x14ac:dyDescent="0.3">
      <c r="A31" s="23" t="s">
        <v>46</v>
      </c>
      <c r="B31" s="24">
        <v>39006</v>
      </c>
      <c r="C31" s="25">
        <v>2.7</v>
      </c>
      <c r="D31" s="24">
        <f t="shared" si="2"/>
        <v>14446.666666666666</v>
      </c>
      <c r="E31" s="26">
        <f t="shared" si="3"/>
        <v>1.1100000000000001</v>
      </c>
      <c r="F31" s="24">
        <f t="shared" si="0"/>
        <v>16035.800000000001</v>
      </c>
      <c r="G31" s="40">
        <v>64544</v>
      </c>
      <c r="H31" s="43">
        <f t="shared" si="1"/>
        <v>1.3554353178849043E-2</v>
      </c>
      <c r="J31" s="22"/>
      <c r="K31" s="22"/>
      <c r="L31" s="22"/>
      <c r="M31" s="22"/>
      <c r="N31" s="22"/>
    </row>
    <row r="32" spans="1:14" x14ac:dyDescent="0.3">
      <c r="A32" s="23" t="s">
        <v>48</v>
      </c>
      <c r="B32" s="24">
        <v>38695</v>
      </c>
      <c r="C32" s="25">
        <v>2.6</v>
      </c>
      <c r="D32" s="24">
        <f t="shared" si="2"/>
        <v>14882.692307692307</v>
      </c>
      <c r="E32" s="26">
        <f t="shared" si="3"/>
        <v>1.1100000000000001</v>
      </c>
      <c r="F32" s="24">
        <f t="shared" si="0"/>
        <v>16519.788461538461</v>
      </c>
      <c r="G32" s="40">
        <v>65535</v>
      </c>
      <c r="H32" s="43">
        <f t="shared" si="1"/>
        <v>1.3762464916582054E-2</v>
      </c>
      <c r="J32" s="22"/>
      <c r="K32" s="22"/>
      <c r="L32" s="22"/>
      <c r="M32" s="22"/>
      <c r="N32" s="22"/>
    </row>
    <row r="33" spans="1:14" x14ac:dyDescent="0.3">
      <c r="A33" s="23" t="s">
        <v>10</v>
      </c>
      <c r="B33" s="24">
        <v>38889</v>
      </c>
      <c r="C33" s="25">
        <v>2.8</v>
      </c>
      <c r="D33" s="24">
        <f t="shared" si="2"/>
        <v>13888.928571428572</v>
      </c>
      <c r="E33" s="26">
        <f t="shared" si="3"/>
        <v>1.1100000000000001</v>
      </c>
      <c r="F33" s="24">
        <f t="shared" si="0"/>
        <v>15416.710714285717</v>
      </c>
      <c r="G33" s="40">
        <v>76176</v>
      </c>
      <c r="H33" s="43">
        <f t="shared" si="1"/>
        <v>1.5997093575731359E-2</v>
      </c>
      <c r="J33" s="22"/>
      <c r="K33" s="22"/>
      <c r="L33" s="22"/>
      <c r="M33" s="22"/>
      <c r="N33" s="22"/>
    </row>
    <row r="34" spans="1:14" x14ac:dyDescent="0.3">
      <c r="A34" s="23" t="s">
        <v>16</v>
      </c>
      <c r="B34" s="24">
        <v>32259</v>
      </c>
      <c r="C34" s="25">
        <v>2.7</v>
      </c>
      <c r="D34" s="24">
        <f t="shared" si="2"/>
        <v>11947.777777777777</v>
      </c>
      <c r="E34" s="26">
        <f t="shared" si="3"/>
        <v>1.1100000000000001</v>
      </c>
      <c r="F34" s="24">
        <f t="shared" si="0"/>
        <v>13262.033333333335</v>
      </c>
      <c r="G34" s="40">
        <v>159192</v>
      </c>
      <c r="H34" s="43">
        <f t="shared" si="1"/>
        <v>3.3430599145502865E-2</v>
      </c>
      <c r="J34" s="22"/>
      <c r="K34" s="22"/>
      <c r="L34" s="22"/>
      <c r="M34" s="22"/>
      <c r="N34" s="22"/>
    </row>
    <row r="35" spans="1:14" x14ac:dyDescent="0.3">
      <c r="A35" s="27" t="s">
        <v>42</v>
      </c>
      <c r="B35" s="28">
        <v>38920</v>
      </c>
      <c r="C35" s="29">
        <v>2.8</v>
      </c>
      <c r="D35" s="30">
        <f t="shared" si="2"/>
        <v>13900</v>
      </c>
      <c r="E35" s="31">
        <f t="shared" si="3"/>
        <v>1.1100000000000001</v>
      </c>
      <c r="F35" s="30">
        <f t="shared" si="0"/>
        <v>15429.000000000002</v>
      </c>
      <c r="G35" s="28">
        <v>61386</v>
      </c>
      <c r="H35" s="44">
        <f t="shared" si="1"/>
        <v>1.2891167641249805E-2</v>
      </c>
      <c r="J35" s="22"/>
      <c r="K35" s="22"/>
      <c r="L35" s="22"/>
      <c r="M35" s="22"/>
      <c r="N35" s="22"/>
    </row>
    <row r="36" spans="1:14" x14ac:dyDescent="0.3">
      <c r="J36" s="22"/>
      <c r="K36" s="22"/>
      <c r="L36" s="22"/>
      <c r="M36" s="22"/>
      <c r="N36" s="22"/>
    </row>
    <row r="37" spans="1:14" ht="15" customHeight="1" x14ac:dyDescent="0.3">
      <c r="A37" s="23"/>
      <c r="B37" s="32" t="s">
        <v>69</v>
      </c>
      <c r="C37" s="32" t="s">
        <v>77</v>
      </c>
      <c r="D37" s="32" t="s">
        <v>71</v>
      </c>
      <c r="E37" s="32" t="s">
        <v>70</v>
      </c>
      <c r="F37" s="32" t="s">
        <v>73</v>
      </c>
      <c r="G37" s="32" t="s">
        <v>74</v>
      </c>
      <c r="H37" s="32" t="s">
        <v>78</v>
      </c>
      <c r="I37" s="32" t="s">
        <v>76</v>
      </c>
      <c r="K37" s="22"/>
      <c r="L37" s="22"/>
      <c r="M37" s="22"/>
      <c r="N37" s="22"/>
    </row>
    <row r="38" spans="1:14" x14ac:dyDescent="0.3">
      <c r="A38" s="33" t="s">
        <v>79</v>
      </c>
      <c r="B38" s="34">
        <v>554554</v>
      </c>
      <c r="C38" s="34">
        <v>218018</v>
      </c>
      <c r="D38" s="34">
        <v>296020</v>
      </c>
      <c r="E38" s="34">
        <v>278767</v>
      </c>
      <c r="F38" s="34">
        <v>124391</v>
      </c>
      <c r="G38" s="34">
        <v>524868</v>
      </c>
      <c r="H38" s="34">
        <v>79934</v>
      </c>
      <c r="I38" s="34">
        <v>258058</v>
      </c>
    </row>
    <row r="39" spans="1:14" x14ac:dyDescent="0.3">
      <c r="B39" s="41">
        <f>B38/SUM($B$38:$E$38)</f>
        <v>0.41158592476095829</v>
      </c>
      <c r="C39" s="41">
        <f t="shared" ref="C39:E39" si="7">C38/SUM($B$38:$E$38)</f>
        <v>0.16181136579040925</v>
      </c>
      <c r="D39" s="41">
        <f t="shared" si="7"/>
        <v>0.21970387996072316</v>
      </c>
      <c r="E39" s="41">
        <f t="shared" si="7"/>
        <v>0.2068988294879093</v>
      </c>
    </row>
    <row r="41" spans="1:14" x14ac:dyDescent="0.3">
      <c r="K41" s="35"/>
      <c r="M41" s="35"/>
    </row>
    <row r="44" spans="1:14" ht="28.2" x14ac:dyDescent="0.3">
      <c r="A44" s="33" t="s">
        <v>62</v>
      </c>
      <c r="B44" s="33" t="s">
        <v>63</v>
      </c>
      <c r="C44" s="39" t="s">
        <v>103</v>
      </c>
      <c r="D44" s="39" t="s">
        <v>106</v>
      </c>
      <c r="F44" t="s">
        <v>97</v>
      </c>
      <c r="G44" s="41">
        <v>0.39</v>
      </c>
      <c r="H44" s="41">
        <v>0.27</v>
      </c>
      <c r="I44" s="41">
        <v>0.17</v>
      </c>
      <c r="J44" s="41">
        <v>0.09</v>
      </c>
      <c r="K44" s="41">
        <v>0.05</v>
      </c>
    </row>
    <row r="45" spans="1:14" x14ac:dyDescent="0.3">
      <c r="A45" s="18" t="s">
        <v>68</v>
      </c>
      <c r="B45" s="24">
        <f>B4</f>
        <v>45256</v>
      </c>
      <c r="C45" s="37">
        <f>IF(B45&gt;58000,$C$79,IF(B45&gt;52000,$C$80,IF(B45&gt;45255,$C$81,IF(B45&gt;41700,$C$82,IF(B45&gt;20000,$C$83,"")))))</f>
        <v>0.17</v>
      </c>
      <c r="D45" s="14">
        <f>SUM(D46:D71)</f>
        <v>1</v>
      </c>
      <c r="F45" t="s">
        <v>107</v>
      </c>
      <c r="G45" s="41">
        <f>SUM(G46:G71)</f>
        <v>0.30811289274265435</v>
      </c>
      <c r="H45" s="41">
        <f>SUM(H46:H71)</f>
        <v>0.17734081079577013</v>
      </c>
      <c r="I45" s="41">
        <f t="shared" ref="I45:J45" si="8">SUM(I46:I71)</f>
        <v>0.31891160291188431</v>
      </c>
      <c r="J45" s="41">
        <f t="shared" si="8"/>
        <v>4.0959582012509807E-2</v>
      </c>
      <c r="K45" s="41">
        <f>SUM(K46:K71)</f>
        <v>0.15467511153718133</v>
      </c>
    </row>
    <row r="46" spans="1:14" x14ac:dyDescent="0.3">
      <c r="A46" s="23" t="s">
        <v>8</v>
      </c>
      <c r="B46" s="24">
        <f>B5</f>
        <v>39779</v>
      </c>
      <c r="C46" s="37">
        <f t="shared" ref="C46:C71" si="9">IF(B46&gt;58000,$C$79,IF(B46&gt;52000,$C$80,IF(B46&gt;45255,$C$81,IF(B46&gt;41700,$C$82,IF(B46&gt;20000,$C$83,"")))))</f>
        <v>0.39</v>
      </c>
      <c r="D46" s="14">
        <f>H5</f>
        <v>1.1955819831095589E-2</v>
      </c>
      <c r="G46" s="41">
        <f t="shared" ref="G46:G71" si="10">IF(C46=0.39,D46,0)</f>
        <v>1.1955819831095589E-2</v>
      </c>
      <c r="H46" s="41">
        <f t="shared" ref="H46:H71" si="11">IF(C46=0.27,D46,0)</f>
        <v>0</v>
      </c>
      <c r="I46" s="41">
        <f t="shared" ref="I46:I71" si="12">IF(C46=0.17,D46,0)</f>
        <v>0</v>
      </c>
      <c r="J46" s="41">
        <f t="shared" ref="J46:J71" si="13">IF(C46=0.09,D46,0)</f>
        <v>0</v>
      </c>
      <c r="K46" s="41">
        <f t="shared" ref="K46:K71" si="14">IF(C46=0.05,D46,0)</f>
        <v>0</v>
      </c>
    </row>
    <row r="47" spans="1:14" x14ac:dyDescent="0.3">
      <c r="A47" s="23" t="s">
        <v>111</v>
      </c>
      <c r="B47" s="24">
        <f>(B6*L19)+(B7*L20)</f>
        <v>49122.181043079443</v>
      </c>
      <c r="C47" s="37">
        <f t="shared" si="9"/>
        <v>0.17</v>
      </c>
      <c r="D47" s="14">
        <f>SUM(H6:H7)</f>
        <v>0.17499887124057487</v>
      </c>
      <c r="G47" s="41">
        <f t="shared" si="10"/>
        <v>0</v>
      </c>
      <c r="H47" s="41">
        <f t="shared" si="11"/>
        <v>0</v>
      </c>
      <c r="I47" s="41">
        <f t="shared" si="12"/>
        <v>0.17499887124057487</v>
      </c>
      <c r="J47" s="41">
        <f t="shared" si="13"/>
        <v>0</v>
      </c>
      <c r="K47" s="41">
        <f t="shared" si="14"/>
        <v>0</v>
      </c>
    </row>
    <row r="48" spans="1:14" x14ac:dyDescent="0.3">
      <c r="A48" s="23" t="s">
        <v>110</v>
      </c>
      <c r="B48" s="24">
        <f>(B9*L23)+(B8*L24)+(B10*L25)</f>
        <v>60466.366151556867</v>
      </c>
      <c r="C48" s="37">
        <f t="shared" si="9"/>
        <v>0.05</v>
      </c>
      <c r="D48" s="14">
        <f>SUM(H8:H10)</f>
        <v>0.15467511153718133</v>
      </c>
      <c r="G48" s="41">
        <f t="shared" si="10"/>
        <v>0</v>
      </c>
      <c r="H48" s="41">
        <f t="shared" si="11"/>
        <v>0</v>
      </c>
      <c r="I48" s="41">
        <f t="shared" si="12"/>
        <v>0</v>
      </c>
      <c r="J48" s="41">
        <f t="shared" si="13"/>
        <v>0</v>
      </c>
      <c r="K48" s="41">
        <f t="shared" si="14"/>
        <v>0.15467511153718133</v>
      </c>
    </row>
    <row r="49" spans="1:11" x14ac:dyDescent="0.3">
      <c r="A49" s="23" t="s">
        <v>26</v>
      </c>
      <c r="B49" s="24">
        <f t="shared" ref="B49:B58" si="15">B11</f>
        <v>44235</v>
      </c>
      <c r="C49" s="37">
        <f t="shared" si="9"/>
        <v>0.27</v>
      </c>
      <c r="D49" s="14">
        <f t="shared" ref="D49:D58" si="16">H11</f>
        <v>2.0838894004764939E-2</v>
      </c>
      <c r="G49" s="41">
        <f t="shared" si="10"/>
        <v>0</v>
      </c>
      <c r="H49" s="41">
        <f t="shared" si="11"/>
        <v>2.0838894004764939E-2</v>
      </c>
      <c r="I49" s="41">
        <f t="shared" si="12"/>
        <v>0</v>
      </c>
      <c r="J49" s="41">
        <f t="shared" si="13"/>
        <v>0</v>
      </c>
      <c r="K49" s="41">
        <f t="shared" si="14"/>
        <v>0</v>
      </c>
    </row>
    <row r="50" spans="1:11" x14ac:dyDescent="0.3">
      <c r="A50" s="23" t="s">
        <v>28</v>
      </c>
      <c r="B50" s="24">
        <f t="shared" si="15"/>
        <v>43254</v>
      </c>
      <c r="C50" s="37">
        <f t="shared" si="9"/>
        <v>0.27</v>
      </c>
      <c r="D50" s="14">
        <f t="shared" si="16"/>
        <v>1.7786518517429621E-2</v>
      </c>
      <c r="G50" s="41">
        <f t="shared" si="10"/>
        <v>0</v>
      </c>
      <c r="H50" s="41">
        <f t="shared" si="11"/>
        <v>1.7786518517429621E-2</v>
      </c>
      <c r="I50" s="41">
        <f t="shared" si="12"/>
        <v>0</v>
      </c>
      <c r="J50" s="41">
        <f t="shared" si="13"/>
        <v>0</v>
      </c>
      <c r="K50" s="41">
        <f t="shared" si="14"/>
        <v>0</v>
      </c>
    </row>
    <row r="51" spans="1:11" x14ac:dyDescent="0.3">
      <c r="A51" s="23" t="s">
        <v>34</v>
      </c>
      <c r="B51" s="24">
        <f t="shared" si="15"/>
        <v>34892</v>
      </c>
      <c r="C51" s="37">
        <f t="shared" si="9"/>
        <v>0.39</v>
      </c>
      <c r="D51" s="14">
        <f t="shared" si="16"/>
        <v>8.5834016714039559E-3</v>
      </c>
      <c r="G51" s="41">
        <f t="shared" si="10"/>
        <v>8.5834016714039559E-3</v>
      </c>
      <c r="H51" s="41">
        <f t="shared" si="11"/>
        <v>0</v>
      </c>
      <c r="I51" s="41">
        <f t="shared" si="12"/>
        <v>0</v>
      </c>
      <c r="J51" s="41">
        <f t="shared" si="13"/>
        <v>0</v>
      </c>
      <c r="K51" s="41">
        <f t="shared" si="14"/>
        <v>0</v>
      </c>
    </row>
    <row r="52" spans="1:11" x14ac:dyDescent="0.3">
      <c r="A52" s="23" t="s">
        <v>36</v>
      </c>
      <c r="B52" s="24">
        <f t="shared" si="15"/>
        <v>41033</v>
      </c>
      <c r="C52" s="37">
        <f t="shared" si="9"/>
        <v>0.39</v>
      </c>
      <c r="D52" s="14">
        <f t="shared" si="16"/>
        <v>2.7065865999981099E-2</v>
      </c>
      <c r="G52" s="41">
        <f t="shared" si="10"/>
        <v>2.7065865999981099E-2</v>
      </c>
      <c r="H52" s="41">
        <f t="shared" si="11"/>
        <v>0</v>
      </c>
      <c r="I52" s="41">
        <f t="shared" si="12"/>
        <v>0</v>
      </c>
      <c r="J52" s="41">
        <f t="shared" si="13"/>
        <v>0</v>
      </c>
      <c r="K52" s="41">
        <f t="shared" si="14"/>
        <v>0</v>
      </c>
    </row>
    <row r="53" spans="1:11" x14ac:dyDescent="0.3">
      <c r="A53" s="23" t="s">
        <v>40</v>
      </c>
      <c r="B53" s="24">
        <f t="shared" si="15"/>
        <v>52156</v>
      </c>
      <c r="C53" s="37">
        <f t="shared" si="9"/>
        <v>0.09</v>
      </c>
      <c r="D53" s="14">
        <f t="shared" si="16"/>
        <v>4.0959582012509807E-2</v>
      </c>
      <c r="G53" s="41">
        <f t="shared" si="10"/>
        <v>0</v>
      </c>
      <c r="H53" s="41">
        <f t="shared" si="11"/>
        <v>0</v>
      </c>
      <c r="I53" s="41">
        <f t="shared" si="12"/>
        <v>0</v>
      </c>
      <c r="J53" s="41">
        <f t="shared" si="13"/>
        <v>4.0959582012509807E-2</v>
      </c>
      <c r="K53" s="41">
        <f t="shared" si="14"/>
        <v>0</v>
      </c>
    </row>
    <row r="54" spans="1:11" x14ac:dyDescent="0.3">
      <c r="A54" s="23" t="s">
        <v>44</v>
      </c>
      <c r="B54" s="24">
        <f t="shared" si="15"/>
        <v>41271</v>
      </c>
      <c r="C54" s="37">
        <f t="shared" si="9"/>
        <v>0.39</v>
      </c>
      <c r="D54" s="14">
        <f t="shared" si="16"/>
        <v>1.6371946705754994E-2</v>
      </c>
      <c r="G54" s="41">
        <f t="shared" si="10"/>
        <v>1.6371946705754994E-2</v>
      </c>
      <c r="H54" s="41">
        <f t="shared" si="11"/>
        <v>0</v>
      </c>
      <c r="I54" s="41">
        <f t="shared" si="12"/>
        <v>0</v>
      </c>
      <c r="J54" s="41">
        <f t="shared" si="13"/>
        <v>0</v>
      </c>
      <c r="K54" s="41">
        <f t="shared" si="14"/>
        <v>0</v>
      </c>
    </row>
    <row r="55" spans="1:11" x14ac:dyDescent="0.3">
      <c r="A55" s="23" t="s">
        <v>54</v>
      </c>
      <c r="B55" s="24">
        <f t="shared" si="15"/>
        <v>42332</v>
      </c>
      <c r="C55" s="37">
        <f t="shared" si="9"/>
        <v>0.27</v>
      </c>
      <c r="D55" s="14">
        <f t="shared" si="16"/>
        <v>1.8641855659494756E-2</v>
      </c>
      <c r="G55" s="41">
        <f t="shared" si="10"/>
        <v>0</v>
      </c>
      <c r="H55" s="41">
        <f t="shared" si="11"/>
        <v>1.8641855659494756E-2</v>
      </c>
      <c r="I55" s="41">
        <f t="shared" si="12"/>
        <v>0</v>
      </c>
      <c r="J55" s="41">
        <f t="shared" si="13"/>
        <v>0</v>
      </c>
      <c r="K55" s="41">
        <f t="shared" si="14"/>
        <v>0</v>
      </c>
    </row>
    <row r="56" spans="1:11" x14ac:dyDescent="0.3">
      <c r="A56" s="23" t="s">
        <v>56</v>
      </c>
      <c r="B56" s="24">
        <f t="shared" si="15"/>
        <v>38008</v>
      </c>
      <c r="C56" s="37">
        <f t="shared" si="9"/>
        <v>0.39</v>
      </c>
      <c r="D56" s="14">
        <f t="shared" si="16"/>
        <v>3.1441882539719204E-2</v>
      </c>
      <c r="G56" s="41">
        <f t="shared" si="10"/>
        <v>3.1441882539719204E-2</v>
      </c>
      <c r="H56" s="41">
        <f t="shared" si="11"/>
        <v>0</v>
      </c>
      <c r="I56" s="41">
        <f t="shared" si="12"/>
        <v>0</v>
      </c>
      <c r="J56" s="41">
        <f t="shared" si="13"/>
        <v>0</v>
      </c>
      <c r="K56" s="41">
        <f t="shared" si="14"/>
        <v>0</v>
      </c>
    </row>
    <row r="57" spans="1:11" x14ac:dyDescent="0.3">
      <c r="A57" s="23" t="s">
        <v>58</v>
      </c>
      <c r="B57" s="24">
        <f t="shared" si="15"/>
        <v>48392</v>
      </c>
      <c r="C57" s="37">
        <f t="shared" si="9"/>
        <v>0.17</v>
      </c>
      <c r="D57" s="14">
        <f t="shared" si="16"/>
        <v>2.9909499744322866E-2</v>
      </c>
      <c r="G57" s="41">
        <f t="shared" si="10"/>
        <v>0</v>
      </c>
      <c r="H57" s="41">
        <f t="shared" si="11"/>
        <v>0</v>
      </c>
      <c r="I57" s="41">
        <f t="shared" si="12"/>
        <v>2.9909499744322866E-2</v>
      </c>
      <c r="J57" s="41">
        <f t="shared" si="13"/>
        <v>0</v>
      </c>
      <c r="K57" s="41">
        <f t="shared" si="14"/>
        <v>0</v>
      </c>
    </row>
    <row r="58" spans="1:11" x14ac:dyDescent="0.3">
      <c r="A58" s="23" t="s">
        <v>12</v>
      </c>
      <c r="B58" s="24">
        <f t="shared" si="15"/>
        <v>42196</v>
      </c>
      <c r="C58" s="37">
        <f t="shared" si="9"/>
        <v>0.27</v>
      </c>
      <c r="D58" s="14">
        <f t="shared" si="16"/>
        <v>2.4951778347349199E-2</v>
      </c>
      <c r="G58" s="41">
        <f t="shared" si="10"/>
        <v>0</v>
      </c>
      <c r="H58" s="41">
        <f t="shared" si="11"/>
        <v>2.4951778347349199E-2</v>
      </c>
      <c r="I58" s="41">
        <f t="shared" si="12"/>
        <v>0</v>
      </c>
      <c r="J58" s="41">
        <f t="shared" si="13"/>
        <v>0</v>
      </c>
      <c r="K58" s="41">
        <f t="shared" si="14"/>
        <v>0</v>
      </c>
    </row>
    <row r="59" spans="1:11" x14ac:dyDescent="0.3">
      <c r="A59" s="23" t="s">
        <v>14</v>
      </c>
      <c r="B59" s="24">
        <f>(B21*F38/SUM(F38:G38))+(B22*G38/SUM(F38:G38))</f>
        <v>47466.967784813147</v>
      </c>
      <c r="C59" s="37">
        <f t="shared" si="9"/>
        <v>0.17</v>
      </c>
      <c r="D59" s="14">
        <f>SUM(H21:H22)</f>
        <v>0.1140032319269866</v>
      </c>
      <c r="G59" s="41">
        <f t="shared" si="10"/>
        <v>0</v>
      </c>
      <c r="H59" s="41">
        <f t="shared" si="11"/>
        <v>0</v>
      </c>
      <c r="I59" s="41">
        <f t="shared" si="12"/>
        <v>0.1140032319269866</v>
      </c>
      <c r="J59" s="41">
        <f t="shared" si="13"/>
        <v>0</v>
      </c>
      <c r="K59" s="41">
        <f t="shared" si="14"/>
        <v>0</v>
      </c>
    </row>
    <row r="60" spans="1:11" x14ac:dyDescent="0.3">
      <c r="A60" s="23" t="s">
        <v>22</v>
      </c>
      <c r="B60" s="24">
        <f>B23</f>
        <v>37339</v>
      </c>
      <c r="C60" s="37">
        <f t="shared" si="9"/>
        <v>0.39</v>
      </c>
      <c r="D60" s="14">
        <f>H23</f>
        <v>3.1018729006387202E-2</v>
      </c>
      <c r="G60" s="41">
        <f t="shared" si="10"/>
        <v>3.1018729006387202E-2</v>
      </c>
      <c r="H60" s="41">
        <f t="shared" si="11"/>
        <v>0</v>
      </c>
      <c r="I60" s="41">
        <f t="shared" si="12"/>
        <v>0</v>
      </c>
      <c r="J60" s="41">
        <f t="shared" si="13"/>
        <v>0</v>
      </c>
      <c r="K60" s="41">
        <f t="shared" si="14"/>
        <v>0</v>
      </c>
    </row>
    <row r="61" spans="1:11" x14ac:dyDescent="0.3">
      <c r="A61" s="23" t="s">
        <v>32</v>
      </c>
      <c r="B61" s="24">
        <f>B24</f>
        <v>41824</v>
      </c>
      <c r="C61" s="37">
        <f t="shared" si="9"/>
        <v>0.27</v>
      </c>
      <c r="D61" s="14">
        <f>H24</f>
        <v>4.0929131758250178E-2</v>
      </c>
      <c r="G61" s="41">
        <f t="shared" si="10"/>
        <v>0</v>
      </c>
      <c r="H61" s="41">
        <f t="shared" si="11"/>
        <v>4.0929131758250178E-2</v>
      </c>
      <c r="I61" s="41">
        <f t="shared" si="12"/>
        <v>0</v>
      </c>
      <c r="J61" s="41">
        <f t="shared" si="13"/>
        <v>0</v>
      </c>
      <c r="K61" s="41">
        <f t="shared" si="14"/>
        <v>0</v>
      </c>
    </row>
    <row r="62" spans="1:11" x14ac:dyDescent="0.3">
      <c r="A62" s="23" t="s">
        <v>50</v>
      </c>
      <c r="B62" s="24">
        <f>B25</f>
        <v>39551</v>
      </c>
      <c r="C62" s="37">
        <f t="shared" si="9"/>
        <v>0.39</v>
      </c>
      <c r="D62" s="14">
        <f>H25</f>
        <v>3.3506409778521651E-2</v>
      </c>
      <c r="G62" s="41">
        <f t="shared" si="10"/>
        <v>3.3506409778521651E-2</v>
      </c>
      <c r="H62" s="41">
        <f t="shared" si="11"/>
        <v>0</v>
      </c>
      <c r="I62" s="41">
        <f t="shared" si="12"/>
        <v>0</v>
      </c>
      <c r="J62" s="41">
        <f t="shared" si="13"/>
        <v>0</v>
      </c>
      <c r="K62" s="41">
        <f t="shared" si="14"/>
        <v>0</v>
      </c>
    </row>
    <row r="63" spans="1:11" x14ac:dyDescent="0.3">
      <c r="A63" s="23" t="s">
        <v>52</v>
      </c>
      <c r="B63" s="24">
        <f>B26</f>
        <v>39545</v>
      </c>
      <c r="C63" s="37">
        <f t="shared" si="9"/>
        <v>0.39</v>
      </c>
      <c r="D63" s="14">
        <f>H26</f>
        <v>2.4397163716317033E-2</v>
      </c>
      <c r="G63" s="41">
        <f t="shared" si="10"/>
        <v>2.4397163716317033E-2</v>
      </c>
      <c r="H63" s="41">
        <f t="shared" si="11"/>
        <v>0</v>
      </c>
      <c r="I63" s="41">
        <f t="shared" si="12"/>
        <v>0</v>
      </c>
      <c r="J63" s="41">
        <f t="shared" si="13"/>
        <v>0</v>
      </c>
      <c r="K63" s="41">
        <f t="shared" si="14"/>
        <v>0</v>
      </c>
    </row>
    <row r="64" spans="1:11" x14ac:dyDescent="0.3">
      <c r="A64" s="23" t="s">
        <v>20</v>
      </c>
      <c r="B64" s="24">
        <f>(B27*H38/SUM(H38:I38))+(B28*I38/SUM(H38:I38))</f>
        <v>44385.109541054226</v>
      </c>
      <c r="C64" s="37">
        <f t="shared" si="9"/>
        <v>0.27</v>
      </c>
      <c r="D64" s="14">
        <f>SUM(H27:H28)</f>
        <v>5.4192632508481442E-2</v>
      </c>
      <c r="G64" s="41">
        <f t="shared" si="10"/>
        <v>0</v>
      </c>
      <c r="H64" s="41">
        <f t="shared" si="11"/>
        <v>5.4192632508481442E-2</v>
      </c>
      <c r="I64" s="41">
        <f t="shared" si="12"/>
        <v>0</v>
      </c>
      <c r="J64" s="41">
        <f t="shared" si="13"/>
        <v>0</v>
      </c>
      <c r="K64" s="41">
        <f t="shared" si="14"/>
        <v>0</v>
      </c>
    </row>
    <row r="65" spans="1:11" x14ac:dyDescent="0.3">
      <c r="A65" s="23" t="s">
        <v>30</v>
      </c>
      <c r="B65" s="24">
        <f t="shared" ref="B65:B71" si="17">B29</f>
        <v>34800</v>
      </c>
      <c r="C65" s="37">
        <f t="shared" si="9"/>
        <v>0.39</v>
      </c>
      <c r="D65" s="14">
        <f t="shared" ref="D65:D71" si="18">H29</f>
        <v>6.7292961896231835E-3</v>
      </c>
      <c r="G65" s="41">
        <f t="shared" si="10"/>
        <v>6.7292961896231835E-3</v>
      </c>
      <c r="H65" s="41">
        <f t="shared" si="11"/>
        <v>0</v>
      </c>
      <c r="I65" s="41">
        <f t="shared" si="12"/>
        <v>0</v>
      </c>
      <c r="J65" s="41">
        <f t="shared" si="13"/>
        <v>0</v>
      </c>
      <c r="K65" s="41">
        <f t="shared" si="14"/>
        <v>0</v>
      </c>
    </row>
    <row r="66" spans="1:11" x14ac:dyDescent="0.3">
      <c r="A66" s="23" t="s">
        <v>38</v>
      </c>
      <c r="B66" s="24">
        <f t="shared" si="17"/>
        <v>37214</v>
      </c>
      <c r="C66" s="37">
        <f t="shared" si="9"/>
        <v>0.39</v>
      </c>
      <c r="D66" s="14">
        <f t="shared" si="18"/>
        <v>2.7406698845935364E-2</v>
      </c>
      <c r="G66" s="41">
        <f t="shared" si="10"/>
        <v>2.7406698845935364E-2</v>
      </c>
      <c r="H66" s="41">
        <f t="shared" si="11"/>
        <v>0</v>
      </c>
      <c r="I66" s="41">
        <f t="shared" si="12"/>
        <v>0</v>
      </c>
      <c r="J66" s="41">
        <f t="shared" si="13"/>
        <v>0</v>
      </c>
      <c r="K66" s="41">
        <f t="shared" si="14"/>
        <v>0</v>
      </c>
    </row>
    <row r="67" spans="1:11" x14ac:dyDescent="0.3">
      <c r="A67" s="23" t="s">
        <v>46</v>
      </c>
      <c r="B67" s="24">
        <f t="shared" si="17"/>
        <v>39006</v>
      </c>
      <c r="C67" s="37">
        <f t="shared" si="9"/>
        <v>0.39</v>
      </c>
      <c r="D67" s="14">
        <f t="shared" si="18"/>
        <v>1.3554353178849043E-2</v>
      </c>
      <c r="G67" s="41">
        <f t="shared" si="10"/>
        <v>1.3554353178849043E-2</v>
      </c>
      <c r="H67" s="41">
        <f t="shared" si="11"/>
        <v>0</v>
      </c>
      <c r="I67" s="41">
        <f t="shared" si="12"/>
        <v>0</v>
      </c>
      <c r="J67" s="41">
        <f t="shared" si="13"/>
        <v>0</v>
      </c>
      <c r="K67" s="41">
        <f t="shared" si="14"/>
        <v>0</v>
      </c>
    </row>
    <row r="68" spans="1:11" x14ac:dyDescent="0.3">
      <c r="A68" s="23" t="s">
        <v>48</v>
      </c>
      <c r="B68" s="24">
        <f t="shared" si="17"/>
        <v>38695</v>
      </c>
      <c r="C68" s="37">
        <f t="shared" si="9"/>
        <v>0.39</v>
      </c>
      <c r="D68" s="14">
        <f t="shared" si="18"/>
        <v>1.3762464916582054E-2</v>
      </c>
      <c r="G68" s="41">
        <f t="shared" si="10"/>
        <v>1.3762464916582054E-2</v>
      </c>
      <c r="H68" s="41">
        <f t="shared" si="11"/>
        <v>0</v>
      </c>
      <c r="I68" s="41">
        <f t="shared" si="12"/>
        <v>0</v>
      </c>
      <c r="J68" s="41">
        <f t="shared" si="13"/>
        <v>0</v>
      </c>
      <c r="K68" s="41">
        <f t="shared" si="14"/>
        <v>0</v>
      </c>
    </row>
    <row r="69" spans="1:11" x14ac:dyDescent="0.3">
      <c r="A69" s="23" t="s">
        <v>10</v>
      </c>
      <c r="B69" s="24">
        <f t="shared" si="17"/>
        <v>38889</v>
      </c>
      <c r="C69" s="37">
        <f t="shared" si="9"/>
        <v>0.39</v>
      </c>
      <c r="D69" s="14">
        <f t="shared" si="18"/>
        <v>1.5997093575731359E-2</v>
      </c>
      <c r="G69" s="41">
        <f t="shared" si="10"/>
        <v>1.5997093575731359E-2</v>
      </c>
      <c r="H69" s="41">
        <f t="shared" si="11"/>
        <v>0</v>
      </c>
      <c r="I69" s="41">
        <f t="shared" si="12"/>
        <v>0</v>
      </c>
      <c r="J69" s="41">
        <f t="shared" si="13"/>
        <v>0</v>
      </c>
      <c r="K69" s="41">
        <f t="shared" si="14"/>
        <v>0</v>
      </c>
    </row>
    <row r="70" spans="1:11" x14ac:dyDescent="0.3">
      <c r="A70" s="23" t="s">
        <v>16</v>
      </c>
      <c r="B70" s="24">
        <f t="shared" si="17"/>
        <v>32259</v>
      </c>
      <c r="C70" s="37">
        <f t="shared" si="9"/>
        <v>0.39</v>
      </c>
      <c r="D70" s="14">
        <f t="shared" si="18"/>
        <v>3.3430599145502865E-2</v>
      </c>
      <c r="G70" s="41">
        <f t="shared" si="10"/>
        <v>3.3430599145502865E-2</v>
      </c>
      <c r="H70" s="41">
        <f t="shared" si="11"/>
        <v>0</v>
      </c>
      <c r="I70" s="41">
        <f t="shared" si="12"/>
        <v>0</v>
      </c>
      <c r="J70" s="41">
        <f t="shared" si="13"/>
        <v>0</v>
      </c>
      <c r="K70" s="41">
        <f t="shared" si="14"/>
        <v>0</v>
      </c>
    </row>
    <row r="71" spans="1:11" x14ac:dyDescent="0.3">
      <c r="A71" s="27" t="s">
        <v>42</v>
      </c>
      <c r="B71" s="30">
        <f t="shared" si="17"/>
        <v>38920</v>
      </c>
      <c r="C71" s="37">
        <f t="shared" si="9"/>
        <v>0.39</v>
      </c>
      <c r="D71" s="45">
        <f t="shared" si="18"/>
        <v>1.2891167641249805E-2</v>
      </c>
      <c r="G71" s="42">
        <f t="shared" si="10"/>
        <v>1.2891167641249805E-2</v>
      </c>
      <c r="H71" s="42">
        <f t="shared" si="11"/>
        <v>0</v>
      </c>
      <c r="I71" s="42">
        <f t="shared" si="12"/>
        <v>0</v>
      </c>
      <c r="J71" s="42">
        <f t="shared" si="13"/>
        <v>0</v>
      </c>
      <c r="K71" s="42">
        <f t="shared" si="14"/>
        <v>0</v>
      </c>
    </row>
    <row r="72" spans="1:11" x14ac:dyDescent="0.3">
      <c r="A72" s="23" t="s">
        <v>80</v>
      </c>
      <c r="B72" s="24">
        <f>MIN(B46:B71)</f>
        <v>32259</v>
      </c>
    </row>
    <row r="73" spans="1:11" x14ac:dyDescent="0.3">
      <c r="A73" s="23" t="s">
        <v>81</v>
      </c>
      <c r="B73" s="24">
        <f>MAX(B46:B71)</f>
        <v>60466.366151556867</v>
      </c>
    </row>
    <row r="74" spans="1:11" x14ac:dyDescent="0.3">
      <c r="A74" s="23" t="s">
        <v>82</v>
      </c>
      <c r="B74" s="24">
        <f>AVERAGE(B46:B71)</f>
        <v>41808.870173865529</v>
      </c>
    </row>
    <row r="75" spans="1:11" x14ac:dyDescent="0.3">
      <c r="A75" s="36" t="s">
        <v>104</v>
      </c>
      <c r="B75" s="30">
        <f>B45</f>
        <v>45256</v>
      </c>
    </row>
    <row r="76" spans="1:11" x14ac:dyDescent="0.3">
      <c r="A76" s="23"/>
      <c r="B76" s="24"/>
      <c r="E76" t="s">
        <v>101</v>
      </c>
    </row>
    <row r="78" spans="1:11" x14ac:dyDescent="0.3">
      <c r="A78" s="32" t="s">
        <v>99</v>
      </c>
      <c r="B78" s="32" t="s">
        <v>98</v>
      </c>
      <c r="C78" s="32" t="s">
        <v>97</v>
      </c>
    </row>
    <row r="79" spans="1:11" x14ac:dyDescent="0.3">
      <c r="A79" s="23" t="s">
        <v>83</v>
      </c>
      <c r="B79" s="24" t="s">
        <v>112</v>
      </c>
      <c r="C79" s="37">
        <v>0.05</v>
      </c>
    </row>
    <row r="80" spans="1:11" x14ac:dyDescent="0.3">
      <c r="A80" s="23" t="s">
        <v>84</v>
      </c>
      <c r="B80" s="24" t="s">
        <v>113</v>
      </c>
      <c r="C80" s="37">
        <v>0.09</v>
      </c>
    </row>
    <row r="81" spans="1:5" x14ac:dyDescent="0.3">
      <c r="A81" s="23" t="s">
        <v>85</v>
      </c>
      <c r="B81" s="24" t="s">
        <v>115</v>
      </c>
      <c r="C81" s="37">
        <v>0.17</v>
      </c>
    </row>
    <row r="82" spans="1:5" x14ac:dyDescent="0.3">
      <c r="A82" s="23" t="s">
        <v>100</v>
      </c>
      <c r="B82" s="24" t="s">
        <v>116</v>
      </c>
      <c r="C82" s="37">
        <v>0.27</v>
      </c>
    </row>
    <row r="83" spans="1:5" x14ac:dyDescent="0.3">
      <c r="A83" s="27" t="s">
        <v>86</v>
      </c>
      <c r="B83" s="28" t="s">
        <v>114</v>
      </c>
      <c r="C83" s="38">
        <v>0.39</v>
      </c>
    </row>
    <row r="92" spans="1:5" x14ac:dyDescent="0.3">
      <c r="E92" t="s">
        <v>102</v>
      </c>
    </row>
  </sheetData>
  <mergeCells count="1">
    <mergeCell ref="A1:B1"/>
  </mergeCells>
  <pageMargins left="0.7" right="0.7" top="0.75" bottom="0.75" header="0.3" footer="0.3"/>
  <pageSetup paperSize="9" orientation="portrait" r:id="rId1"/>
  <ignoredErrors>
    <ignoredError sqref="B59 B64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AH6"/>
  <sheetViews>
    <sheetView tabSelected="1" zoomScale="85" zoomScaleNormal="85" workbookViewId="0">
      <selection activeCell="AF12" sqref="AF12"/>
    </sheetView>
  </sheetViews>
  <sheetFormatPr defaultRowHeight="14.4" x14ac:dyDescent="0.3"/>
  <cols>
    <col min="2" max="2" width="12.44140625" customWidth="1"/>
    <col min="4" max="4" width="14.33203125" customWidth="1"/>
    <col min="5" max="31" width="6.21875" customWidth="1"/>
    <col min="32" max="32" width="7" customWidth="1"/>
    <col min="33" max="33" width="8" bestFit="1" customWidth="1"/>
    <col min="34" max="34" width="8.109375" bestFit="1" customWidth="1"/>
    <col min="35" max="35" width="7" customWidth="1"/>
    <col min="36" max="36" width="8.6640625" bestFit="1" customWidth="1"/>
    <col min="37" max="37" width="11.33203125" bestFit="1" customWidth="1"/>
    <col min="38" max="38" width="9.6640625" bestFit="1" customWidth="1"/>
  </cols>
  <sheetData>
    <row r="1" spans="2:34" x14ac:dyDescent="0.3">
      <c r="B1" s="13" t="s">
        <v>87</v>
      </c>
    </row>
    <row r="2" spans="2:34" x14ac:dyDescent="0.3">
      <c r="B2" s="13"/>
    </row>
    <row r="4" spans="2:34" x14ac:dyDescent="0.3">
      <c r="B4" s="1" t="s">
        <v>88</v>
      </c>
      <c r="AF4" s="2"/>
      <c r="AG4" s="3"/>
      <c r="AH4" s="3"/>
    </row>
    <row r="5" spans="2:34" ht="15" thickBot="1" x14ac:dyDescent="0.35">
      <c r="B5" s="4" t="s">
        <v>89</v>
      </c>
      <c r="C5" s="4" t="s">
        <v>108</v>
      </c>
      <c r="D5" s="4" t="s">
        <v>90</v>
      </c>
      <c r="E5" s="5" t="str">
        <f>Regions!C$3</f>
        <v>IE</v>
      </c>
      <c r="F5" s="5" t="str">
        <f>Regions!E$3</f>
        <v>IE-CW</v>
      </c>
      <c r="G5" s="5" t="str">
        <f>Regions!F$3</f>
        <v>IE-D</v>
      </c>
      <c r="H5" s="5" t="str">
        <f>Regions!G$3</f>
        <v>IE-KE</v>
      </c>
      <c r="I5" s="5" t="str">
        <f>Regions!H$3</f>
        <v>IE-KK</v>
      </c>
      <c r="J5" s="5" t="str">
        <f>Regions!I$3</f>
        <v>IE-LS</v>
      </c>
      <c r="K5" s="5" t="str">
        <f>Regions!J$3</f>
        <v>IE-LD</v>
      </c>
      <c r="L5" s="5" t="str">
        <f>Regions!K$3</f>
        <v>IE-LH</v>
      </c>
      <c r="M5" s="5" t="str">
        <f>Regions!L$3</f>
        <v>IE-MH</v>
      </c>
      <c r="N5" s="5" t="str">
        <f>Regions!M$3</f>
        <v>IE-OY</v>
      </c>
      <c r="O5" s="5" t="str">
        <f>Regions!N$3</f>
        <v>IE-WH</v>
      </c>
      <c r="P5" s="5" t="str">
        <f>Regions!O$3</f>
        <v>IE-WX</v>
      </c>
      <c r="Q5" s="5" t="str">
        <f>Regions!P$3</f>
        <v>IE-WW</v>
      </c>
      <c r="R5" s="5" t="str">
        <f>Regions!Q$3</f>
        <v>IE-CE</v>
      </c>
      <c r="S5" s="5" t="str">
        <f>Regions!R$3</f>
        <v>IE-CO</v>
      </c>
      <c r="T5" s="5" t="str">
        <f>Regions!S$3</f>
        <v>IE-KY</v>
      </c>
      <c r="U5" s="5" t="str">
        <f>Regions!T$3</f>
        <v>IE-LK</v>
      </c>
      <c r="V5" s="5" t="str">
        <f>Regions!U$3</f>
        <v>IE-TA</v>
      </c>
      <c r="W5" s="5" t="str">
        <f>Regions!V$3</f>
        <v>IE-WD</v>
      </c>
      <c r="X5" s="5" t="str">
        <f>Regions!W$3</f>
        <v>IE-G</v>
      </c>
      <c r="Y5" s="5" t="str">
        <f>Regions!X$3</f>
        <v>IE-LM</v>
      </c>
      <c r="Z5" s="5" t="str">
        <f>Regions!Y$3</f>
        <v>IE-MO</v>
      </c>
      <c r="AA5" s="5" t="str">
        <f>Regions!Z$3</f>
        <v>IE-RN</v>
      </c>
      <c r="AB5" s="5" t="str">
        <f>Regions!AA$3</f>
        <v>IE-SO</v>
      </c>
      <c r="AC5" s="5" t="str">
        <f>Regions!AB$3</f>
        <v>IE-CN</v>
      </c>
      <c r="AD5" s="5" t="str">
        <f>Regions!AC$3</f>
        <v>IE-DL</v>
      </c>
      <c r="AE5" s="5" t="str">
        <f>Regions!AD$3</f>
        <v>IE-MN</v>
      </c>
      <c r="AF5" s="6" t="s">
        <v>91</v>
      </c>
      <c r="AG5" s="6" t="s">
        <v>92</v>
      </c>
      <c r="AH5" s="6" t="s">
        <v>93</v>
      </c>
    </row>
    <row r="6" spans="2:34" x14ac:dyDescent="0.3">
      <c r="D6" t="s">
        <v>94</v>
      </c>
      <c r="E6" s="46">
        <f>'Hurdle Rates'!C45</f>
        <v>0.17</v>
      </c>
      <c r="F6" s="46">
        <f>'Hurdle Rates'!C46</f>
        <v>0.39</v>
      </c>
      <c r="G6" s="46">
        <f>'Hurdle Rates'!C47</f>
        <v>0.17</v>
      </c>
      <c r="H6" s="46">
        <f>'Hurdle Rates'!C48</f>
        <v>0.05</v>
      </c>
      <c r="I6" s="46">
        <f>'Hurdle Rates'!C49</f>
        <v>0.27</v>
      </c>
      <c r="J6" s="46">
        <f>'Hurdle Rates'!C50</f>
        <v>0.27</v>
      </c>
      <c r="K6" s="46">
        <f>'Hurdle Rates'!C51</f>
        <v>0.39</v>
      </c>
      <c r="L6" s="46">
        <f>'Hurdle Rates'!C52</f>
        <v>0.39</v>
      </c>
      <c r="M6" s="46">
        <f>'Hurdle Rates'!C53</f>
        <v>0.09</v>
      </c>
      <c r="N6" s="46">
        <f>'Hurdle Rates'!C54</f>
        <v>0.39</v>
      </c>
      <c r="O6" s="46">
        <f>'Hurdle Rates'!C55</f>
        <v>0.27</v>
      </c>
      <c r="P6" s="46">
        <f>'Hurdle Rates'!C56</f>
        <v>0.39</v>
      </c>
      <c r="Q6" s="46">
        <f>'Hurdle Rates'!C57</f>
        <v>0.17</v>
      </c>
      <c r="R6" s="46">
        <f>'Hurdle Rates'!C58</f>
        <v>0.27</v>
      </c>
      <c r="S6" s="46">
        <f>'Hurdle Rates'!C59</f>
        <v>0.17</v>
      </c>
      <c r="T6" s="46">
        <f>'Hurdle Rates'!C60</f>
        <v>0.39</v>
      </c>
      <c r="U6" s="46">
        <f>'Hurdle Rates'!C61</f>
        <v>0.27</v>
      </c>
      <c r="V6" s="46">
        <f>'Hurdle Rates'!C62</f>
        <v>0.39</v>
      </c>
      <c r="W6" s="46">
        <f>'Hurdle Rates'!C63</f>
        <v>0.39</v>
      </c>
      <c r="X6" s="46">
        <f>'Hurdle Rates'!C64</f>
        <v>0.27</v>
      </c>
      <c r="Y6" s="46">
        <f>'Hurdle Rates'!C65</f>
        <v>0.39</v>
      </c>
      <c r="Z6" s="46">
        <f>'Hurdle Rates'!C66</f>
        <v>0.39</v>
      </c>
      <c r="AA6" s="46">
        <f>'Hurdle Rates'!C67</f>
        <v>0.39</v>
      </c>
      <c r="AB6" s="46">
        <f>'Hurdle Rates'!C68</f>
        <v>0.39</v>
      </c>
      <c r="AC6" s="46">
        <f>'Hurdle Rates'!C69</f>
        <v>0.39</v>
      </c>
      <c r="AD6" s="46">
        <f>'Hurdle Rates'!C70</f>
        <v>0.39</v>
      </c>
      <c r="AE6" s="46">
        <f>'Hurdle Rates'!C71</f>
        <v>0.39</v>
      </c>
      <c r="AG6" t="s">
        <v>95</v>
      </c>
      <c r="AH6" t="s">
        <v>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Hurdle Rates</vt:lpstr>
      <vt:lpstr>INS</vt:lpstr>
    </vt:vector>
  </TitlesOfParts>
  <Manager/>
  <Company>KanORS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vahid Aryanpur</cp:lastModifiedBy>
  <cp:revision/>
  <dcterms:created xsi:type="dcterms:W3CDTF">2009-05-27T15:40:55Z</dcterms:created>
  <dcterms:modified xsi:type="dcterms:W3CDTF">2021-08-27T08:26:51Z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863155543804168</vt:r8>
  </property>
</Properties>
</file>