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265A80D0-49A6-47D5-B831-9FC681B9AB9B}" xr6:coauthVersionLast="45" xr6:coauthVersionMax="45" xr10:uidLastSave="{00000000-0000-0000-0000-000000000000}"/>
  <bookViews>
    <workbookView xWindow="-120" yWindow="-120" windowWidth="29040" windowHeight="15840" firstSheet="1" activeTab="8"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7" i="65" l="1"/>
  <c r="B15" i="65"/>
  <c r="B14" i="65"/>
  <c r="B9" i="65"/>
  <c r="B8" i="65"/>
  <c r="C8" i="65"/>
  <c r="L7" i="65"/>
  <c r="L12" i="65"/>
  <c r="L13" i="65"/>
  <c r="L16" i="65"/>
  <c r="M10" i="65"/>
  <c r="M11" i="65"/>
  <c r="M12" i="65"/>
  <c r="M13" i="65"/>
  <c r="M14" i="65"/>
  <c r="M15" i="65"/>
  <c r="M16" i="65"/>
  <c r="M17" i="65"/>
  <c r="M7" i="65"/>
  <c r="M8" i="65"/>
  <c r="M9" i="65"/>
  <c r="M6" i="65"/>
  <c r="B7" i="65"/>
  <c r="B12" i="65"/>
  <c r="B13" i="65"/>
  <c r="B16" i="65"/>
  <c r="B6" i="65"/>
  <c r="AH135" i="59" l="1"/>
  <c r="AI135" i="59"/>
  <c r="AH136" i="59"/>
  <c r="AI136" i="59"/>
  <c r="AH137" i="59"/>
  <c r="AI137" i="59"/>
  <c r="AH138" i="59"/>
  <c r="AI138" i="59"/>
  <c r="AH139" i="59"/>
  <c r="AI139" i="59"/>
  <c r="AH140" i="59"/>
  <c r="AI140" i="59"/>
  <c r="AH141" i="59"/>
  <c r="AI141" i="59"/>
  <c r="AH142" i="59"/>
  <c r="AI142" i="59"/>
  <c r="AH143" i="59"/>
  <c r="AI143" i="59"/>
  <c r="AH144" i="59"/>
  <c r="AI144" i="59"/>
  <c r="AH145" i="59"/>
  <c r="AI145" i="59"/>
  <c r="AH146" i="59"/>
  <c r="AI146" i="59"/>
  <c r="AH147" i="59"/>
  <c r="AI147" i="59"/>
  <c r="AH148" i="59"/>
  <c r="AI148" i="59"/>
  <c r="AH149" i="59"/>
  <c r="AI149" i="59"/>
  <c r="AH150" i="59"/>
  <c r="AI150" i="59"/>
  <c r="AH151" i="59"/>
  <c r="AI151" i="59"/>
  <c r="AH152" i="59"/>
  <c r="AI152" i="59"/>
  <c r="AH153" i="59"/>
  <c r="AI153" i="59"/>
  <c r="AH154" i="59"/>
  <c r="AI154" i="59"/>
  <c r="AG136" i="59"/>
  <c r="AG137" i="59"/>
  <c r="AG138" i="59"/>
  <c r="AG139" i="59"/>
  <c r="AG140" i="59"/>
  <c r="AG141" i="59"/>
  <c r="AG142" i="59"/>
  <c r="AG143" i="59"/>
  <c r="AG144" i="59"/>
  <c r="AG145" i="59"/>
  <c r="AG146" i="59"/>
  <c r="AG147" i="59"/>
  <c r="AG148" i="59"/>
  <c r="AG149" i="59"/>
  <c r="AG150" i="59"/>
  <c r="AG151" i="59"/>
  <c r="AG152" i="59"/>
  <c r="AG153" i="59"/>
  <c r="AG154" i="59"/>
  <c r="AG135" i="59"/>
  <c r="B72" i="43" l="1"/>
  <c r="B71" i="43"/>
  <c r="E6" i="61" l="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D21" i="61"/>
  <c r="D22" i="61"/>
  <c r="D20" i="61"/>
  <c r="B70" i="43" l="1"/>
  <c r="D7" i="61" l="1"/>
  <c r="D8" i="61"/>
  <c r="D9" i="61"/>
  <c r="D10" i="61"/>
  <c r="D11" i="61"/>
  <c r="D12" i="61"/>
  <c r="D13" i="61"/>
  <c r="D14" i="61"/>
  <c r="D15" i="61"/>
  <c r="D16" i="61"/>
  <c r="D17" i="61"/>
  <c r="D18" i="61"/>
  <c r="D19" i="61"/>
  <c r="D6" i="61"/>
  <c r="E24" i="61" l="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D24" i="61"/>
  <c r="E74" i="59" l="1"/>
  <c r="X178" i="59"/>
  <c r="U178" i="59"/>
  <c r="W74" i="59" s="1"/>
  <c r="K178" i="59"/>
  <c r="E178" i="59"/>
  <c r="G74" i="59" s="1"/>
  <c r="F74" i="59"/>
  <c r="H74" i="59"/>
  <c r="I74" i="59"/>
  <c r="J74" i="59"/>
  <c r="K74" i="59"/>
  <c r="L74" i="59"/>
  <c r="M74" i="59"/>
  <c r="N74" i="59"/>
  <c r="O74" i="59"/>
  <c r="P74" i="59"/>
  <c r="Q74" i="59"/>
  <c r="R74" i="59"/>
  <c r="S74" i="59"/>
  <c r="T74" i="59"/>
  <c r="U74" i="59"/>
  <c r="V74" i="59"/>
  <c r="X74" i="59"/>
  <c r="Y74" i="59"/>
  <c r="Z74" i="59"/>
  <c r="AA74" i="59"/>
  <c r="AB74" i="59"/>
  <c r="AC74" i="59"/>
  <c r="AD74" i="59"/>
  <c r="AE74" i="59"/>
  <c r="G72" i="59"/>
  <c r="H72" i="59"/>
  <c r="I72" i="59"/>
  <c r="J72" i="59"/>
  <c r="K72" i="59"/>
  <c r="L72" i="59"/>
  <c r="M72" i="59"/>
  <c r="N72" i="59"/>
  <c r="O72" i="59"/>
  <c r="P72" i="59"/>
  <c r="Q72" i="59"/>
  <c r="R72" i="59"/>
  <c r="S72" i="59"/>
  <c r="T72" i="59"/>
  <c r="U72" i="59"/>
  <c r="V72" i="59"/>
  <c r="W72" i="59"/>
  <c r="X72" i="59"/>
  <c r="Y72" i="59"/>
  <c r="Z72" i="59"/>
  <c r="AA72" i="59"/>
  <c r="AB72" i="59"/>
  <c r="AC72" i="59"/>
  <c r="AD72" i="59"/>
  <c r="AE72" i="59"/>
  <c r="G73" i="59"/>
  <c r="H73" i="59"/>
  <c r="I73" i="59"/>
  <c r="J73" i="59"/>
  <c r="K73" i="59"/>
  <c r="L73" i="59"/>
  <c r="M73" i="59"/>
  <c r="N73" i="59"/>
  <c r="O73" i="59"/>
  <c r="P73" i="59"/>
  <c r="Q73" i="59"/>
  <c r="R73" i="59"/>
  <c r="S73" i="59"/>
  <c r="T73" i="59"/>
  <c r="U73" i="59"/>
  <c r="V73" i="59"/>
  <c r="W73" i="59"/>
  <c r="X73" i="59"/>
  <c r="Y73" i="59"/>
  <c r="Z73" i="59"/>
  <c r="AA73" i="59"/>
  <c r="AB73" i="59"/>
  <c r="AC73" i="59"/>
  <c r="AD73" i="59"/>
  <c r="AE73" i="59"/>
  <c r="F73" i="59"/>
  <c r="E73" i="59" s="1"/>
  <c r="F72" i="59"/>
  <c r="C8" i="43" l="1"/>
  <c r="E8" i="43" s="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D34" i="64"/>
  <c r="C14" i="65" s="1"/>
  <c r="L14" i="65" s="1"/>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C78" i="59"/>
  <c r="C77" i="59"/>
  <c r="C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L15" i="65" s="1"/>
  <c r="D32" i="64"/>
  <c r="C16" i="65" s="1"/>
  <c r="C17" i="65"/>
  <c r="L17" i="65" s="1"/>
  <c r="N13" i="64"/>
  <c r="N14" i="64"/>
  <c r="C54" i="59"/>
  <c r="C55" i="59" l="1"/>
  <c r="N10" i="64"/>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AD25"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K25" i="61"/>
  <c r="S25" i="61"/>
  <c r="M25" i="61"/>
  <c r="E25" i="61"/>
  <c r="AC25" i="61"/>
  <c r="AA25" i="61"/>
  <c r="U25" i="61"/>
  <c r="G85" i="61"/>
  <c r="Y76" i="61"/>
  <c r="Z25" i="61"/>
  <c r="R25" i="61"/>
  <c r="J25" i="61"/>
  <c r="F83" i="61"/>
  <c r="Y25" i="61"/>
  <c r="Q25" i="61"/>
  <c r="I25" i="61"/>
  <c r="X25" i="61"/>
  <c r="P25" i="61"/>
  <c r="H25" i="61"/>
  <c r="W25" i="61"/>
  <c r="O25" i="61"/>
  <c r="G25" i="61"/>
  <c r="V25" i="61"/>
  <c r="N25" i="61"/>
  <c r="F25" i="61"/>
  <c r="AB25" i="61"/>
  <c r="T25" i="61"/>
  <c r="L25"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N6" i="64"/>
  <c r="D25" i="64"/>
  <c r="L8" i="65" s="1"/>
  <c r="N7" i="64"/>
  <c r="D26" i="64"/>
  <c r="C9" i="65" s="1"/>
  <c r="L9" i="65" s="1"/>
  <c r="N8" i="64"/>
  <c r="D27" i="64"/>
  <c r="C10" i="65" s="1"/>
  <c r="B10" i="65" s="1"/>
  <c r="L10" i="65" s="1"/>
  <c r="N9" i="64"/>
  <c r="D28" i="64"/>
  <c r="C11" i="65" s="1"/>
  <c r="B11" i="65" s="1"/>
  <c r="L11" i="65" s="1"/>
  <c r="D29" i="64"/>
  <c r="C12" i="65" s="1"/>
  <c r="N11" i="64"/>
  <c r="D30" i="64"/>
  <c r="C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3" i="61"/>
  <c r="T83" i="61"/>
  <c r="S112" i="61"/>
  <c r="U85" i="61"/>
  <c r="E289" i="59"/>
  <c r="C178" i="59"/>
  <c r="A289" i="59"/>
  <c r="X8" i="43" s="1"/>
  <c r="D289" i="59"/>
  <c r="K8" i="43" s="1"/>
  <c r="B289" i="59"/>
  <c r="C289" i="59"/>
  <c r="U8" i="43" s="1"/>
  <c r="C50" i="59"/>
  <c r="D73" i="59"/>
  <c r="D72" i="59"/>
  <c r="C32" i="59"/>
  <c r="C33" i="59"/>
  <c r="B33" i="59"/>
  <c r="B32" i="59"/>
  <c r="A73" i="59"/>
  <c r="A121" i="59" s="1"/>
  <c r="A72" i="59"/>
  <c r="A120" i="59" s="1"/>
  <c r="D177" i="59"/>
  <c r="E177" i="59"/>
  <c r="F177" i="59"/>
  <c r="G177" i="59"/>
  <c r="H177" i="59"/>
  <c r="I177" i="59"/>
  <c r="J177" i="59"/>
  <c r="K177" i="59"/>
  <c r="L177" i="59"/>
  <c r="M177" i="59"/>
  <c r="N177" i="59"/>
  <c r="O177" i="59"/>
  <c r="P177" i="59"/>
  <c r="Q177" i="59"/>
  <c r="R177" i="59"/>
  <c r="S177" i="59"/>
  <c r="T177" i="59"/>
  <c r="U177" i="59"/>
  <c r="V177" i="59"/>
  <c r="W177" i="59"/>
  <c r="X177" i="59"/>
  <c r="Y177" i="59"/>
  <c r="Z177" i="59"/>
  <c r="AA177" i="59"/>
  <c r="AB177" i="59"/>
  <c r="AC177" i="59"/>
  <c r="D176" i="59"/>
  <c r="E176" i="59"/>
  <c r="F176" i="59"/>
  <c r="G176" i="59"/>
  <c r="H176" i="59"/>
  <c r="I176" i="59"/>
  <c r="J176" i="59"/>
  <c r="K176" i="59"/>
  <c r="L176" i="59"/>
  <c r="M176" i="59"/>
  <c r="N176" i="59"/>
  <c r="O176" i="59"/>
  <c r="P176" i="59"/>
  <c r="Q176" i="59"/>
  <c r="R176" i="59"/>
  <c r="S176" i="59"/>
  <c r="T176" i="59"/>
  <c r="U176" i="59"/>
  <c r="V176" i="59"/>
  <c r="W176" i="59"/>
  <c r="X176" i="59"/>
  <c r="Y176" i="59"/>
  <c r="Z176" i="59"/>
  <c r="AA176" i="59"/>
  <c r="AB176" i="59"/>
  <c r="AC176" i="59"/>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B87" i="43"/>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3" i="61"/>
  <c r="D113" i="61"/>
  <c r="E173" i="59"/>
  <c r="E48" i="59"/>
  <c r="C70" i="59"/>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E64" i="59"/>
  <c r="B98" i="43" s="1"/>
  <c r="E52" i="59"/>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<sst xmlns="http://schemas.openxmlformats.org/spreadsheetml/2006/main" count="3041" uniqueCount="1111">
  <si>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</si>
  <si>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</si>
  <si>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</si>
  <si>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</si>
  <si>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</si>
  <si>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</si>
  <si>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</si>
  <si>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</si>
  <si>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</si>
  <si>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</si>
  <si>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</si>
  <si>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</si>
  <si>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</si>
  <si>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</si>
  <si>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</si>
  <si>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</si>
  <si>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</si>
  <si>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</si>
  <si>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</si>
  <si>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</si>
  <si>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</si>
  <si>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</si>
  <si>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</si>
  <si>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</si>
  <si>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</si>
  <si>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</si>
  <si>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</si>
  <si>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</si>
  <si>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</si>
  <si>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</si>
  <si>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</si>
  <si>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</si>
  <si>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</si>
  <si>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</si>
  <si>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</si>
  <si>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</si>
  <si>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</si>
  <si>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</si>
  <si>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</si>
  <si>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</si>
  <si>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</si>
  <si>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</si>
  <si>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</si>
  <si>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</si>
  <si>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</si>
  <si>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</si>
  <si>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</si>
  <si>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</si>
  <si>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</si>
  <si>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</si>
  <si>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</si>
  <si>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</si>
  <si>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</si>
  <si>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</si>
  <si>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</si>
  <si>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</si>
  <si>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</si>
  <si>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</si>
  <si>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</si>
  <si>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</si>
  <si>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</si>
  <si>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</si>
  <si>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</si>
  <si>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</si>
  <si>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</si>
  <si>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</si>
  <si>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</si>
  <si>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</si>
  <si>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</si>
  <si>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</si>
  <si>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</si>
  <si>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</si>
  <si>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</si>
  <si>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</si>
  <si>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</si>
  <si>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</si>
  <si>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</si>
  <si>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</si>
  <si>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</si>
  <si>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</si>
  <si>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</si>
  <si>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</si>
  <si>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</si>
  <si>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</si>
  <si>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</si>
  <si>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</si>
  <si>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</si>
  <si>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</si>
  <si>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</si>
  <si>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</si>
  <si>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</si>
  <si>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</si>
  <si>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</si>
  <si>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</si>
  <si>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</si>
  <si>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</si>
  <si>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</si>
  <si>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</si>
  <si>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</si>
  <si>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</si>
  <si>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</si>
  <si>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</si>
  <si>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</si>
  <si>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</si>
  <si>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</si>
  <si>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</si>
  <si>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</si>
  <si>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</si>
  <si>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</si>
  <si>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</si>
  <si>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</si>
  <si>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</si>
  <si>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</si>
  <si>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</si>
  <si>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</si>
  <si>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</si>
  <si>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</si>
  <si>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</si>
  <si>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</si>
  <si>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</si>
  <si>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</si>
  <si>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</si>
  <si>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</si>
  <si>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</si>
  <si>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</si>
  <si>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</si>
  <si>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</si>
  <si>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</si>
  <si>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</si>
  <si>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</si>
  <si>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</si>
  <si>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</si>
  <si>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</si>
  <si>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</si>
  <si>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</si>
  <si>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</si>
  <si>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</si>
  <si>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</si>
  <si>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</si>
  <si>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</si>
  <si>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</si>
  <si>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</si>
  <si>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</si>
  <si>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</si>
  <si>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</si>
  <si>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</si>
  <si>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</si>
  <si>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</si>
  <si>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</si>
  <si>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</si>
  <si>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</si>
  <si>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</si>
  <si>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</si>
  <si>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</si>
  <si>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</si>
  <si>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</si>
  <si>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</si>
  <si>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</si>
  <si>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</si>
  <si>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</si>
  <si>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</si>
  <si>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</si>
  <si>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</si>
  <si>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</si>
  <si>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</si>
  <si>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</si>
  <si>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</si>
  <si>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</si>
  <si>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</si>
  <si>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</si>
  <si>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</si>
  <si>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</si>
  <si>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</si>
  <si>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</si>
  <si>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</si>
  <si>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</si>
  <si>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</si>
  <si>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</si>
  <si>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</si>
  <si>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</si>
  <si>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</si>
  <si>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</si>
  <si>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</si>
  <si>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</si>
  <si>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</si>
  <si>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</si>
  <si>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</si>
  <si>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</si>
  <si>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</si>
  <si>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</si>
  <si>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</si>
  <si>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</si>
  <si>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</si>
  <si>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</si>
  <si>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</si>
  <si>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</si>
  <si>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</si>
  <si>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</si>
  <si>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</si>
  <si>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</si>
  <si>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</si>
  <si>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</si>
  <si>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</si>
  <si>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</si>
  <si>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</si>
  <si>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</si>
  <si>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</si>
  <si>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</si>
  <si>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</si>
  <si>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</si>
  <si>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</si>
  <si>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</si>
  <si>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</si>
  <si>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</si>
  <si>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</si>
  <si>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</si>
  <si>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</si>
  <si>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</si>
  <si>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</si>
  <si>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</si>
  <si>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</si>
  <si>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</si>
  <si>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</si>
  <si>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</si>
  <si>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</si>
  <si>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</si>
  <si>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</si>
  <si>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</si>
  <si>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</si>
  <si>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</si>
  <si>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</si>
  <si>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</si>
  <si>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</si>
  <si>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</si>
  <si>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</si>
  <si>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</si>
  <si>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</si>
  <si>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</si>
  <si>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</si>
  <si>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</si>
  <si>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</si>
  <si>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</si>
  <si>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</si>
  <si>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</si>
  <si>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</si>
  <si>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</si>
  <si>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</si>
  <si>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</si>
  <si>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</si>
  <si>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</si>
  <si>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</si>
  <si>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</si>
  <si>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</si>
  <si>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</si>
  <si>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</si>
  <si>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</si>
  <si>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</si>
  <si>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</si>
  <si>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</si>
  <si>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</si>
  <si>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</si>
  <si>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</si>
  <si>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</si>
  <si>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</si>
  <si>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</si>
  <si>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</si>
  <si>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</si>
  <si>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</si>
  <si>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</si>
  <si>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</si>
  <si>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</si>
  <si>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</si>
  <si>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</si>
  <si>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</si>
  <si>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</si>
  <si>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</si>
  <si>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</si>
  <si>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</si>
  <si>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</si>
  <si>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</si>
  <si>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</si>
  <si>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</si>
  <si>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</si>
  <si>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</si>
  <si>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</si>
  <si>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</si>
  <si>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</si>
  <si>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</si>
  <si>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</si>
  <si>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</si>
  <si>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</si>
  <si>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</si>
  <si>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</si>
  <si>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</si>
  <si>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</si>
  <si>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</si>
  <si>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</si>
  <si>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</si>
  <si>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</si>
  <si>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</si>
  <si>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</si>
  <si>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</si>
  <si>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</si>
  <si>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</si>
  <si>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</si>
  <si>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</si>
  <si>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</si>
  <si>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</si>
  <si>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</si>
  <si>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</si>
  <si>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</si>
  <si>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</si>
  <si>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</si>
  <si>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</si>
  <si>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</si>
  <si>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</si>
  <si>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</si>
  <si>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</si>
  <si>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</si>
  <si>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</si>
  <si>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</si>
  <si>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</si>
  <si>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</si>
  <si>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</si>
  <si>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</si>
  <si>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</si>
  <si>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</si>
  <si>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</si>
  <si>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</si>
  <si>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</si>
  <si>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</si>
  <si>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</si>
  <si>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</si>
  <si>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</si>
  <si>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</si>
  <si>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</si>
  <si>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</si>
  <si>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</si>
  <si>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</si>
  <si>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</si>
  <si>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</si>
  <si>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</si>
  <si>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</si>
  <si>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</si>
  <si>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</si>
  <si>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</si>
  <si>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</si>
  <si>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</si>
  <si>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</si>
  <si>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</si>
  <si>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</si>
  <si>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</si>
  <si>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</si>
  <si>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</si>
  <si>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</si>
  <si>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</si>
  <si>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</si>
  <si>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</si>
  <si>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</si>
  <si>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</si>
  <si>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</si>
  <si>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</si>
  <si>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</si>
  <si>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</si>
  <si>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</si>
  <si>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</si>
  <si>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</si>
  <si>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</si>
  <si>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</si>
  <si>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</si>
  <si>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</si>
  <si>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</si>
  <si>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</si>
  <si>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</si>
  <si>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</si>
  <si>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</si>
  <si>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</si>
  <si>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</si>
  <si>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</si>
  <si>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</si>
  <si>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</si>
  <si>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</si>
  <si>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</si>
  <si>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</si>
  <si>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</si>
  <si>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</si>
  <si>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</si>
  <si>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</si>
  <si>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</si>
  <si>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</si>
  <si>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</si>
  <si>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</si>
  <si>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</si>
  <si>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</si>
  <si>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</si>
  <si>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</si>
  <si>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</si>
  <si>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</si>
  <si>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</si>
  <si>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</si>
  <si>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</si>
  <si>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</si>
  <si>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</si>
  <si>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</si>
  <si>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</si>
  <si>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</si>
  <si>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</si>
  <si>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</si>
  <si>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</si>
  <si>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</si>
  <si>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</si>
  <si>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</si>
  <si>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</si>
  <si>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</si>
  <si>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</si>
  <si>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</si>
  <si>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</si>
  <si>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</si>
  <si>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</si>
  <si>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</si>
  <si>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</si>
  <si>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</si>
  <si>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</si>
  <si>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</si>
  <si>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</si>
  <si>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</si>
  <si>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</si>
  <si>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</si>
  <si>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</si>
  <si>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</si>
  <si>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</si>
  <si>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</si>
  <si>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</si>
  <si>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</si>
  <si>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</si>
  <si>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</si>
  <si>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</si>
  <si>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</si>
  <si>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</si>
  <si>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</si>
  <si>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</si>
  <si>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</si>
  <si>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</si>
  <si>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</si>
  <si>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</si>
  <si>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</si>
  <si>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</si>
  <si>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</si>
  <si>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</si>
  <si>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</si>
  <si>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</si>
  <si>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</si>
  <si>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</si>
  <si>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</si>
  <si>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</si>
  <si>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</si>
  <si>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</si>
  <si>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</si>
  <si>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</si>
  <si>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</si>
  <si>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</si>
  <si>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</si>
  <si>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</si>
  <si>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</si>
  <si>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</si>
  <si>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</si>
  <si>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</si>
  <si>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</si>
  <si>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</si>
  <si>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</si>
  <si>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</si>
  <si>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</si>
  <si>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</si>
  <si>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</si>
  <si>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</si>
  <si>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</si>
  <si>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</si>
  <si>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</si>
  <si>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</si>
  <si>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</si>
  <si>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</si>
  <si>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</si>
  <si>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</si>
  <si>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</si>
  <si>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</si>
  <si>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</si>
  <si>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</si>
  <si>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</si>
  <si>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</si>
  <si>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</si>
  <si>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</si>
  <si>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</si>
  <si>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</si>
  <si>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</si>
  <si>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</si>
  <si>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</si>
  <si>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</si>
  <si>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</si>
  <si>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</si>
  <si>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</si>
  <si>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</si>
  <si>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</si>
  <si>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</si>
  <si>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</si>
  <si>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</si>
  <si>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</si>
  <si>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</si>
  <si>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</si>
  <si>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</si>
  <si>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</si>
  <si>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</si>
  <si>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</si>
  <si>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</si>
  <si>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</si>
  <si>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</si>
  <si>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</si>
  <si>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</si>
  <si>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</si>
  <si>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</si>
  <si>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</si>
  <si>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</si>
  <si>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</si>
  <si>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</si>
  <si>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</si>
  <si>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</si>
  <si>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</si>
  <si>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</si>
  <si>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</si>
  <si>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</si>
  <si>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</si>
  <si>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</si>
  <si>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</si>
  <si>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</si>
  <si>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</si>
  <si>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</si>
  <si>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</si>
  <si>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</si>
  <si>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</si>
  <si>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</si>
  <si>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</si>
  <si>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</si>
  <si>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</si>
  <si>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</si>
  <si>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</si>
  <si>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</si>
  <si>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</si>
  <si>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</si>
  <si>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</si>
  <si>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</si>
  <si>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</si>
  <si>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</si>
  <si>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</si>
  <si>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</si>
  <si>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</si>
  <si>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</si>
  <si>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</si>
  <si>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</si>
  <si>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</si>
  <si>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</si>
  <si>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</si>
  <si>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</si>
  <si>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</si>
  <si>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</si>
  <si>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</si>
  <si>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</si>
  <si>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</si>
  <si>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</si>
  <si>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</si>
  <si>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</si>
  <si>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</si>
  <si>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</si>
  <si>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</si>
  <si>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</si>
  <si>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</si>
  <si>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</si>
  <si>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</si>
  <si>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</si>
  <si>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</si>
  <si>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</si>
  <si>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</si>
  <si>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</si>
  <si>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</si>
  <si>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</si>
  <si>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</si>
  <si>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</si>
  <si>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</si>
  <si>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</si>
  <si>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</si>
  <si>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</si>
  <si>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</si>
  <si>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</si>
  <si>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</si>
  <si>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</si>
  <si>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</si>
  <si>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</si>
  <si>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</si>
  <si>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</si>
  <si>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</si>
  <si>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</si>
  <si>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</si>
  <si>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</si>
  <si>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</si>
  <si>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</si>
  <si>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</si>
  <si>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</si>
  <si>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</si>
  <si>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</si>
  <si>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</si>
  <si>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</si>
  <si>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</si>
  <si>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</si>
  <si>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</si>
  <si>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</si>
  <si>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</si>
  <si>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</si>
  <si>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</si>
  <si>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</si>
  <si>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</si>
  <si>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</si>
  <si>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</si>
  <si>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</si>
  <si>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</si>
  <si>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</si>
  <si>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</si>
  <si>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</si>
  <si>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</si>
  <si>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</si>
  <si>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</si>
  <si>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</si>
  <si>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</si>
  <si>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</si>
  <si>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</si>
  <si>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</si>
  <si>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</si>
  <si>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</si>
  <si>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</si>
  <si>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</si>
  <si>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</si>
  <si>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</si>
  <si>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</si>
  <si>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</si>
  <si>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</si>
  <si>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</si>
  <si>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</si>
  <si>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</si>
  <si>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</si>
  <si>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</si>
  <si>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</si>
  <si>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</si>
  <si>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</si>
  <si>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</si>
  <si>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</si>
  <si>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</si>
  <si>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</si>
  <si>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</si>
  <si>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</si>
  <si>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</si>
  <si>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</si>
  <si>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</si>
  <si>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</si>
  <si>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</si>
  <si>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</si>
  <si>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</si>
  <si>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</si>
  <si>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</si>
  <si>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</si>
  <si>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</si>
  <si>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</si>
  <si>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</si>
  <si>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</si>
  <si>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</si>
  <si>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</si>
  <si>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</si>
  <si>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</si>
  <si>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</si>
  <si>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</si>
  <si>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</si>
  <si>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</si>
  <si>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</si>
  <si>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</si>
  <si>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</si>
  <si>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</si>
  <si>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</si>
  <si>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</si>
  <si>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</si>
  <si>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</si>
  <si>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</si>
  <si>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</si>
  <si>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</si>
  <si>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</si>
  <si>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</si>
  <si>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</si>
  <si>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</si>
  <si>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</si>
  <si>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</si>
  <si>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</si>
  <si>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</si>
  <si>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</si>
  <si>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</si>
  <si>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</si>
  <si>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</si>
  <si>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</si>
  <si>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</si>
  <si>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</si>
  <si>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</si>
  <si>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</si>
  <si>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</si>
  <si>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</si>
  <si>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</si>
  <si>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</si>
  <si>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</si>
  <si>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</si>
  <si>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</si>
  <si>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</si>
  <si>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</si>
  <si>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</si>
  <si>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</si>
  <si>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</si>
  <si>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</si>
  <si>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</si>
  <si>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</si>
  <si>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</si>
  <si>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</si>
  <si>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</si>
  <si>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</si>
  <si>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</si>
  <si>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</si>
  <si>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</si>
  <si>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</si>
  <si>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</si>
  <si>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</si>
  <si>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</si>
  <si>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</si>
  <si>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</si>
  <si>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</si>
  <si>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</si>
  <si>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</si>
  <si>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</si>
  <si>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</si>
  <si>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</si>
  <si>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</si>
  <si>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</si>
  <si>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</si>
  <si>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</si>
  <si>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</si>
  <si>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</si>
  <si>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</si>
  <si>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</si>
  <si>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</si>
  <si>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</si>
  <si>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</si>
  <si>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</si>
  <si>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</si>
  <si>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</si>
  <si>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</si>
  <si>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</si>
  <si>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</si>
  <si>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</si>
  <si>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</si>
  <si>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</si>
  <si>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</si>
  <si>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</si>
  <si>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</si>
  <si>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</si>
  <si>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</si>
  <si>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</si>
  <si>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</si>
  <si>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</si>
  <si>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</si>
  <si>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</si>
  <si>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</si>
  <si>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</si>
  <si>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</si>
  <si>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</si>
  <si>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</si>
  <si>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</si>
  <si>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</si>
  <si>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</si>
  <si>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</si>
  <si>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</si>
  <si>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</si>
  <si>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</si>
  <si>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</si>
  <si>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</si>
  <si>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</si>
  <si>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</si>
  <si>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</si>
  <si>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</si>
  <si>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</si>
  <si>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</si>
  <si>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</si>
  <si>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</si>
  <si>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</si>
  <si>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</si>
  <si>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</si>
  <si>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</si>
  <si>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</si>
  <si>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</si>
  <si>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</si>
  <si>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</si>
  <si>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</si>
  <si>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</si>
  <si>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</si>
  <si>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</si>
  <si>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</si>
  <si>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</si>
  <si>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</si>
  <si>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</si>
  <si>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</si>
  <si>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</si>
  <si>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</si>
  <si>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</si>
  <si>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</si>
  <si>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</si>
  <si>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</si>
  <si>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</si>
  <si>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</si>
  <si>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</si>
  <si>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</si>
  <si>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</si>
  <si>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</si>
  <si>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</si>
  <si>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</si>
  <si>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</si>
  <si>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</si>
  <si>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</si>
  <si>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</si>
  <si>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</si>
  <si>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</si>
  <si>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</si>
  <si>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</si>
  <si>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</si>
  <si>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</si>
  <si>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</si>
  <si>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</si>
  <si>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</si>
  <si>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</si>
  <si>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</si>
  <si>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</si>
  <si>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</si>
  <si>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</si>
  <si>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</si>
  <si>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</si>
  <si>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</si>
  <si>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</si>
  <si>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</si>
  <si>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</si>
  <si>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</si>
  <si>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</si>
  <si>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</si>
  <si>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</si>
  <si>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</si>
  <si>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</si>
  <si>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</si>
  <si>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</si>
  <si>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</si>
  <si>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</si>
  <si>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</si>
  <si>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</si>
  <si>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</si>
  <si>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</si>
  <si>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</si>
  <si>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</si>
  <si>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</si>
  <si>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</si>
  <si>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</si>
  <si>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</si>
  <si>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</si>
  <si>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</si>
  <si>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</si>
  <si>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</si>
  <si>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</si>
  <si>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</si>
  <si>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</si>
  <si>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</si>
  <si>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</si>
  <si>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</si>
  <si>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</si>
  <si>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</si>
  <si>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</si>
  <si>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</si>
  <si>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</si>
  <si>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</si>
  <si>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</si>
  <si>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</si>
  <si>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</si>
  <si>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</si>
  <si>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</si>
  <si>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</si>
  <si>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</si>
  <si>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</si>
  <si>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</si>
  <si>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</si>
  <si>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</si>
  <si>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</si>
  <si>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</si>
  <si>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</si>
  <si>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</si>
  <si>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</si>
  <si>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</si>
  <si>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</si>
  <si>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</si>
  <si>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</si>
  <si>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</si>
  <si>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</si>
  <si>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</si>
  <si>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</si>
  <si>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</si>
  <si>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</si>
  <si>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</si>
  <si>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</si>
  <si>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</si>
  <si>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</si>
  <si>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</si>
  <si>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</si>
  <si>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</si>
  <si>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</si>
  <si>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</si>
  <si>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~FI_T: AF</t>
  </si>
  <si>
    <t>Calibration for demand</t>
  </si>
  <si>
    <t>Mpkm/yr</t>
  </si>
  <si>
    <t>Mtkm/yr</t>
  </si>
  <si>
    <t>*Trucks and Rail</t>
  </si>
  <si>
    <t>TRALNG</t>
  </si>
  <si>
    <t>LNG</t>
  </si>
  <si>
    <t>TRAH2</t>
  </si>
  <si>
    <t>Hydrogen</t>
  </si>
  <si>
    <t>MINLNG</t>
  </si>
  <si>
    <t>MINH2</t>
  </si>
  <si>
    <t>WLK</t>
  </si>
  <si>
    <t>CYC</t>
  </si>
  <si>
    <t>BNG</t>
  </si>
  <si>
    <t>H2</t>
  </si>
  <si>
    <t>PRE</t>
  </si>
  <si>
    <t>EFF</t>
  </si>
  <si>
    <t>Vehicle occupancy (passenger/tonnage per vehicle)</t>
  </si>
  <si>
    <t>EFFICIENCY</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</si>
  <si>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</si>
  <si>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</si>
  <si>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</si>
  <si>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</si>
  <si>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</si>
  <si>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</si>
  <si>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</si>
  <si>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</si>
  <si>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</si>
  <si>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</si>
  <si>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</si>
  <si>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</si>
  <si>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</si>
  <si>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</si>
  <si>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</si>
  <si>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</si>
  <si>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</si>
  <si>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</si>
  <si>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</si>
  <si>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</si>
  <si>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</si>
  <si>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</si>
  <si>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</si>
  <si>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</si>
  <si>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</si>
  <si>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</si>
  <si>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</si>
  <si>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</si>
  <si>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</si>
  <si>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</si>
  <si>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</si>
  <si>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</si>
  <si>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</si>
  <si>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</si>
  <si>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</si>
  <si>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</si>
  <si>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</si>
  <si>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</si>
  <si>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</si>
  <si>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</si>
  <si>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</si>
  <si>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</si>
  <si>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</si>
  <si>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</si>
  <si>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</si>
  <si>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</si>
  <si>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</si>
  <si>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</si>
  <si>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</si>
  <si>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</si>
  <si>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</si>
  <si>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</si>
  <si>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</si>
  <si>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</si>
  <si>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</si>
  <si>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</si>
  <si>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</si>
  <si>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</si>
  <si>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</si>
  <si>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</si>
  <si>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</si>
  <si>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</si>
  <si>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</si>
  <si>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</si>
  <si>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</si>
  <si>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</si>
  <si>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</si>
  <si>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</si>
  <si>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</si>
  <si>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</si>
  <si>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</si>
  <si>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</si>
  <si>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</si>
  <si>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</si>
  <si>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</si>
  <si>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</si>
  <si>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</si>
  <si>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</si>
  <si>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</si>
  <si>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</si>
  <si>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</si>
  <si>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</si>
  <si>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</si>
  <si>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</si>
  <si>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</si>
  <si>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</si>
  <si>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</si>
  <si>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</si>
  <si>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</si>
  <si>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</si>
  <si>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</si>
  <si>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</si>
  <si>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</si>
  <si>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</si>
  <si>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</si>
  <si>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</si>
  <si>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</si>
  <si>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</si>
  <si>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</si>
  <si>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</si>
  <si>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</si>
  <si>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</si>
  <si>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</si>
  <si>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</si>
  <si>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</si>
  <si>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</si>
  <si>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</si>
  <si>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</si>
  <si>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</si>
  <si>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</si>
  <si>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</si>
  <si>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</si>
  <si>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</si>
  <si>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</si>
  <si>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</si>
  <si>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</si>
  <si>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</si>
  <si>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</si>
  <si>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</si>
  <si>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</si>
  <si>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</si>
  <si>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</si>
  <si>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</si>
  <si>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</si>
  <si>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</si>
  <si>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</si>
  <si>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</si>
  <si>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</si>
  <si>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</si>
  <si>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</si>
  <si>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</si>
  <si>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</si>
  <si>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</si>
  <si>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</si>
  <si>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</si>
  <si>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</si>
  <si>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</si>
  <si>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</si>
  <si>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</si>
  <si>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</si>
  <si>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</si>
  <si>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</si>
  <si>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</si>
  <si>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</si>
  <si>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</si>
  <si>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</si>
  <si>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</si>
  <si>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</si>
  <si>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</si>
  <si>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</si>
  <si>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</si>
  <si>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</si>
  <si>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</si>
  <si>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</si>
  <si>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</si>
  <si>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</si>
  <si>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</si>
  <si>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</si>
  <si>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</si>
  <si>
    <t>Btkm</t>
  </si>
  <si>
    <t>LO</t>
  </si>
  <si>
    <t>* Note: Availability factors modified (multiplied by 2)</t>
  </si>
  <si>
    <t>~FI_T: Share-I~2018</t>
  </si>
  <si>
    <t>~FI_T: Stock~2018</t>
  </si>
  <si>
    <t>~FI_T: Demand~2018</t>
  </si>
  <si>
    <t>~FI_T: ACTFLO~2018</t>
  </si>
  <si>
    <t>Share-I~0</t>
  </si>
  <si>
    <t>OILGSL</t>
  </si>
  <si>
    <t>OILKER</t>
  </si>
  <si>
    <t>GASLNG</t>
  </si>
  <si>
    <t>OILDST</t>
  </si>
  <si>
    <t>BIOETH</t>
  </si>
  <si>
    <t>BIODST</t>
  </si>
  <si>
    <t>ELCC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</si>
</sst>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78">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50" fillId="0" borderId="0" xfId="2" applyNumberFormat="1" applyFont="1" applyFill="1" applyBorder="1"/>
    <xf numFmtId="0" fontId="0" fillId="0" borderId="0" xfId="0" applyFont="1" applyFill="1" applyBorder="1"/>
    <xf numFmtId="0" fontId="0" fillId="3" borderId="0" xfId="0" applyFill="1"/>
    <xf numFmtId="165" fontId="50" fillId="0" borderId="0" xfId="0" applyNumberFormat="1" applyFont="1"/>
    <xf numFmtId="165" fontId="50" fillId="0" borderId="0" xfId="1" applyNumberFormat="1" applyFont="1" applyAlignment="1">
      <alignment horizontal="right" vertical="center"/>
    </xf>
    <xf numFmtId="168" fontId="50"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7" fontId="47" fillId="0" borderId="0" xfId="0" applyNumberFormat="1" applyFont="1"/>
    <xf numFmtId="171" fontId="58"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6" fillId="0" borderId="0" xfId="0" applyFont="1" applyFill="1" applyBorder="1"/>
    <xf numFmtId="165" fontId="1" fillId="0" borderId="0" xfId="1" applyNumberFormat="1" applyFont="1"/>
    <xf numFmtId="169" fontId="61"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6" fillId="7" borderId="0" xfId="0" applyNumberFormat="1" applyFont="1" applyFill="1"/>
    <xf numFmtId="0" fontId="0" fillId="0" borderId="0" xfId="0" applyBorder="1" applyAlignment="1">
      <alignment vertical="center"/>
    </xf>
    <xf numFmtId="169" fontId="0" fillId="0" borderId="0" xfId="0" applyNumberFormat="1" applyBorder="1"/>
    <xf numFmtId="169" fontId="0" fillId="0" borderId="144" xfId="0" applyNumberFormat="1" applyBorder="1"/>
    <xf numFmtId="0" fontId="64" fillId="7" borderId="0" xfId="0" applyFont="1" applyFill="1" applyAlignment="1">
      <alignment horizontal="right"/>
    </xf>
    <xf numFmtId="169"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5"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176"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 fontId="1" fillId="0" borderId="0" xfId="0" applyNumberFormat="1" applyFont="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60" fillId="24" borderId="152" xfId="2" applyNumberFormat="1" applyFont="1" applyFill="1" applyBorder="1" applyAlignment="1">
      <alignment horizontal="center" vertical="center"/>
    </xf>
    <xf numFmtId="170" fontId="60" fillId="24" borderId="23" xfId="2" applyNumberFormat="1" applyFont="1" applyFill="1" applyBorder="1" applyAlignment="1">
      <alignment horizontal="center" vertical="center"/>
    </xf>
    <xf numFmtId="170" fontId="60" fillId="24" borderId="140" xfId="2" applyNumberFormat="1" applyFont="1" applyFill="1" applyBorder="1" applyAlignment="1">
      <alignment horizontal="center" vertical="center"/>
    </xf>
    <xf numFmtId="0" fontId="18" fillId="18" borderId="0" xfId="0" applyFont="1" applyFill="1" applyAlignment="1">
      <alignment horizontal="left"/>
    </xf>
    <xf numFmtId="0" fontId="0" fillId="0" borderId="151" xfId="0" applyFont="1" applyBorder="1" applyAlignment="1">
      <alignment horizontal="center" vertical="center"/>
    </xf>
    <xf numFmtId="0" fontId="4" fillId="0" borderId="0" xfId="0" applyFont="1" applyBorder="1"/>
    <xf numFmtId="169" fontId="4" fillId="0" borderId="0" xfId="0" applyNumberFormat="1" applyFont="1" applyBorder="1"/>
    <xf numFmtId="0" fontId="30" fillId="0" borderId="0" xfId="0" applyFont="1" applyBorder="1"/>
    <xf numFmtId="169" fontId="30" fillId="0" borderId="0" xfId="0" applyNumberFormat="1" applyFont="1" applyBorder="1"/>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750052" y="1009361"/>
          <a:ext cx="8040301" cy="21731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39" t="s">
        <v>222</v>
      </c>
      <c r="B17" s="739"/>
      <c r="C17" s="739"/>
      <c r="D17" s="739"/>
      <c r="E17" s="739"/>
      <c r="F17" s="73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40" t="s">
        <v>224</v>
      </c>
      <c r="C20" s="740"/>
      <c r="D20" s="740"/>
      <c r="E20" s="740"/>
      <c r="F20" s="740"/>
      <c r="G20" s="52"/>
      <c r="H20" s="52"/>
      <c r="I20" s="53"/>
      <c r="J20" s="53"/>
      <c r="K20" s="53"/>
      <c r="L20" s="53"/>
      <c r="M20" s="53"/>
      <c r="N20" s="53"/>
    </row>
    <row r="21" spans="1:14" ht="17.25" customHeight="1">
      <c r="A21" s="51" t="s">
        <v>225</v>
      </c>
      <c r="B21" s="741" t="s">
        <v>228</v>
      </c>
      <c r="C21" s="741"/>
      <c r="D21" s="741"/>
      <c r="E21" s="741"/>
      <c r="F21" s="741"/>
      <c r="G21" s="52"/>
      <c r="H21" s="52"/>
      <c r="I21" s="53"/>
      <c r="J21" s="53"/>
      <c r="K21" s="53"/>
      <c r="L21" s="53"/>
      <c r="M21" s="53"/>
      <c r="N21" s="53"/>
    </row>
    <row r="22" spans="1:14" ht="17.25" customHeight="1">
      <c r="A22" s="51" t="s">
        <v>226</v>
      </c>
      <c r="B22" s="741" t="s">
        <v>227</v>
      </c>
      <c r="C22" s="741"/>
      <c r="D22" s="741"/>
      <c r="E22" s="741"/>
      <c r="F22" s="74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40625" defaultRowHeight="15"/>
  <cols>
    <col min="1" max="1" width="3.7109375" style="97" customWidth="1"/>
    <col min="2" max="2" width="19.5703125" style="97" customWidth="1"/>
    <col min="3" max="3" width="37.7109375" style="97" customWidth="1"/>
    <col min="4" max="16384" width="9.140625" style="97"/>
  </cols>
  <sheetData>
    <row r="2" spans="2:3" ht="18.75">
      <c r="B2" s="95" t="s">
        <v>302</v>
      </c>
      <c r="C2" s="96"/>
    </row>
    <row r="3" spans="2:3">
      <c r="B3" s="122" t="s">
        <v>303</v>
      </c>
      <c r="C3" s="123" t="s">
        <v>108</v>
      </c>
    </row>
    <row r="4" spans="2:3">
      <c r="B4" s="98" t="s">
        <v>588</v>
      </c>
      <c r="C4" s="124" t="s">
        <v>358</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75">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75">
      <c r="B27" s="104" t="s">
        <v>58</v>
      </c>
      <c r="C27" s="105"/>
    </row>
    <row r="28" spans="2:3">
      <c r="B28" s="106" t="s">
        <v>305</v>
      </c>
      <c r="C28" s="111" t="s">
        <v>947</v>
      </c>
    </row>
    <row r="29" spans="2:3">
      <c r="B29" s="107" t="s">
        <v>300</v>
      </c>
      <c r="C29" s="108" t="s">
        <v>88</v>
      </c>
    </row>
    <row r="30" spans="2:3">
      <c r="B30" s="107" t="s">
        <v>306</v>
      </c>
      <c r="C30" s="390" t="s">
        <v>359</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zoomScale="130" zoomScaleNormal="130" workbookViewId="0">
      <selection activeCell="B11" sqref="B11:D11"/>
    </sheetView>
  </sheetViews>
  <sheetFormatPr defaultRowHeight="15"/>
  <cols>
    <col min="1" max="1" width="4.85546875" style="459" customWidth="1"/>
    <col min="2" max="2" width="44" bestFit="1" customWidth="1"/>
    <col min="3" max="3" width="14.5703125" bestFit="1" customWidth="1"/>
    <col min="4" max="5" width="13.28515625" customWidth="1"/>
    <col min="6" max="6" width="66.85546875" bestFit="1" customWidth="1"/>
  </cols>
  <sheetData>
    <row r="2" spans="1:7" ht="15.75" thickBot="1">
      <c r="A2" s="681" t="s">
        <v>985</v>
      </c>
      <c r="B2" s="681" t="s">
        <v>984</v>
      </c>
      <c r="C2" s="681" t="s">
        <v>983</v>
      </c>
      <c r="D2" s="681" t="s">
        <v>988</v>
      </c>
      <c r="E2" s="681" t="s">
        <v>993</v>
      </c>
      <c r="F2" s="681" t="s">
        <v>989</v>
      </c>
      <c r="G2" s="133"/>
    </row>
    <row r="3" spans="1:7">
      <c r="A3" s="675">
        <v>1</v>
      </c>
      <c r="B3" t="s">
        <v>986</v>
      </c>
      <c r="C3" t="s">
        <v>987</v>
      </c>
      <c r="D3" t="s">
        <v>990</v>
      </c>
      <c r="E3" s="722">
        <v>44111</v>
      </c>
      <c r="F3" t="s">
        <v>982</v>
      </c>
    </row>
    <row r="4" spans="1:7">
      <c r="A4" s="675">
        <v>2</v>
      </c>
      <c r="B4" s="459" t="s">
        <v>992</v>
      </c>
      <c r="C4" t="s">
        <v>991</v>
      </c>
      <c r="D4" s="459" t="s">
        <v>990</v>
      </c>
      <c r="E4" s="723">
        <v>44117</v>
      </c>
      <c r="F4" t="s">
        <v>1074</v>
      </c>
    </row>
    <row r="5" spans="1:7">
      <c r="A5" s="675">
        <v>3</v>
      </c>
      <c r="B5" t="s">
        <v>994</v>
      </c>
      <c r="C5" t="s">
        <v>995</v>
      </c>
      <c r="D5" s="459" t="s">
        <v>990</v>
      </c>
      <c r="E5" s="721"/>
    </row>
    <row r="6" spans="1:7">
      <c r="A6" s="675">
        <v>4</v>
      </c>
      <c r="B6" t="s">
        <v>996</v>
      </c>
      <c r="C6" s="459" t="s">
        <v>991</v>
      </c>
      <c r="D6" s="459" t="s">
        <v>990</v>
      </c>
      <c r="E6" s="721"/>
    </row>
    <row r="7" spans="1:7">
      <c r="A7" s="675">
        <v>5</v>
      </c>
      <c r="B7" s="459" t="s">
        <v>997</v>
      </c>
      <c r="C7" s="459" t="s">
        <v>991</v>
      </c>
      <c r="D7" s="459" t="s">
        <v>990</v>
      </c>
      <c r="E7" s="721"/>
    </row>
    <row r="8" spans="1:7">
      <c r="A8" s="675">
        <v>6</v>
      </c>
      <c r="B8" s="459" t="s">
        <v>998</v>
      </c>
      <c r="C8" s="459" t="s">
        <v>991</v>
      </c>
      <c r="D8" s="459" t="s">
        <v>990</v>
      </c>
      <c r="E8" s="721"/>
    </row>
    <row r="9" spans="1:7">
      <c r="A9" s="675">
        <v>7</v>
      </c>
      <c r="B9" s="459" t="s">
        <v>999</v>
      </c>
      <c r="C9" t="s">
        <v>1000</v>
      </c>
      <c r="D9" s="459" t="s">
        <v>990</v>
      </c>
      <c r="E9" s="721"/>
    </row>
    <row r="10" spans="1:7">
      <c r="A10" s="675">
        <v>8</v>
      </c>
      <c r="B10" s="459" t="s">
        <v>1001</v>
      </c>
      <c r="C10" s="459" t="s">
        <v>991</v>
      </c>
      <c r="D10" s="459" t="s">
        <v>990</v>
      </c>
      <c r="E10" s="722">
        <v>44112</v>
      </c>
      <c r="F10" t="s">
        <v>1077</v>
      </c>
    </row>
    <row r="11" spans="1:7">
      <c r="A11" s="675">
        <v>9</v>
      </c>
      <c r="B11" s="459" t="s">
        <v>1075</v>
      </c>
      <c r="C11" s="459" t="s">
        <v>1006</v>
      </c>
      <c r="D11" s="459" t="s">
        <v>990</v>
      </c>
      <c r="E11" s="722">
        <v>44113</v>
      </c>
      <c r="F11" s="461" t="s">
        <v>1076</v>
      </c>
    </row>
    <row r="12" spans="1:7">
      <c r="A12" s="675">
        <v>10</v>
      </c>
      <c r="B12" t="s">
        <v>1070</v>
      </c>
      <c r="C12" s="459" t="s">
        <v>987</v>
      </c>
      <c r="D12" s="459" t="s">
        <v>990</v>
      </c>
      <c r="E12" s="721"/>
    </row>
    <row r="13" spans="1:7">
      <c r="A13" s="720">
        <v>11</v>
      </c>
      <c r="B13" s="459" t="s">
        <v>1071</v>
      </c>
      <c r="C13" s="459" t="s">
        <v>991</v>
      </c>
      <c r="D13" s="459" t="s">
        <v>990</v>
      </c>
      <c r="E13" s="722">
        <v>44118</v>
      </c>
      <c r="F13" t="s">
        <v>1078</v>
      </c>
    </row>
    <row r="14" spans="1:7" s="459" customFormat="1">
      <c r="A14" s="721"/>
      <c r="E14" s="721"/>
    </row>
    <row r="15" spans="1:7" s="459" customFormat="1">
      <c r="A15" s="721"/>
      <c r="E15" s="721"/>
    </row>
    <row r="17" spans="2:6">
      <c r="B17" t="s">
        <v>1005</v>
      </c>
    </row>
    <row r="18" spans="2:6" ht="30">
      <c r="B18" s="682" t="s">
        <v>1002</v>
      </c>
      <c r="F18" s="703"/>
    </row>
    <row r="19" spans="2:6" ht="45">
      <c r="B19" s="682" t="s">
        <v>1003</v>
      </c>
    </row>
    <row r="20" spans="2:6">
      <c r="B20" s="682"/>
    </row>
    <row r="21" spans="2:6" ht="45">
      <c r="B21" s="682" t="s">
        <v>1004</v>
      </c>
    </row>
    <row r="24" spans="2:6">
      <c r="B24" s="133" t="s">
        <v>1079</v>
      </c>
      <c r="C24" s="133" t="s">
        <v>1086</v>
      </c>
    </row>
    <row r="25" spans="2:6">
      <c r="B25" t="s">
        <v>1082</v>
      </c>
      <c r="C25" t="s">
        <v>1080</v>
      </c>
    </row>
    <row r="26" spans="2:6">
      <c r="B26" t="s">
        <v>1083</v>
      </c>
      <c r="C26" t="s">
        <v>1081</v>
      </c>
    </row>
    <row r="27" spans="2:6">
      <c r="B27" t="s">
        <v>1085</v>
      </c>
      <c r="C27" t="s">
        <v>1084</v>
      </c>
    </row>
    <row r="28" spans="2:6">
      <c r="B28" t="s">
        <v>1087</v>
      </c>
      <c r="C28" t="s">
        <v>1088</v>
      </c>
    </row>
    <row r="29" spans="2:6" s="459" customFormat="1">
      <c r="B29" s="411" t="s">
        <v>1092</v>
      </c>
      <c r="C29" t="s">
        <v>1090</v>
      </c>
    </row>
    <row r="30" spans="2:6">
      <c r="B30" t="s">
        <v>1089</v>
      </c>
      <c r="C30" t="s">
        <v>1091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A52" sqref="A51:XFD52"/>
    </sheetView>
  </sheetViews>
  <sheetFormatPr defaultColWidth="9.140625" defaultRowHeight="12.75"/>
  <cols>
    <col min="1" max="1" width="51.42578125" style="89" customWidth="1"/>
    <col min="2" max="2" width="15.7109375" style="69" customWidth="1"/>
    <col min="3" max="4" width="7.5703125" style="90" bestFit="1" customWidth="1"/>
    <col min="5" max="5" width="9.140625" style="90"/>
    <col min="6" max="6" width="6.140625" style="91" customWidth="1"/>
    <col min="7" max="7" width="5.85546875" style="91" bestFit="1" customWidth="1"/>
    <col min="8" max="8" width="6.42578125" style="90" bestFit="1" customWidth="1"/>
    <col min="9" max="9" width="6.140625" style="91" bestFit="1" customWidth="1"/>
    <col min="10" max="10" width="6" style="91" bestFit="1" customWidth="1"/>
    <col min="11" max="11" width="6.85546875" style="91" bestFit="1" customWidth="1"/>
    <col min="12" max="12" width="8.7109375" style="83" bestFit="1" customWidth="1"/>
    <col min="13" max="13" width="8.140625" style="82" bestFit="1" customWidth="1"/>
    <col min="14" max="14" width="5.28515625" style="82" customWidth="1"/>
    <col min="15" max="15" width="7.42578125" style="82" customWidth="1"/>
    <col min="16" max="16" width="7.42578125" style="82" bestFit="1" customWidth="1"/>
    <col min="17" max="17" width="8.140625" style="82" bestFit="1" customWidth="1"/>
    <col min="18" max="18" width="7.28515625" style="82" bestFit="1" customWidth="1"/>
    <col min="19" max="19" width="7.42578125" style="82" bestFit="1" customWidth="1"/>
    <col min="20" max="20" width="8.42578125" style="82" bestFit="1" customWidth="1"/>
    <col min="21" max="21" width="6.85546875" style="82" bestFit="1" customWidth="1"/>
    <col min="22" max="24" width="5.42578125" style="82" customWidth="1"/>
    <col min="25" max="25" width="5.42578125" style="91" customWidth="1"/>
    <col min="26" max="26" width="8.140625" style="86" bestFit="1" customWidth="1"/>
    <col min="27" max="27" width="6.7109375" style="83" bestFit="1" customWidth="1"/>
    <col min="28" max="29" width="5.5703125" style="82" customWidth="1"/>
    <col min="30" max="30" width="8.7109375" style="82" bestFit="1" customWidth="1"/>
    <col min="31" max="31" width="5.5703125" style="82" customWidth="1"/>
    <col min="32" max="32" width="5.7109375" style="82" customWidth="1"/>
    <col min="33" max="33" width="7" style="82" customWidth="1"/>
    <col min="34" max="36" width="5.5703125" style="82" customWidth="1"/>
    <col min="37" max="37" width="8.7109375" style="86" bestFit="1" customWidth="1"/>
    <col min="38" max="38" width="4.42578125" style="92" bestFit="1" customWidth="1"/>
    <col min="39" max="39" width="9.28515625" style="82" bestFit="1" customWidth="1"/>
    <col min="40" max="40" width="9.140625" style="69"/>
    <col min="41" max="41" width="9.140625" style="60"/>
    <col min="42" max="16384" width="9.140625" style="69"/>
  </cols>
  <sheetData>
    <row r="1" spans="1:41" s="57" customFormat="1" ht="105.75" customHeight="1" thickBot="1">
      <c r="A1" s="148" t="s">
        <v>341</v>
      </c>
      <c r="B1" s="343" t="s">
        <v>340</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342</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343</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344</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345</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Z23" sqref="Z23"/>
    </sheetView>
  </sheetViews>
  <sheetFormatPr defaultColWidth="9.140625" defaultRowHeight="15"/>
  <cols>
    <col min="1" max="1" width="12.140625" style="724" customWidth="1"/>
    <col min="2" max="2" width="11.7109375" style="724" customWidth="1"/>
    <col min="3" max="3" width="3.140625" style="724" bestFit="1" customWidth="1"/>
    <col min="4" max="4" width="8.5703125" style="724" bestFit="1" customWidth="1"/>
    <col min="5" max="5" width="6.42578125" style="724" bestFit="1" customWidth="1"/>
    <col min="6" max="6" width="4.85546875" style="724" bestFit="1" customWidth="1"/>
    <col min="7" max="7" width="5.7109375" style="724" bestFit="1" customWidth="1"/>
    <col min="8" max="8" width="5.85546875" style="724" bestFit="1" customWidth="1"/>
    <col min="9" max="9" width="5.42578125" style="724" bestFit="1" customWidth="1"/>
    <col min="10" max="11" width="5.7109375" style="724" bestFit="1" customWidth="1"/>
    <col min="12" max="12" width="6.5703125" style="724" bestFit="1" customWidth="1"/>
    <col min="13" max="13" width="6.140625" style="724" bestFit="1" customWidth="1"/>
    <col min="14" max="14" width="6.7109375" style="724" bestFit="1" customWidth="1"/>
    <col min="15" max="15" width="6.5703125" style="724" bestFit="1" customWidth="1"/>
    <col min="16" max="16" width="7.28515625" style="724" bestFit="1" customWidth="1"/>
    <col min="17" max="17" width="5.7109375" style="724" bestFit="1" customWidth="1"/>
    <col min="18" max="18" width="6.140625" style="724" bestFit="1" customWidth="1"/>
    <col min="19" max="19" width="5.7109375" style="724" bestFit="1" customWidth="1"/>
    <col min="20" max="20" width="5.5703125" style="724" bestFit="1" customWidth="1"/>
    <col min="21" max="21" width="5.85546875" style="724" bestFit="1" customWidth="1"/>
    <col min="22" max="22" width="6.7109375" style="724" bestFit="1" customWidth="1"/>
    <col min="23" max="23" width="4.85546875" style="724" bestFit="1" customWidth="1"/>
    <col min="24" max="24" width="7.5703125" style="724" customWidth="1"/>
    <col min="25" max="25" width="6.7109375" style="724" bestFit="1" customWidth="1"/>
    <col min="26" max="26" width="6.140625" style="724" bestFit="1" customWidth="1"/>
    <col min="27" max="28" width="6" style="724" bestFit="1" customWidth="1"/>
    <col min="29" max="29" width="5.7109375" style="724" bestFit="1" customWidth="1"/>
    <col min="30" max="30" width="6.7109375" style="724" bestFit="1" customWidth="1"/>
    <col min="31" max="16384" width="9.140625" style="724"/>
  </cols>
  <sheetData>
    <row r="3" spans="1:30">
      <c r="C3" s="727" t="str" cm="1">
        <f t="array" ref="C3">INDEX(C5:C7,$A$4)</f>
        <v>IE</v>
      </c>
      <c r="D3" s="727" t="str" cm="1">
        <f t="array" ref="D3">INDEX(D5:D7,$A$4)</f>
        <v>National</v>
      </c>
      <c r="E3" s="727" t="str" cm="1">
        <f t="array" ref="E3">INDEX(E5:E7,$A$4)</f>
        <v>IE-CW</v>
      </c>
      <c r="F3" s="727" t="str" cm="1">
        <f t="array" ref="F3">INDEX(F5:F7,$A$4)</f>
        <v>IE-D</v>
      </c>
      <c r="G3" s="727" t="str" cm="1">
        <f t="array" ref="G3">INDEX(G5:G7,$A$4)</f>
        <v>IE-KE</v>
      </c>
      <c r="H3" s="727" t="str" cm="1">
        <f t="array" ref="H3">INDEX(H5:H7,$A$4)</f>
        <v>IE-KK</v>
      </c>
      <c r="I3" s="727" t="str" cm="1">
        <f t="array" ref="I3">INDEX(I5:I7,$A$4)</f>
        <v>IE-LS</v>
      </c>
      <c r="J3" s="727" t="str" cm="1">
        <f t="array" ref="J3">INDEX(J5:J7,$A$4)</f>
        <v>IE-LD</v>
      </c>
      <c r="K3" s="727" t="str" cm="1">
        <f t="array" ref="K3">INDEX(K5:K7,$A$4)</f>
        <v>IE-LH</v>
      </c>
      <c r="L3" s="727" t="str" cm="1">
        <f t="array" ref="L3">INDEX(L5:L7,$A$4)</f>
        <v>IE-MH</v>
      </c>
      <c r="M3" s="727" t="str" cm="1">
        <f t="array" ref="M3">INDEX(M5:M7,$A$4)</f>
        <v>IE-OY</v>
      </c>
      <c r="N3" s="727" t="str" cm="1">
        <f t="array" ref="N3">INDEX(N5:N7,$A$4)</f>
        <v>IE-WH</v>
      </c>
      <c r="O3" s="727" t="str" cm="1">
        <f t="array" ref="O3">INDEX(O5:O7,$A$4)</f>
        <v>IE-WX</v>
      </c>
      <c r="P3" s="727" t="str" cm="1">
        <f t="array" ref="P3">INDEX(P5:P7,$A$4)</f>
        <v>IE-WW</v>
      </c>
      <c r="Q3" s="727" t="str" cm="1">
        <f t="array" ref="Q3">INDEX(Q5:Q7,$A$4)</f>
        <v>IE-CE</v>
      </c>
      <c r="R3" s="727" t="str" cm="1">
        <f t="array" ref="R3">INDEX(R5:R7,$A$4)</f>
        <v>IE-CO</v>
      </c>
      <c r="S3" s="727" t="str" cm="1">
        <f t="array" ref="S3">INDEX(S5:S7,$A$4)</f>
        <v>IE-KY</v>
      </c>
      <c r="T3" s="727" t="str" cm="1">
        <f t="array" ref="T3">INDEX(T5:T7,$A$4)</f>
        <v>IE-LK</v>
      </c>
      <c r="U3" s="727" t="str" cm="1">
        <f t="array" ref="U3">INDEX(U5:U7,$A$4)</f>
        <v>IE-TA</v>
      </c>
      <c r="V3" s="727" t="str" cm="1">
        <f t="array" ref="V3">INDEX(V5:V7,$A$4)</f>
        <v>IE-WD</v>
      </c>
      <c r="W3" s="727" t="str" cm="1">
        <f t="array" ref="W3">INDEX(W5:W7,$A$4)</f>
        <v>IE-G</v>
      </c>
      <c r="X3" s="727" t="str" cm="1">
        <f t="array" ref="X3">INDEX(X5:X7,$A$4)</f>
        <v>IE-LM</v>
      </c>
      <c r="Y3" s="727" t="str" cm="1">
        <f t="array" ref="Y3">INDEX(Y5:Y7,$A$4)</f>
        <v>IE-MO</v>
      </c>
      <c r="Z3" s="727" t="str" cm="1">
        <f t="array" ref="Z3">INDEX(Z5:Z7,$A$4)</f>
        <v>IE-RN</v>
      </c>
      <c r="AA3" s="727" t="str" cm="1">
        <f t="array" ref="AA3">INDEX(AA5:AA7,$A$4)</f>
        <v>IE-SO</v>
      </c>
      <c r="AB3" s="727" t="str" cm="1">
        <f t="array" ref="AB3">INDEX(AB5:AB7,$A$4)</f>
        <v>IE-CN</v>
      </c>
      <c r="AC3" s="727" t="str" cm="1">
        <f t="array" ref="AC3">INDEX(AC5:AC7,$A$4)</f>
        <v>IE-DL</v>
      </c>
      <c r="AD3" s="727" t="str" cm="1">
        <f t="array" ref="AD3">INDEX(AD5:AD7,$A$4)</f>
        <v>IE-MN</v>
      </c>
    </row>
    <row r="4" spans="1:30">
      <c r="A4" s="724">
        <v>1</v>
      </c>
    </row>
    <row r="5" spans="1:30">
      <c r="A5" s="724" t="s">
        <v>1095</v>
      </c>
      <c r="C5" s="726" t="s">
        <v>1094</v>
      </c>
      <c r="D5" s="132" t="s">
        <v>401</v>
      </c>
      <c r="E5" s="727" t="str">
        <f>Regions!A11</f>
        <v>IE-CW</v>
      </c>
      <c r="F5" s="727" t="str">
        <f>Regions!A16</f>
        <v>IE-D</v>
      </c>
      <c r="G5" s="727" t="str">
        <f>Regions!A19</f>
        <v>IE-KE</v>
      </c>
      <c r="H5" s="727" t="str">
        <f>Regions!A20</f>
        <v>IE-KK</v>
      </c>
      <c r="I5" s="727" t="str">
        <f>Regions!A21</f>
        <v>IE-LS</v>
      </c>
      <c r="J5" s="727" t="str">
        <f>Regions!A24</f>
        <v>IE-LD</v>
      </c>
      <c r="K5" s="727" t="str">
        <f>Regions!A25</f>
        <v>IE-LH</v>
      </c>
      <c r="L5" s="727" t="str">
        <f>Regions!A27</f>
        <v>IE-MH</v>
      </c>
      <c r="M5" s="727" t="str">
        <f>Regions!A29</f>
        <v>IE-OY</v>
      </c>
      <c r="N5" s="727" t="str">
        <f>Regions!A34</f>
        <v>IE-WH</v>
      </c>
      <c r="O5" s="727" t="str">
        <f>Regions!A35</f>
        <v>IE-WX</v>
      </c>
      <c r="P5" s="727" t="str">
        <f>Regions!A36</f>
        <v>IE-WW</v>
      </c>
      <c r="Q5" s="727" t="str">
        <f>Regions!A13</f>
        <v>IE-CE</v>
      </c>
      <c r="R5" s="727" t="str">
        <f>Regions!A14</f>
        <v>IE-CO</v>
      </c>
      <c r="S5" s="727" t="str">
        <f>Regions!A18</f>
        <v>IE-KY</v>
      </c>
      <c r="T5" s="727" t="str">
        <f>Regions!A23</f>
        <v>IE-LK</v>
      </c>
      <c r="U5" s="727" t="str">
        <f>Regions!A32</f>
        <v>IE-TA</v>
      </c>
      <c r="V5" s="727" t="str">
        <f>Regions!A33</f>
        <v>IE-WD</v>
      </c>
      <c r="W5" s="727" t="str">
        <f>Regions!A17</f>
        <v>IE-G</v>
      </c>
      <c r="X5" s="727" t="str">
        <f>Regions!A22</f>
        <v>IE-LM</v>
      </c>
      <c r="Y5" s="727" t="str">
        <f>Regions!A26</f>
        <v>IE-MO</v>
      </c>
      <c r="Z5" s="727" t="str">
        <f>Regions!A30</f>
        <v>IE-RN</v>
      </c>
      <c r="AA5" s="727" t="str">
        <f>Regions!A31</f>
        <v>IE-SO</v>
      </c>
      <c r="AB5" s="727" t="str">
        <f>Regions!A12</f>
        <v>IE-CN</v>
      </c>
      <c r="AC5" s="727" t="str">
        <f>Regions!A15</f>
        <v>IE-DL</v>
      </c>
      <c r="AD5" s="727" t="str">
        <f>Regions!A28</f>
        <v>IE-MN</v>
      </c>
    </row>
    <row r="6" spans="1:30">
      <c r="A6" s="724" t="s">
        <v>980</v>
      </c>
      <c r="C6" s="725" t="str">
        <f>C5</f>
        <v>IE</v>
      </c>
      <c r="D6" s="725" t="str">
        <f>"*"&amp;D5</f>
        <v>*National</v>
      </c>
      <c r="E6" s="725" t="str">
        <f t="shared" ref="E6:AD6" si="0">"*"&amp;E5</f>
        <v>*IE-CW</v>
      </c>
      <c r="F6" s="725" t="str">
        <f t="shared" si="0"/>
        <v>*IE-D</v>
      </c>
      <c r="G6" s="725" t="str">
        <f t="shared" si="0"/>
        <v>*IE-KE</v>
      </c>
      <c r="H6" s="725" t="str">
        <f t="shared" si="0"/>
        <v>*IE-KK</v>
      </c>
      <c r="I6" s="725" t="str">
        <f t="shared" si="0"/>
        <v>*IE-LS</v>
      </c>
      <c r="J6" s="725" t="str">
        <f t="shared" si="0"/>
        <v>*IE-LD</v>
      </c>
      <c r="K6" s="725" t="str">
        <f t="shared" si="0"/>
        <v>*IE-LH</v>
      </c>
      <c r="L6" s="725" t="str">
        <f t="shared" si="0"/>
        <v>*IE-MH</v>
      </c>
      <c r="M6" s="725" t="str">
        <f t="shared" si="0"/>
        <v>*IE-OY</v>
      </c>
      <c r="N6" s="725" t="str">
        <f t="shared" si="0"/>
        <v>*IE-WH</v>
      </c>
      <c r="O6" s="725" t="str">
        <f t="shared" si="0"/>
        <v>*IE-WX</v>
      </c>
      <c r="P6" s="725" t="str">
        <f t="shared" si="0"/>
        <v>*IE-WW</v>
      </c>
      <c r="Q6" s="725" t="str">
        <f t="shared" si="0"/>
        <v>*IE-CE</v>
      </c>
      <c r="R6" s="725" t="str">
        <f t="shared" si="0"/>
        <v>*IE-CO</v>
      </c>
      <c r="S6" s="725" t="str">
        <f t="shared" si="0"/>
        <v>*IE-KY</v>
      </c>
      <c r="T6" s="725" t="str">
        <f t="shared" si="0"/>
        <v>*IE-LK</v>
      </c>
      <c r="U6" s="725" t="str">
        <f t="shared" si="0"/>
        <v>*IE-TA</v>
      </c>
      <c r="V6" s="725" t="str">
        <f t="shared" si="0"/>
        <v>*IE-WD</v>
      </c>
      <c r="W6" s="725" t="str">
        <f t="shared" si="0"/>
        <v>*IE-G</v>
      </c>
      <c r="X6" s="725" t="str">
        <f t="shared" si="0"/>
        <v>*IE-LM</v>
      </c>
      <c r="Y6" s="725" t="str">
        <f t="shared" si="0"/>
        <v>*IE-MO</v>
      </c>
      <c r="Z6" s="725" t="str">
        <f t="shared" si="0"/>
        <v>*IE-RN</v>
      </c>
      <c r="AA6" s="725" t="str">
        <f t="shared" si="0"/>
        <v>*IE-SO</v>
      </c>
      <c r="AB6" s="725" t="str">
        <f t="shared" si="0"/>
        <v>*IE-CN</v>
      </c>
      <c r="AC6" s="725" t="str">
        <f t="shared" si="0"/>
        <v>*IE-DL</v>
      </c>
      <c r="AD6" s="725" t="str">
        <f t="shared" si="0"/>
        <v>*IE-MN</v>
      </c>
    </row>
    <row r="7" spans="1:30">
      <c r="A7" s="724" t="s">
        <v>981</v>
      </c>
      <c r="C7" s="725" t="str">
        <f>"*"&amp;C5</f>
        <v>*IE</v>
      </c>
      <c r="D7" s="725" t="str">
        <f>D5</f>
        <v>National</v>
      </c>
      <c r="E7" s="725" t="str">
        <f t="shared" ref="E7:AD7" si="1">E5</f>
        <v>IE-CW</v>
      </c>
      <c r="F7" s="725" t="str">
        <f t="shared" si="1"/>
        <v>IE-D</v>
      </c>
      <c r="G7" s="725" t="str">
        <f t="shared" si="1"/>
        <v>IE-KE</v>
      </c>
      <c r="H7" s="725" t="str">
        <f t="shared" si="1"/>
        <v>IE-KK</v>
      </c>
      <c r="I7" s="725" t="str">
        <f t="shared" si="1"/>
        <v>IE-LS</v>
      </c>
      <c r="J7" s="725" t="str">
        <f t="shared" si="1"/>
        <v>IE-LD</v>
      </c>
      <c r="K7" s="725" t="str">
        <f t="shared" si="1"/>
        <v>IE-LH</v>
      </c>
      <c r="L7" s="725" t="str">
        <f t="shared" si="1"/>
        <v>IE-MH</v>
      </c>
      <c r="M7" s="725" t="str">
        <f t="shared" si="1"/>
        <v>IE-OY</v>
      </c>
      <c r="N7" s="725" t="str">
        <f t="shared" si="1"/>
        <v>IE-WH</v>
      </c>
      <c r="O7" s="725" t="str">
        <f t="shared" si="1"/>
        <v>IE-WX</v>
      </c>
      <c r="P7" s="725" t="str">
        <f t="shared" si="1"/>
        <v>IE-WW</v>
      </c>
      <c r="Q7" s="725" t="str">
        <f t="shared" si="1"/>
        <v>IE-CE</v>
      </c>
      <c r="R7" s="725" t="str">
        <f t="shared" si="1"/>
        <v>IE-CO</v>
      </c>
      <c r="S7" s="725" t="str">
        <f t="shared" si="1"/>
        <v>IE-KY</v>
      </c>
      <c r="T7" s="725" t="str">
        <f t="shared" si="1"/>
        <v>IE-LK</v>
      </c>
      <c r="U7" s="725" t="str">
        <f t="shared" si="1"/>
        <v>IE-TA</v>
      </c>
      <c r="V7" s="725" t="str">
        <f t="shared" si="1"/>
        <v>IE-WD</v>
      </c>
      <c r="W7" s="725" t="str">
        <f t="shared" si="1"/>
        <v>IE-G</v>
      </c>
      <c r="X7" s="725" t="str">
        <f t="shared" si="1"/>
        <v>IE-LM</v>
      </c>
      <c r="Y7" s="725" t="str">
        <f t="shared" si="1"/>
        <v>IE-MO</v>
      </c>
      <c r="Z7" s="725" t="str">
        <f t="shared" si="1"/>
        <v>IE-RN</v>
      </c>
      <c r="AA7" s="725" t="str">
        <f t="shared" si="1"/>
        <v>IE-SO</v>
      </c>
      <c r="AB7" s="725" t="str">
        <f t="shared" si="1"/>
        <v>IE-CN</v>
      </c>
      <c r="AC7" s="725" t="str">
        <f t="shared" si="1"/>
        <v>IE-DL</v>
      </c>
      <c r="AD7" s="725" t="str">
        <f t="shared" si="1"/>
        <v>IE-MN</v>
      </c>
    </row>
    <row r="10" spans="1:30" ht="15.75" thickBot="1">
      <c r="A10" s="680" t="s">
        <v>977</v>
      </c>
      <c r="B10" s="680" t="s">
        <v>978</v>
      </c>
    </row>
    <row r="11" spans="1:30">
      <c r="A11" s="679" t="s">
        <v>951</v>
      </c>
      <c r="B11" s="679" t="s">
        <v>374</v>
      </c>
    </row>
    <row r="12" spans="1:30">
      <c r="A12" s="677" t="s">
        <v>952</v>
      </c>
      <c r="B12" s="677" t="s">
        <v>397</v>
      </c>
    </row>
    <row r="13" spans="1:30">
      <c r="A13" s="677" t="s">
        <v>953</v>
      </c>
      <c r="B13" s="677" t="s">
        <v>386</v>
      </c>
    </row>
    <row r="14" spans="1:30">
      <c r="A14" s="677" t="s">
        <v>954</v>
      </c>
      <c r="B14" s="677" t="s">
        <v>387</v>
      </c>
    </row>
    <row r="15" spans="1:30">
      <c r="A15" s="677" t="s">
        <v>955</v>
      </c>
      <c r="B15" s="677" t="s">
        <v>398</v>
      </c>
    </row>
    <row r="16" spans="1:30">
      <c r="A16" s="677" t="s">
        <v>956</v>
      </c>
      <c r="B16" s="677" t="s">
        <v>375</v>
      </c>
    </row>
    <row r="17" spans="1:2">
      <c r="A17" s="677" t="s">
        <v>957</v>
      </c>
      <c r="B17" s="677" t="s">
        <v>392</v>
      </c>
    </row>
    <row r="18" spans="1:2">
      <c r="A18" s="677" t="s">
        <v>958</v>
      </c>
      <c r="B18" s="677" t="s">
        <v>388</v>
      </c>
    </row>
    <row r="19" spans="1:2">
      <c r="A19" s="677" t="s">
        <v>959</v>
      </c>
      <c r="B19" s="677" t="s">
        <v>376</v>
      </c>
    </row>
    <row r="20" spans="1:2">
      <c r="A20" s="677" t="s">
        <v>960</v>
      </c>
      <c r="B20" s="677" t="s">
        <v>377</v>
      </c>
    </row>
    <row r="21" spans="1:2">
      <c r="A21" s="677" t="s">
        <v>961</v>
      </c>
      <c r="B21" s="677" t="s">
        <v>378</v>
      </c>
    </row>
    <row r="22" spans="1:2">
      <c r="A22" s="677" t="s">
        <v>962</v>
      </c>
      <c r="B22" s="677" t="s">
        <v>393</v>
      </c>
    </row>
    <row r="23" spans="1:2">
      <c r="A23" s="677" t="s">
        <v>963</v>
      </c>
      <c r="B23" s="677" t="s">
        <v>389</v>
      </c>
    </row>
    <row r="24" spans="1:2">
      <c r="A24" s="677" t="s">
        <v>964</v>
      </c>
      <c r="B24" s="677" t="s">
        <v>379</v>
      </c>
    </row>
    <row r="25" spans="1:2">
      <c r="A25" s="677" t="s">
        <v>965</v>
      </c>
      <c r="B25" s="677" t="s">
        <v>380</v>
      </c>
    </row>
    <row r="26" spans="1:2">
      <c r="A26" s="677" t="s">
        <v>966</v>
      </c>
      <c r="B26" s="677" t="s">
        <v>394</v>
      </c>
    </row>
    <row r="27" spans="1:2">
      <c r="A27" s="677" t="s">
        <v>967</v>
      </c>
      <c r="B27" s="677" t="s">
        <v>381</v>
      </c>
    </row>
    <row r="28" spans="1:2">
      <c r="A28" s="677" t="s">
        <v>968</v>
      </c>
      <c r="B28" s="677" t="s">
        <v>399</v>
      </c>
    </row>
    <row r="29" spans="1:2">
      <c r="A29" s="677" t="s">
        <v>969</v>
      </c>
      <c r="B29" s="677" t="s">
        <v>382</v>
      </c>
    </row>
    <row r="30" spans="1:2">
      <c r="A30" s="677" t="s">
        <v>970</v>
      </c>
      <c r="B30" s="677" t="s">
        <v>395</v>
      </c>
    </row>
    <row r="31" spans="1:2">
      <c r="A31" s="677" t="s">
        <v>971</v>
      </c>
      <c r="B31" s="677" t="s">
        <v>396</v>
      </c>
    </row>
    <row r="32" spans="1:2">
      <c r="A32" s="677" t="s">
        <v>972</v>
      </c>
      <c r="B32" s="677" t="s">
        <v>390</v>
      </c>
    </row>
    <row r="33" spans="1:2">
      <c r="A33" s="677" t="s">
        <v>973</v>
      </c>
      <c r="B33" s="677" t="s">
        <v>391</v>
      </c>
    </row>
    <row r="34" spans="1:2">
      <c r="A34" s="677" t="s">
        <v>974</v>
      </c>
      <c r="B34" s="677" t="s">
        <v>383</v>
      </c>
    </row>
    <row r="35" spans="1:2">
      <c r="A35" s="677" t="s">
        <v>975</v>
      </c>
      <c r="B35" s="677" t="s">
        <v>384</v>
      </c>
    </row>
    <row r="36" spans="1:2">
      <c r="A36" s="677" t="s">
        <v>976</v>
      </c>
      <c r="B36" s="677" t="s">
        <v>385</v>
      </c>
    </row>
    <row r="37" spans="1:2">
      <c r="A37" s="678" t="s">
        <v>979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90" zoomScaleNormal="90" workbookViewId="0">
      <selection activeCell="N26" sqref="N26"/>
    </sheetView>
  </sheetViews>
  <sheetFormatPr defaultRowHeight="15"/>
  <cols>
    <col min="1" max="1" width="3.28515625" customWidth="1"/>
    <col min="2" max="2" width="14.28515625" customWidth="1"/>
    <col min="3" max="3" width="12.85546875" customWidth="1"/>
    <col min="4" max="4" width="11.28515625" customWidth="1"/>
    <col min="5" max="5" width="11.5703125" customWidth="1"/>
    <col min="7" max="7" width="14.28515625" customWidth="1"/>
    <col min="8" max="8" width="13.42578125" bestFit="1" customWidth="1"/>
    <col min="9" max="9" width="13" customWidth="1"/>
    <col min="10" max="10" width="4" customWidth="1"/>
    <col min="11" max="11" width="12.28515625" customWidth="1"/>
    <col min="13" max="13" width="15.140625" customWidth="1"/>
    <col min="14" max="14" width="35.5703125" customWidth="1"/>
    <col min="17" max="17" width="12.85546875" customWidth="1"/>
    <col min="18" max="18" width="15.285156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880</v>
      </c>
      <c r="M3" s="619" t="s">
        <v>62</v>
      </c>
      <c r="N3" s="619" t="s">
        <v>63</v>
      </c>
      <c r="O3" s="619" t="s">
        <v>64</v>
      </c>
      <c r="P3" s="619" t="s">
        <v>65</v>
      </c>
      <c r="Q3" s="619" t="s">
        <v>66</v>
      </c>
      <c r="R3" s="619" t="s">
        <v>67</v>
      </c>
      <c r="S3" s="619" t="s">
        <v>68</v>
      </c>
    </row>
    <row r="4" spans="1:19" ht="35.450000000000003" customHeight="1" thickBot="1">
      <c r="A4" s="459"/>
      <c r="B4" s="459"/>
      <c r="C4" s="621"/>
      <c r="D4" s="459"/>
      <c r="E4" s="459"/>
      <c r="F4" s="459"/>
      <c r="G4" s="459"/>
      <c r="H4" s="459"/>
      <c r="I4" s="459"/>
      <c r="J4" s="459"/>
      <c r="K4" s="622" t="s">
        <v>470</v>
      </c>
      <c r="L4" s="622" t="s">
        <v>881</v>
      </c>
      <c r="M4" s="622" t="s">
        <v>471</v>
      </c>
      <c r="N4" s="622" t="s">
        <v>472</v>
      </c>
      <c r="O4" s="622" t="s">
        <v>64</v>
      </c>
      <c r="P4" s="622" t="s">
        <v>882</v>
      </c>
      <c r="Q4" s="622" t="s">
        <v>474</v>
      </c>
      <c r="R4" s="622" t="s">
        <v>475</v>
      </c>
      <c r="S4" s="622" t="s">
        <v>476</v>
      </c>
    </row>
    <row r="5" spans="1:19">
      <c r="A5" s="459"/>
      <c r="B5" s="459"/>
      <c r="C5" s="459"/>
      <c r="D5" s="459"/>
      <c r="E5" s="459"/>
      <c r="F5" s="459"/>
      <c r="G5" s="459"/>
      <c r="H5" s="459"/>
      <c r="I5" s="459"/>
      <c r="J5" s="459"/>
      <c r="K5" s="618" t="s">
        <v>85</v>
      </c>
      <c r="L5" s="26"/>
      <c r="M5" s="618" t="s">
        <v>929</v>
      </c>
      <c r="N5" s="618" t="str">
        <f>Commodities!C6</f>
        <v>Walking</v>
      </c>
      <c r="O5" s="618" t="s">
        <v>88</v>
      </c>
      <c r="P5" s="618"/>
      <c r="Q5" s="618"/>
      <c r="R5" s="618"/>
      <c r="S5" s="618"/>
    </row>
    <row r="6" spans="1:19" s="459" customFormat="1">
      <c r="K6" s="618"/>
      <c r="L6" s="26"/>
      <c r="M6" s="618" t="s">
        <v>930</v>
      </c>
      <c r="N6" s="618" t="str">
        <f>Commodities!C7</f>
        <v>Cycling</v>
      </c>
      <c r="O6" s="618" t="s">
        <v>88</v>
      </c>
      <c r="P6" s="618"/>
      <c r="Q6" s="618"/>
      <c r="R6" s="618"/>
      <c r="S6" s="618"/>
    </row>
    <row r="7" spans="1:19" s="459" customFormat="1">
      <c r="K7" s="618"/>
      <c r="L7" s="26"/>
      <c r="M7" s="618" t="s">
        <v>1104</v>
      </c>
      <c r="N7" s="618" t="str">
        <f>Commodities!C8</f>
        <v>Gasoline</v>
      </c>
      <c r="O7" s="618" t="s">
        <v>88</v>
      </c>
      <c r="P7" s="618"/>
      <c r="Q7" s="618"/>
      <c r="R7" s="618"/>
      <c r="S7" s="618"/>
    </row>
    <row r="8" spans="1:19" s="459" customFormat="1">
      <c r="K8" s="618"/>
      <c r="L8" s="26"/>
      <c r="M8" s="618" t="s">
        <v>1107</v>
      </c>
      <c r="N8" s="618" t="str">
        <f>Commodities!C9</f>
        <v>Diesel</v>
      </c>
      <c r="O8" s="618" t="s">
        <v>88</v>
      </c>
      <c r="P8" s="618"/>
      <c r="Q8" s="618"/>
      <c r="R8" s="618"/>
      <c r="S8" s="618"/>
    </row>
    <row r="9" spans="1:19" s="459" customFormat="1">
      <c r="K9" s="618"/>
      <c r="L9" s="26"/>
      <c r="M9" s="618" t="s">
        <v>1108</v>
      </c>
      <c r="N9" s="618" t="str">
        <f>Commodities!C10</f>
        <v>BioEthanol</v>
      </c>
      <c r="O9" s="618" t="s">
        <v>88</v>
      </c>
      <c r="P9" s="618"/>
      <c r="Q9" s="618"/>
      <c r="R9" s="618"/>
      <c r="S9" s="618"/>
    </row>
    <row r="10" spans="1:19" s="459" customFormat="1">
      <c r="K10" s="618"/>
      <c r="L10" s="26"/>
      <c r="M10" s="618" t="s">
        <v>1109</v>
      </c>
      <c r="N10" s="618" t="str">
        <f>Commodities!C11</f>
        <v>BioDiesel</v>
      </c>
      <c r="O10" s="618" t="s">
        <v>88</v>
      </c>
      <c r="P10" s="618"/>
      <c r="Q10" s="618"/>
      <c r="R10" s="618"/>
      <c r="S10" s="618"/>
    </row>
    <row r="11" spans="1:19" s="459" customFormat="1">
      <c r="K11" s="618"/>
      <c r="L11" s="26"/>
      <c r="M11" s="618" t="s">
        <v>480</v>
      </c>
      <c r="N11" s="618" t="str">
        <f>Commodities!C12</f>
        <v>CNG</v>
      </c>
      <c r="O11" s="618" t="s">
        <v>88</v>
      </c>
      <c r="P11" s="618"/>
      <c r="Q11" s="618"/>
      <c r="R11" s="618"/>
      <c r="S11" s="618"/>
    </row>
    <row r="12" spans="1:19" s="459" customFormat="1">
      <c r="K12" s="618"/>
      <c r="L12" s="26"/>
      <c r="M12" s="618" t="s">
        <v>931</v>
      </c>
      <c r="N12" s="618" t="str">
        <f>Commodities!C13</f>
        <v>BioCNG</v>
      </c>
      <c r="O12" s="618" t="s">
        <v>88</v>
      </c>
      <c r="P12" s="618"/>
      <c r="Q12" s="618"/>
      <c r="R12" s="618"/>
      <c r="S12" s="618"/>
    </row>
    <row r="13" spans="1:19" s="459" customFormat="1">
      <c r="M13" s="618" t="s">
        <v>1106</v>
      </c>
      <c r="N13" s="618" t="str">
        <f>Commodities!C15</f>
        <v>LNG</v>
      </c>
      <c r="O13" s="618" t="s">
        <v>88</v>
      </c>
    </row>
    <row r="14" spans="1:19" s="459" customFormat="1">
      <c r="K14" s="618"/>
      <c r="L14" s="26"/>
      <c r="M14" s="618" t="s">
        <v>932</v>
      </c>
      <c r="N14" s="618" t="str">
        <f>Commodities!C16</f>
        <v>Hydrogen</v>
      </c>
      <c r="O14" s="618" t="s">
        <v>88</v>
      </c>
    </row>
    <row r="15" spans="1:19" s="459" customFormat="1">
      <c r="K15" s="651"/>
      <c r="L15" s="651"/>
      <c r="M15" s="651" t="s">
        <v>1105</v>
      </c>
      <c r="N15" s="651" t="str">
        <f>Commodities!C17</f>
        <v>Kerosene</v>
      </c>
      <c r="O15" s="651" t="s">
        <v>88</v>
      </c>
      <c r="P15" s="651"/>
      <c r="Q15" s="651"/>
      <c r="R15" s="651"/>
      <c r="S15" s="651"/>
    </row>
    <row r="16" spans="1:19" s="459" customFormat="1">
      <c r="K16" s="663"/>
      <c r="L16" s="663"/>
      <c r="M16" s="663" t="s">
        <v>1110</v>
      </c>
      <c r="N16" s="663" t="s">
        <v>107</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883</v>
      </c>
      <c r="H20" s="626" t="s">
        <v>884</v>
      </c>
      <c r="I20" s="626" t="s">
        <v>885</v>
      </c>
      <c r="J20" s="459"/>
      <c r="K20" s="619" t="s">
        <v>69</v>
      </c>
      <c r="L20" s="620" t="s">
        <v>880</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886</v>
      </c>
      <c r="H21" s="627" t="s">
        <v>887</v>
      </c>
      <c r="I21" s="627" t="s">
        <v>888</v>
      </c>
      <c r="J21" s="459"/>
      <c r="K21" s="622" t="s">
        <v>889</v>
      </c>
      <c r="L21" s="622" t="s">
        <v>881</v>
      </c>
      <c r="M21" s="622" t="s">
        <v>890</v>
      </c>
      <c r="N21" s="622" t="s">
        <v>80</v>
      </c>
      <c r="O21" s="622" t="s">
        <v>891</v>
      </c>
      <c r="P21" s="622" t="s">
        <v>892</v>
      </c>
      <c r="Q21" s="622" t="s">
        <v>893</v>
      </c>
      <c r="R21" s="622" t="s">
        <v>894</v>
      </c>
      <c r="S21" s="622" t="s">
        <v>895</v>
      </c>
    </row>
    <row r="22" spans="1:20" ht="15.75" thickBot="1">
      <c r="A22" s="459"/>
      <c r="B22" s="627" t="s">
        <v>896</v>
      </c>
      <c r="C22" s="628"/>
      <c r="D22" s="628"/>
      <c r="E22" s="628"/>
      <c r="F22" s="628"/>
      <c r="G22" s="628" t="s">
        <v>88</v>
      </c>
      <c r="H22" s="628" t="s">
        <v>906</v>
      </c>
      <c r="I22" s="628" t="s">
        <v>88</v>
      </c>
      <c r="J22" s="459"/>
      <c r="K22" s="622" t="s">
        <v>27</v>
      </c>
      <c r="L22" s="629"/>
      <c r="M22" s="629"/>
      <c r="N22" s="629"/>
      <c r="O22" s="629"/>
      <c r="P22" s="629"/>
      <c r="Q22" s="629"/>
      <c r="R22" s="629"/>
      <c r="S22" s="629"/>
    </row>
    <row r="23" spans="1:20">
      <c r="A23" s="459"/>
      <c r="B23" s="621" t="s">
        <v>897</v>
      </c>
      <c r="C23" s="621"/>
      <c r="D23" s="621" t="str">
        <f t="shared" ref="D23:D34" si="0">M5</f>
        <v>WLK</v>
      </c>
      <c r="E23" s="621"/>
      <c r="F23" s="621"/>
      <c r="G23" s="621"/>
      <c r="H23" s="621">
        <v>1</v>
      </c>
      <c r="I23" s="621"/>
      <c r="J23" s="459"/>
      <c r="K23" s="618" t="s">
        <v>907</v>
      </c>
      <c r="L23" s="618"/>
      <c r="M23" s="618" t="str">
        <f>B23</f>
        <v>MINWALK</v>
      </c>
      <c r="N23" s="618" t="str">
        <f>Commodities!C6</f>
        <v>Walking</v>
      </c>
      <c r="O23" s="618" t="s">
        <v>88</v>
      </c>
      <c r="P23" s="618" t="s">
        <v>940</v>
      </c>
      <c r="Q23" s="618"/>
      <c r="R23" s="618"/>
      <c r="S23" s="618"/>
      <c r="T23" s="618"/>
    </row>
    <row r="24" spans="1:20">
      <c r="A24" s="459"/>
      <c r="B24" s="621" t="s">
        <v>898</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940</v>
      </c>
      <c r="Q24" s="618"/>
      <c r="R24" s="618"/>
      <c r="S24" s="618"/>
      <c r="T24" s="618"/>
    </row>
    <row r="25" spans="1:20">
      <c r="A25" s="459"/>
      <c r="B25" s="621" t="s">
        <v>899</v>
      </c>
      <c r="C25" s="621"/>
      <c r="D25" s="621" t="str">
        <f t="shared" si="0"/>
        <v>OILGSL</v>
      </c>
      <c r="E25" s="621"/>
      <c r="F25" s="621"/>
      <c r="G25" s="621"/>
      <c r="H25" s="621">
        <v>5</v>
      </c>
      <c r="I25" s="621"/>
      <c r="J25" s="459"/>
      <c r="K25" s="618"/>
      <c r="L25" s="618"/>
      <c r="M25" s="618" t="str">
        <f t="shared" si="1"/>
        <v>MINGASOLINE</v>
      </c>
      <c r="N25" s="618" t="str">
        <f>Commodities!C8</f>
        <v>Gasoline</v>
      </c>
      <c r="O25" s="618" t="s">
        <v>88</v>
      </c>
      <c r="P25" s="618" t="s">
        <v>940</v>
      </c>
      <c r="Q25" s="618"/>
      <c r="R25" s="618"/>
      <c r="S25" s="618"/>
      <c r="T25" s="618"/>
    </row>
    <row r="26" spans="1:20">
      <c r="A26" s="459"/>
      <c r="B26" s="621" t="s">
        <v>900</v>
      </c>
      <c r="C26" s="621"/>
      <c r="D26" s="621" t="str">
        <f t="shared" si="0"/>
        <v>OILDST</v>
      </c>
      <c r="E26" s="621"/>
      <c r="F26" s="621"/>
      <c r="G26" s="621"/>
      <c r="H26" s="621">
        <v>5</v>
      </c>
      <c r="I26" s="621"/>
      <c r="J26" s="459"/>
      <c r="K26" s="618"/>
      <c r="L26" s="618"/>
      <c r="M26" s="618" t="str">
        <f t="shared" si="1"/>
        <v>MINDIESEL</v>
      </c>
      <c r="N26" s="618" t="str">
        <f>Commodities!C9</f>
        <v>Diesel</v>
      </c>
      <c r="O26" s="618" t="s">
        <v>88</v>
      </c>
      <c r="P26" s="618" t="s">
        <v>940</v>
      </c>
      <c r="Q26" s="618"/>
      <c r="R26" s="618"/>
      <c r="S26" s="618"/>
      <c r="T26" s="618"/>
    </row>
    <row r="27" spans="1:20">
      <c r="A27" s="459"/>
      <c r="B27" s="621" t="s">
        <v>901</v>
      </c>
      <c r="C27" s="621"/>
      <c r="D27" s="621" t="str">
        <f t="shared" si="0"/>
        <v>BIOETH</v>
      </c>
      <c r="E27" s="621"/>
      <c r="F27" s="621"/>
      <c r="G27" s="621"/>
      <c r="H27" s="621">
        <v>6</v>
      </c>
      <c r="I27" s="621"/>
      <c r="J27" s="459"/>
      <c r="K27" s="618"/>
      <c r="L27" s="618"/>
      <c r="M27" s="618" t="str">
        <f t="shared" si="1"/>
        <v>MINETHANOL</v>
      </c>
      <c r="N27" s="618" t="str">
        <f>Commodities!C10</f>
        <v>BioEthanol</v>
      </c>
      <c r="O27" s="618" t="s">
        <v>88</v>
      </c>
      <c r="P27" s="618" t="s">
        <v>940</v>
      </c>
      <c r="Q27" s="618"/>
      <c r="R27" s="618"/>
      <c r="S27" s="618"/>
      <c r="T27" s="618"/>
    </row>
    <row r="28" spans="1:20">
      <c r="A28" s="459"/>
      <c r="B28" s="621" t="s">
        <v>902</v>
      </c>
      <c r="C28" s="621"/>
      <c r="D28" s="621" t="str">
        <f t="shared" si="0"/>
        <v>BIODST</v>
      </c>
      <c r="E28" s="621"/>
      <c r="F28" s="621"/>
      <c r="G28" s="621"/>
      <c r="H28" s="621">
        <v>6</v>
      </c>
      <c r="I28" s="621"/>
      <c r="J28" s="459"/>
      <c r="K28" s="618"/>
      <c r="L28" s="618"/>
      <c r="M28" s="618" t="str">
        <f t="shared" si="1"/>
        <v>MINBIODIESEL</v>
      </c>
      <c r="N28" s="618" t="str">
        <f>Commodities!C11</f>
        <v>BioDiesel</v>
      </c>
      <c r="O28" s="618" t="s">
        <v>88</v>
      </c>
      <c r="P28" s="618" t="s">
        <v>940</v>
      </c>
      <c r="Q28" s="618"/>
      <c r="R28" s="618"/>
      <c r="S28" s="618"/>
      <c r="T28" s="618"/>
    </row>
    <row r="29" spans="1:20">
      <c r="A29" s="459"/>
      <c r="B29" s="621" t="s">
        <v>903</v>
      </c>
      <c r="C29" s="621"/>
      <c r="D29" s="621" t="str">
        <f t="shared" si="0"/>
        <v>CNG</v>
      </c>
      <c r="E29" s="621"/>
      <c r="F29" s="621"/>
      <c r="G29" s="621"/>
      <c r="H29" s="621">
        <v>6</v>
      </c>
      <c r="I29" s="621"/>
      <c r="J29" s="459"/>
      <c r="K29" s="618"/>
      <c r="L29" s="618"/>
      <c r="M29" s="618" t="str">
        <f t="shared" si="1"/>
        <v>MINCNG</v>
      </c>
      <c r="N29" s="618" t="str">
        <f>Commodities!C12</f>
        <v>CNG</v>
      </c>
      <c r="O29" s="618" t="s">
        <v>88</v>
      </c>
      <c r="P29" s="618" t="s">
        <v>940</v>
      </c>
      <c r="Q29" s="618"/>
      <c r="R29" s="618"/>
      <c r="S29" s="618"/>
      <c r="T29" s="618"/>
    </row>
    <row r="30" spans="1:20">
      <c r="A30" s="459"/>
      <c r="B30" s="621" t="s">
        <v>904</v>
      </c>
      <c r="C30" s="621"/>
      <c r="D30" s="621" t="str">
        <f t="shared" si="0"/>
        <v>BNG</v>
      </c>
      <c r="E30" s="621"/>
      <c r="F30" s="621"/>
      <c r="G30" s="621"/>
      <c r="H30" s="621">
        <v>6</v>
      </c>
      <c r="I30" s="621"/>
      <c r="J30" s="459"/>
      <c r="K30" s="618"/>
      <c r="L30" s="618"/>
      <c r="M30" s="618" t="str">
        <f t="shared" si="1"/>
        <v>MINBCNG</v>
      </c>
      <c r="N30" s="618" t="str">
        <f>Commodities!C13</f>
        <v>BioCNG</v>
      </c>
      <c r="O30" s="618" t="s">
        <v>88</v>
      </c>
      <c r="P30" s="618" t="s">
        <v>940</v>
      </c>
      <c r="Q30" s="618"/>
      <c r="R30" s="618"/>
      <c r="S30" s="618"/>
      <c r="T30" s="618"/>
    </row>
    <row r="31" spans="1:20">
      <c r="A31" s="459"/>
      <c r="B31" s="621" t="s">
        <v>927</v>
      </c>
      <c r="C31" s="621"/>
      <c r="D31" s="621" t="str">
        <f t="shared" si="0"/>
        <v>GASLNG</v>
      </c>
      <c r="E31" s="621"/>
      <c r="F31" s="621"/>
      <c r="G31" s="621"/>
      <c r="H31" s="621">
        <v>10</v>
      </c>
      <c r="I31" s="621"/>
      <c r="J31" s="459"/>
      <c r="K31" s="618"/>
      <c r="L31" s="618"/>
      <c r="M31" s="618" t="str">
        <f>B31</f>
        <v>MINLNG</v>
      </c>
      <c r="N31" s="618" t="str">
        <f>Commodities!C15</f>
        <v>LNG</v>
      </c>
      <c r="O31" s="618" t="s">
        <v>88</v>
      </c>
      <c r="P31" s="618" t="s">
        <v>940</v>
      </c>
      <c r="Q31" s="618"/>
      <c r="R31" s="618"/>
      <c r="S31" s="618"/>
      <c r="T31" s="618"/>
    </row>
    <row r="32" spans="1:20">
      <c r="A32" s="459"/>
      <c r="B32" s="621" t="s">
        <v>928</v>
      </c>
      <c r="C32" s="621"/>
      <c r="D32" s="621" t="str">
        <f t="shared" si="0"/>
        <v>H2</v>
      </c>
      <c r="E32" s="621"/>
      <c r="F32" s="621"/>
      <c r="G32" s="621"/>
      <c r="H32" s="621">
        <v>10</v>
      </c>
      <c r="I32" s="621"/>
      <c r="J32" s="459"/>
      <c r="K32" s="618"/>
      <c r="L32" s="618"/>
      <c r="M32" s="618" t="str">
        <f>B32</f>
        <v>MINH2</v>
      </c>
      <c r="N32" s="618" t="str">
        <f>Commodities!C16</f>
        <v>Hydrogen</v>
      </c>
      <c r="O32" s="618" t="s">
        <v>88</v>
      </c>
      <c r="P32" s="618" t="s">
        <v>940</v>
      </c>
      <c r="Q32" s="618"/>
      <c r="R32" s="618"/>
      <c r="S32" s="618"/>
      <c r="T32" s="618"/>
    </row>
    <row r="33" spans="1:20">
      <c r="A33" s="459"/>
      <c r="B33" s="652" t="s">
        <v>905</v>
      </c>
      <c r="C33" s="652"/>
      <c r="D33" s="651" t="str">
        <f t="shared" si="0"/>
        <v>OILKER</v>
      </c>
      <c r="E33" s="652"/>
      <c r="F33" s="652"/>
      <c r="G33" s="652"/>
      <c r="H33" s="652">
        <v>4</v>
      </c>
      <c r="I33" s="652"/>
      <c r="J33" s="459"/>
      <c r="K33" s="651"/>
      <c r="L33" s="651"/>
      <c r="M33" s="651" t="str">
        <f>B33</f>
        <v>MINKEROSENE</v>
      </c>
      <c r="N33" s="651" t="str">
        <f>Commodities!C17</f>
        <v>Kerosene</v>
      </c>
      <c r="O33" s="651" t="s">
        <v>88</v>
      </c>
      <c r="P33" s="651" t="s">
        <v>940</v>
      </c>
      <c r="Q33" s="651"/>
      <c r="R33" s="651"/>
      <c r="S33" s="651"/>
      <c r="T33" s="618"/>
    </row>
    <row r="34" spans="1:20">
      <c r="A34" s="459"/>
      <c r="B34" s="663" t="s">
        <v>942</v>
      </c>
      <c r="C34" s="665"/>
      <c r="D34" s="651" t="str">
        <f t="shared" si="0"/>
        <v>ELCC</v>
      </c>
      <c r="E34" s="665"/>
      <c r="F34" s="665"/>
      <c r="G34" s="665"/>
      <c r="H34" s="665">
        <v>8</v>
      </c>
      <c r="I34" s="665"/>
      <c r="J34" s="459"/>
      <c r="K34" s="663" t="s">
        <v>941</v>
      </c>
      <c r="L34" s="663"/>
      <c r="M34" s="663" t="str">
        <f>B34</f>
        <v>IMPELC</v>
      </c>
      <c r="N34" s="663" t="s">
        <v>943</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D11" sqref="D11"/>
    </sheetView>
  </sheetViews>
  <sheetFormatPr defaultColWidth="8.85546875" defaultRowHeight="15"/>
  <cols>
    <col min="1" max="1" width="3.28515625" style="459" customWidth="1"/>
    <col min="2" max="2" width="14" style="459" bestFit="1" customWidth="1"/>
    <col min="3" max="3" width="12.140625" style="459" bestFit="1" customWidth="1"/>
    <col min="4" max="4" width="11.28515625" style="459" customWidth="1"/>
    <col min="5" max="5" width="7.85546875" style="459" bestFit="1" customWidth="1"/>
    <col min="6" max="6" width="12.85546875" style="459" bestFit="1" customWidth="1"/>
    <col min="7" max="7" width="10.7109375" style="459" bestFit="1" customWidth="1"/>
    <col min="8" max="8" width="9.5703125" style="459" bestFit="1" customWidth="1"/>
    <col min="9" max="9" width="3.7109375" style="459" customWidth="1"/>
    <col min="10" max="10" width="12.28515625" style="459" customWidth="1"/>
    <col min="11" max="11" width="8.85546875" style="459"/>
    <col min="12" max="12" width="15.140625" style="459" customWidth="1"/>
    <col min="13" max="13" width="49" style="459" customWidth="1"/>
    <col min="14" max="15" width="8.85546875" style="459"/>
    <col min="16" max="16" width="12.85546875" style="459" customWidth="1"/>
    <col min="17" max="17" width="15.28515625" style="459" customWidth="1"/>
    <col min="18" max="16384" width="8.85546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934</v>
      </c>
      <c r="F3" s="626" t="s">
        <v>944</v>
      </c>
      <c r="G3" s="626" t="s">
        <v>884</v>
      </c>
      <c r="H3" s="626" t="s">
        <v>885</v>
      </c>
      <c r="J3" s="619" t="s">
        <v>69</v>
      </c>
      <c r="K3" s="620" t="s">
        <v>880</v>
      </c>
      <c r="L3" s="619" t="s">
        <v>70</v>
      </c>
      <c r="M3" s="619" t="s">
        <v>71</v>
      </c>
      <c r="N3" s="619" t="s">
        <v>72</v>
      </c>
      <c r="O3" s="619" t="s">
        <v>73</v>
      </c>
      <c r="P3" s="619" t="s">
        <v>74</v>
      </c>
      <c r="Q3" s="619" t="s">
        <v>75</v>
      </c>
      <c r="R3" s="619" t="s">
        <v>0</v>
      </c>
    </row>
    <row r="4" spans="2:18" ht="35.25" thickBot="1">
      <c r="B4" s="627" t="s">
        <v>79</v>
      </c>
      <c r="C4" s="627" t="s">
        <v>81</v>
      </c>
      <c r="D4" s="627" t="s">
        <v>82</v>
      </c>
      <c r="E4" s="627" t="s">
        <v>871</v>
      </c>
      <c r="F4" s="627" t="s">
        <v>945</v>
      </c>
      <c r="G4" s="627" t="s">
        <v>887</v>
      </c>
      <c r="H4" s="627" t="s">
        <v>888</v>
      </c>
      <c r="J4" s="622" t="s">
        <v>889</v>
      </c>
      <c r="K4" s="622" t="s">
        <v>881</v>
      </c>
      <c r="L4" s="622" t="s">
        <v>890</v>
      </c>
      <c r="M4" s="622" t="s">
        <v>80</v>
      </c>
      <c r="N4" s="622" t="s">
        <v>891</v>
      </c>
      <c r="O4" s="622" t="s">
        <v>892</v>
      </c>
      <c r="P4" s="622" t="s">
        <v>893</v>
      </c>
      <c r="Q4" s="622" t="s">
        <v>894</v>
      </c>
      <c r="R4" s="622" t="s">
        <v>895</v>
      </c>
    </row>
    <row r="5" spans="2:18" ht="15.75" thickBot="1">
      <c r="B5" s="627" t="s">
        <v>896</v>
      </c>
      <c r="C5" s="628"/>
      <c r="D5" s="628"/>
      <c r="E5" s="628"/>
      <c r="F5" s="628" t="s">
        <v>946</v>
      </c>
      <c r="G5" s="628" t="s">
        <v>906</v>
      </c>
      <c r="H5" s="628" t="s">
        <v>88</v>
      </c>
      <c r="J5" s="622" t="s">
        <v>27</v>
      </c>
      <c r="K5" s="629"/>
      <c r="L5" s="629"/>
      <c r="M5" s="629"/>
      <c r="N5" s="629"/>
      <c r="O5" s="629"/>
      <c r="P5" s="629"/>
      <c r="Q5" s="629"/>
      <c r="R5" s="629"/>
    </row>
    <row r="6" spans="2:18" s="666" customFormat="1" ht="12.75">
      <c r="B6" s="618" t="str">
        <f>"FT-TRA"&amp;C6</f>
        <v>FT-TRAWLK</v>
      </c>
      <c r="C6" s="621" t="str">
        <f>Primary!D23</f>
        <v>WLK</v>
      </c>
      <c r="D6" s="618" t="str">
        <f>Commodities!B6</f>
        <v>TRAWLK</v>
      </c>
      <c r="E6" s="666">
        <v>1</v>
      </c>
      <c r="F6" s="666">
        <v>50</v>
      </c>
      <c r="G6" s="666">
        <v>0.01</v>
      </c>
      <c r="J6" s="618" t="s">
        <v>933</v>
      </c>
      <c r="K6" s="668"/>
      <c r="L6" s="668" t="str">
        <f t="shared" ref="L6:L17" si="0">B6</f>
        <v>FT-TRAWLK</v>
      </c>
      <c r="M6" s="669" t="str">
        <f>"TRA "&amp;Commodities!C6</f>
        <v>TRA Walking</v>
      </c>
      <c r="N6" s="668" t="s">
        <v>88</v>
      </c>
      <c r="O6" s="668" t="s">
        <v>940</v>
      </c>
      <c r="P6" s="668"/>
      <c r="Q6" s="668"/>
      <c r="R6" s="668"/>
    </row>
    <row r="7" spans="2:18" s="666" customFormat="1" ht="12.75">
      <c r="B7" s="618" t="str">
        <f t="shared" ref="B7:B17" si="1">"FT-TRA"&amp;C7</f>
        <v>FT-TRACYC</v>
      </c>
      <c r="C7" s="621" t="str">
        <f>Primary!D24</f>
        <v>CYC</v>
      </c>
      <c r="D7" s="618" t="str">
        <f>Commodities!B7</f>
        <v>TRACYC</v>
      </c>
      <c r="E7" s="666">
        <v>1</v>
      </c>
      <c r="F7" s="666">
        <v>50</v>
      </c>
      <c r="G7" s="666">
        <v>0.01</v>
      </c>
      <c r="J7" s="618"/>
      <c r="K7" s="668"/>
      <c r="L7" s="668" t="str">
        <f t="shared" si="0"/>
        <v>FT-TRACYC</v>
      </c>
      <c r="M7" s="669" t="str">
        <f>"TRA "&amp;Commodities!C7</f>
        <v>TRA Cycling</v>
      </c>
      <c r="N7" s="668" t="s">
        <v>88</v>
      </c>
      <c r="O7" s="668" t="s">
        <v>940</v>
      </c>
      <c r="P7" s="668"/>
      <c r="Q7" s="668"/>
      <c r="R7" s="668"/>
    </row>
    <row r="8" spans="2:18" s="666" customFormat="1" ht="12.75">
      <c r="B8" s="618" t="str">
        <f>"FT-TRA"&amp;RIGHT(C8,3)</f>
        <v>FT-TRAGSL</v>
      </c>
      <c r="C8" s="621" t="str">
        <f>Primary!D25</f>
        <v>OILGSL</v>
      </c>
      <c r="D8" s="618" t="str">
        <f>Commodities!B8</f>
        <v>TRAGSL</v>
      </c>
      <c r="E8" s="666">
        <v>1</v>
      </c>
      <c r="F8" s="666">
        <v>50</v>
      </c>
      <c r="G8" s="666">
        <v>0.01</v>
      </c>
      <c r="J8" s="618"/>
      <c r="K8" s="668"/>
      <c r="L8" s="668" t="str">
        <f t="shared" si="0"/>
        <v>FT-TRAGSL</v>
      </c>
      <c r="M8" s="669" t="str">
        <f>"TRA "&amp;Commodities!C8</f>
        <v>TRA Gasoline</v>
      </c>
      <c r="N8" s="668" t="s">
        <v>88</v>
      </c>
      <c r="O8" s="668" t="s">
        <v>940</v>
      </c>
      <c r="P8" s="668"/>
      <c r="Q8" s="668"/>
      <c r="R8" s="668"/>
    </row>
    <row r="9" spans="2:18" s="666" customFormat="1" ht="12.75">
      <c r="B9" s="618" t="str">
        <f>"FT-TRA"&amp;RIGHT(C9,3)</f>
        <v>FT-TRADST</v>
      </c>
      <c r="C9" s="621" t="str">
        <f>Primary!D26</f>
        <v>OILDST</v>
      </c>
      <c r="D9" s="618" t="str">
        <f>Commodities!B9</f>
        <v>TRADST</v>
      </c>
      <c r="E9" s="666">
        <v>1</v>
      </c>
      <c r="F9" s="666">
        <v>50</v>
      </c>
      <c r="G9" s="666">
        <v>0.01</v>
      </c>
      <c r="J9" s="618"/>
      <c r="L9" s="668" t="str">
        <f t="shared" si="0"/>
        <v>FT-TRADST</v>
      </c>
      <c r="M9" s="669" t="str">
        <f>"TRA "&amp;Commodities!C9</f>
        <v>TRA Diesel</v>
      </c>
      <c r="N9" s="668" t="s">
        <v>88</v>
      </c>
      <c r="O9" s="668" t="s">
        <v>940</v>
      </c>
    </row>
    <row r="10" spans="2:18" s="666" customFormat="1" ht="12.75">
      <c r="B10" s="618" t="str">
        <f t="shared" si="1"/>
        <v>FT-TRABIOETH</v>
      </c>
      <c r="C10" s="621" t="str">
        <f>Primary!D27</f>
        <v>BIOETH</v>
      </c>
      <c r="D10" s="618" t="str">
        <f>Commodities!B10</f>
        <v>TRAETH</v>
      </c>
      <c r="E10" s="666">
        <v>1</v>
      </c>
      <c r="F10" s="666">
        <v>50</v>
      </c>
      <c r="G10" s="666">
        <v>0.01</v>
      </c>
      <c r="J10" s="618"/>
      <c r="L10" s="668" t="str">
        <f t="shared" si="0"/>
        <v>FT-TRABIOETH</v>
      </c>
      <c r="M10" s="669" t="str">
        <f>"TRA "&amp;Commodities!C10</f>
        <v>TRA BioEthanol</v>
      </c>
      <c r="N10" s="668" t="s">
        <v>88</v>
      </c>
      <c r="O10" s="668" t="s">
        <v>940</v>
      </c>
    </row>
    <row r="11" spans="2:18" s="666" customFormat="1" ht="12.75">
      <c r="B11" s="618" t="str">
        <f t="shared" si="1"/>
        <v>FT-TRABIODST</v>
      </c>
      <c r="C11" s="621" t="str">
        <f>Primary!D28</f>
        <v>BIODST</v>
      </c>
      <c r="D11" s="618" t="str">
        <f>Commodities!B11</f>
        <v>TRABDL</v>
      </c>
      <c r="E11" s="666">
        <v>1</v>
      </c>
      <c r="F11" s="666">
        <v>50</v>
      </c>
      <c r="G11" s="666">
        <v>0.01</v>
      </c>
      <c r="J11" s="618"/>
      <c r="L11" s="668" t="str">
        <f t="shared" si="0"/>
        <v>FT-TRABIODST</v>
      </c>
      <c r="M11" s="669" t="str">
        <f>"TRA "&amp;Commodities!C11</f>
        <v>TRA BioDiesel</v>
      </c>
      <c r="N11" s="668" t="s">
        <v>88</v>
      </c>
      <c r="O11" s="668" t="s">
        <v>940</v>
      </c>
    </row>
    <row r="12" spans="2:18" s="666" customFormat="1" ht="12.75">
      <c r="B12" s="618" t="str">
        <f t="shared" si="1"/>
        <v>FT-TRACNG</v>
      </c>
      <c r="C12" s="621" t="str">
        <f>Primary!D29</f>
        <v>CNG</v>
      </c>
      <c r="D12" s="618" t="str">
        <f>Commodities!B12</f>
        <v>TRACNG</v>
      </c>
      <c r="E12" s="666">
        <v>1</v>
      </c>
      <c r="F12" s="666">
        <v>50</v>
      </c>
      <c r="G12" s="666">
        <v>0.01</v>
      </c>
      <c r="J12" s="618"/>
      <c r="L12" s="668" t="str">
        <f t="shared" si="0"/>
        <v>FT-TRACNG</v>
      </c>
      <c r="M12" s="669" t="str">
        <f>"TRA "&amp;Commodities!C12</f>
        <v>TRA CNG</v>
      </c>
      <c r="N12" s="668" t="s">
        <v>88</v>
      </c>
      <c r="O12" s="668" t="s">
        <v>940</v>
      </c>
    </row>
    <row r="13" spans="2:18" s="666" customFormat="1" ht="12.75">
      <c r="B13" s="618" t="str">
        <f t="shared" si="1"/>
        <v>FT-TRABNG</v>
      </c>
      <c r="C13" s="621" t="str">
        <f>Primary!D30</f>
        <v>BNG</v>
      </c>
      <c r="D13" s="618" t="str">
        <f>Commodities!B13</f>
        <v>TRABNG</v>
      </c>
      <c r="E13" s="666">
        <v>1</v>
      </c>
      <c r="F13" s="666">
        <v>50</v>
      </c>
      <c r="G13" s="666">
        <v>0.01</v>
      </c>
      <c r="J13" s="618"/>
      <c r="L13" s="668" t="str">
        <f t="shared" si="0"/>
        <v>FT-TRABNG</v>
      </c>
      <c r="M13" s="669" t="str">
        <f>"TRA "&amp;Commodities!C13</f>
        <v>TRA BioCNG</v>
      </c>
      <c r="N13" s="668" t="s">
        <v>88</v>
      </c>
      <c r="O13" s="668" t="s">
        <v>940</v>
      </c>
    </row>
    <row r="14" spans="2:18" s="666" customFormat="1" ht="12.75">
      <c r="B14" s="618" t="str">
        <f>"FT-TRA"&amp;LEFT(C14,3)</f>
        <v>FT-TRAELC</v>
      </c>
      <c r="C14" s="666" t="str">
        <f>Primary!D34</f>
        <v>ELCC</v>
      </c>
      <c r="D14" s="666" t="str">
        <f>Commodities!B14</f>
        <v>TRAELC</v>
      </c>
      <c r="E14" s="667">
        <v>1</v>
      </c>
      <c r="F14" s="666">
        <v>50</v>
      </c>
      <c r="G14" s="666">
        <v>0.01</v>
      </c>
      <c r="J14" s="618"/>
      <c r="L14" s="668" t="str">
        <f t="shared" si="0"/>
        <v>FT-TRAELC</v>
      </c>
      <c r="M14" s="669" t="str">
        <f>"TRA "&amp;Commodities!C14</f>
        <v>TRA Electricity for BEVs and PHEVs and Rail</v>
      </c>
      <c r="N14" s="668" t="s">
        <v>88</v>
      </c>
      <c r="O14" s="668" t="s">
        <v>940</v>
      </c>
    </row>
    <row r="15" spans="2:18" s="666" customFormat="1" ht="12.75">
      <c r="B15" s="618" t="str">
        <f>"FT-TRA"&amp;RIGHT(C15,3)</f>
        <v>FT-TRALNG</v>
      </c>
      <c r="C15" s="621" t="str">
        <f>Primary!D31</f>
        <v>GASLNG</v>
      </c>
      <c r="D15" s="618" t="str">
        <f>Commodities!B15</f>
        <v>TRALNG</v>
      </c>
      <c r="E15" s="666">
        <v>1</v>
      </c>
      <c r="F15" s="666">
        <v>50</v>
      </c>
      <c r="G15" s="666">
        <v>0.01</v>
      </c>
      <c r="J15" s="618"/>
      <c r="L15" s="668" t="str">
        <f t="shared" si="0"/>
        <v>FT-TRALNG</v>
      </c>
      <c r="M15" s="669" t="str">
        <f>"TRA "&amp;Commodities!C15</f>
        <v>TRA LNG</v>
      </c>
      <c r="N15" s="668" t="s">
        <v>88</v>
      </c>
      <c r="O15" s="668" t="s">
        <v>940</v>
      </c>
    </row>
    <row r="16" spans="2:18" s="666" customFormat="1" ht="12.75">
      <c r="B16" s="618" t="str">
        <f>"FT-TRA"&amp;C16</f>
        <v>FT-TRAH2</v>
      </c>
      <c r="C16" s="621" t="str">
        <f>Primary!D32</f>
        <v>H2</v>
      </c>
      <c r="D16" s="618" t="str">
        <f>Commodities!B16</f>
        <v>TRAH2</v>
      </c>
      <c r="E16" s="666">
        <v>1</v>
      </c>
      <c r="F16" s="666">
        <v>50</v>
      </c>
      <c r="G16" s="666">
        <v>0.01</v>
      </c>
      <c r="I16" s="776"/>
      <c r="J16" s="775"/>
      <c r="K16" s="776"/>
      <c r="L16" s="668" t="str">
        <f t="shared" si="0"/>
        <v>FT-TRAH2</v>
      </c>
      <c r="M16" s="669" t="str">
        <f>"TRA "&amp;Commodities!C16</f>
        <v>TRA Hydrogen</v>
      </c>
      <c r="N16" s="777" t="s">
        <v>88</v>
      </c>
      <c r="O16" s="777" t="s">
        <v>940</v>
      </c>
      <c r="P16" s="776"/>
      <c r="Q16" s="776"/>
      <c r="R16" s="776"/>
    </row>
    <row r="17" spans="1:16" s="666" customFormat="1" ht="12.75">
      <c r="B17" s="618" t="str">
        <f>"FT-TRA"&amp;RIGHT(C17,3)</f>
        <v>FT-TRAKER</v>
      </c>
      <c r="C17" s="774" t="str">
        <f>Primary!D33</f>
        <v>OILKER</v>
      </c>
      <c r="D17" s="775" t="str">
        <f>Commodities!B17</f>
        <v>TRAKER</v>
      </c>
      <c r="E17" s="776">
        <v>1</v>
      </c>
      <c r="F17" s="776">
        <v>50</v>
      </c>
      <c r="G17" s="776">
        <v>0.01</v>
      </c>
      <c r="H17" s="776"/>
      <c r="L17" s="668" t="str">
        <f t="shared" si="0"/>
        <v>FT-TRAKER</v>
      </c>
      <c r="M17" s="669" t="str">
        <f>"TRA "&amp;Commodities!C17</f>
        <v>TRA Kerosene</v>
      </c>
      <c r="N17" s="668" t="s">
        <v>88</v>
      </c>
      <c r="O17" s="668" t="s">
        <v>940</v>
      </c>
      <c r="P17" s="668" t="s">
        <v>90</v>
      </c>
    </row>
    <row r="18" spans="1:16" s="666" customFormat="1" ht="12.75">
      <c r="A18" s="621"/>
    </row>
    <row r="19" spans="1:16" s="66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B10" sqref="B10"/>
    </sheetView>
  </sheetViews>
  <sheetFormatPr defaultRowHeight="15"/>
  <cols>
    <col min="1" max="1" width="16.28515625" customWidth="1"/>
    <col min="2" max="2" width="12" bestFit="1" customWidth="1"/>
    <col min="3" max="3" width="51.85546875" bestFit="1" customWidth="1"/>
    <col min="4" max="5" width="8.85546875" customWidth="1"/>
    <col min="6" max="6" width="10.7109375" customWidth="1"/>
    <col min="7" max="7" width="11" customWidth="1"/>
    <col min="8" max="8" width="10.42578125" customWidth="1"/>
    <col min="11" max="11" width="26" bestFit="1" customWidth="1"/>
    <col min="12" max="12" width="60.285156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42" t="s">
        <v>632</v>
      </c>
      <c r="L4" s="742"/>
    </row>
    <row r="5" spans="1:13" ht="45.75" thickBot="1">
      <c r="A5" s="473" t="s">
        <v>470</v>
      </c>
      <c r="B5" s="473" t="s">
        <v>471</v>
      </c>
      <c r="C5" s="473" t="s">
        <v>472</v>
      </c>
      <c r="D5" s="473" t="s">
        <v>64</v>
      </c>
      <c r="E5" s="473" t="s">
        <v>473</v>
      </c>
      <c r="F5" s="473" t="s">
        <v>474</v>
      </c>
      <c r="G5" s="473" t="s">
        <v>475</v>
      </c>
      <c r="H5" s="473" t="s">
        <v>476</v>
      </c>
      <c r="K5" s="41" t="s">
        <v>497</v>
      </c>
      <c r="L5" s="27" t="s">
        <v>108</v>
      </c>
    </row>
    <row r="6" spans="1:13">
      <c r="A6" s="56" t="s">
        <v>85</v>
      </c>
      <c r="B6" s="56" t="s">
        <v>485</v>
      </c>
      <c r="C6" s="56" t="s">
        <v>486</v>
      </c>
      <c r="D6" s="56" t="s">
        <v>88</v>
      </c>
      <c r="E6" s="56"/>
      <c r="F6" s="56"/>
      <c r="G6" s="56"/>
      <c r="H6" s="56"/>
      <c r="K6" s="427" t="s">
        <v>21</v>
      </c>
      <c r="L6" s="519"/>
    </row>
    <row r="7" spans="1:13" s="24" customFormat="1">
      <c r="A7" s="56"/>
      <c r="B7" s="56" t="s">
        <v>483</v>
      </c>
      <c r="C7" s="56" t="s">
        <v>484</v>
      </c>
      <c r="D7" s="56" t="s">
        <v>88</v>
      </c>
      <c r="E7" s="56"/>
      <c r="F7" s="56"/>
      <c r="G7" s="56"/>
      <c r="H7" s="56"/>
      <c r="K7" s="455" t="s">
        <v>709</v>
      </c>
      <c r="L7" s="455"/>
      <c r="M7"/>
    </row>
    <row r="8" spans="1:13" s="24" customFormat="1">
      <c r="A8"/>
      <c r="B8" s="56" t="s">
        <v>83</v>
      </c>
      <c r="C8" s="26" t="s">
        <v>20</v>
      </c>
      <c r="D8" s="56" t="s">
        <v>88</v>
      </c>
      <c r="E8" s="56"/>
      <c r="F8" s="56"/>
      <c r="G8" s="56"/>
      <c r="H8" s="56"/>
      <c r="K8" s="459" t="s">
        <v>710</v>
      </c>
      <c r="L8" s="459" t="s">
        <v>486</v>
      </c>
      <c r="M8"/>
    </row>
    <row r="9" spans="1:13" s="93" customFormat="1">
      <c r="A9" s="56"/>
      <c r="B9" s="56" t="s">
        <v>86</v>
      </c>
      <c r="C9" s="26" t="s">
        <v>19</v>
      </c>
      <c r="D9" s="56" t="s">
        <v>88</v>
      </c>
      <c r="E9" s="56"/>
      <c r="F9" s="56"/>
      <c r="G9" s="56"/>
      <c r="H9" s="56"/>
      <c r="K9" s="459" t="s">
        <v>711</v>
      </c>
      <c r="L9" s="459" t="s">
        <v>484</v>
      </c>
    </row>
    <row r="10" spans="1:13">
      <c r="A10" s="56"/>
      <c r="B10" s="56" t="s">
        <v>215</v>
      </c>
      <c r="C10" s="26" t="s">
        <v>477</v>
      </c>
      <c r="D10" s="56" t="s">
        <v>88</v>
      </c>
      <c r="E10" s="56"/>
      <c r="F10" s="56"/>
      <c r="G10" s="56"/>
      <c r="H10" s="56"/>
      <c r="K10" s="455" t="s">
        <v>566</v>
      </c>
      <c r="L10" s="455"/>
    </row>
    <row r="11" spans="1:13" s="24" customFormat="1">
      <c r="A11" s="56"/>
      <c r="B11" s="56" t="s">
        <v>216</v>
      </c>
      <c r="C11" s="26" t="s">
        <v>478</v>
      </c>
      <c r="D11" s="56" t="s">
        <v>88</v>
      </c>
      <c r="E11" s="56"/>
      <c r="F11" s="56"/>
      <c r="G11" s="56"/>
      <c r="H11" s="56"/>
      <c r="K11" s="28" t="s">
        <v>565</v>
      </c>
      <c r="L11" s="28" t="s">
        <v>564</v>
      </c>
    </row>
    <row r="12" spans="1:13" s="42" customFormat="1">
      <c r="A12" s="56"/>
      <c r="B12" s="56" t="s">
        <v>479</v>
      </c>
      <c r="C12" s="26" t="s">
        <v>480</v>
      </c>
      <c r="D12" s="56" t="s">
        <v>88</v>
      </c>
      <c r="E12" s="56"/>
      <c r="F12" s="56" t="s">
        <v>337</v>
      </c>
      <c r="G12" s="56"/>
      <c r="H12" s="56"/>
      <c r="K12" s="455" t="s">
        <v>322</v>
      </c>
      <c r="L12" s="455"/>
    </row>
    <row r="13" spans="1:13" s="93" customFormat="1">
      <c r="A13" s="56"/>
      <c r="B13" s="56" t="s">
        <v>481</v>
      </c>
      <c r="C13" s="26" t="s">
        <v>482</v>
      </c>
      <c r="D13" s="56" t="s">
        <v>88</v>
      </c>
      <c r="E13" s="56"/>
      <c r="F13" s="56" t="s">
        <v>337</v>
      </c>
      <c r="G13" s="56"/>
      <c r="H13" s="56"/>
      <c r="K13" s="28" t="s">
        <v>545</v>
      </c>
      <c r="L13" s="28" t="s">
        <v>555</v>
      </c>
    </row>
    <row r="14" spans="1:13" s="42" customFormat="1">
      <c r="A14" s="638"/>
      <c r="B14" s="638" t="s">
        <v>87</v>
      </c>
      <c r="C14" s="639" t="s">
        <v>634</v>
      </c>
      <c r="D14" s="638" t="s">
        <v>88</v>
      </c>
      <c r="E14" s="56"/>
      <c r="F14" s="56" t="s">
        <v>90</v>
      </c>
      <c r="G14" s="638"/>
      <c r="H14" s="638" t="s">
        <v>89</v>
      </c>
      <c r="K14" s="28" t="s">
        <v>548</v>
      </c>
      <c r="L14" s="28" t="s">
        <v>556</v>
      </c>
    </row>
    <row r="15" spans="1:13" s="42" customFormat="1">
      <c r="B15" s="56" t="s">
        <v>923</v>
      </c>
      <c r="C15" s="26" t="s">
        <v>924</v>
      </c>
      <c r="D15" s="638" t="s">
        <v>88</v>
      </c>
      <c r="E15" s="56"/>
      <c r="F15" s="56"/>
      <c r="K15" s="28" t="s">
        <v>549</v>
      </c>
      <c r="L15" s="28" t="s">
        <v>557</v>
      </c>
    </row>
    <row r="16" spans="1:13" s="24" customFormat="1">
      <c r="B16" s="56" t="s">
        <v>925</v>
      </c>
      <c r="C16" s="26" t="s">
        <v>926</v>
      </c>
      <c r="D16" s="638" t="s">
        <v>88</v>
      </c>
      <c r="E16" s="56"/>
      <c r="F16" s="56"/>
      <c r="K16" s="28" t="s">
        <v>550</v>
      </c>
      <c r="L16" s="28" t="s">
        <v>558</v>
      </c>
    </row>
    <row r="17" spans="1:12" s="24" customFormat="1">
      <c r="A17" s="428"/>
      <c r="B17" s="428" t="s">
        <v>94</v>
      </c>
      <c r="C17" s="640" t="s">
        <v>487</v>
      </c>
      <c r="D17" s="428" t="s">
        <v>88</v>
      </c>
      <c r="E17" s="428"/>
      <c r="F17" s="428"/>
      <c r="G17" s="428"/>
      <c r="H17" s="428"/>
      <c r="K17" s="28" t="s">
        <v>546</v>
      </c>
      <c r="L17" s="28" t="s">
        <v>559</v>
      </c>
    </row>
    <row r="18" spans="1:12" s="24" customFormat="1">
      <c r="A18" s="56" t="s">
        <v>91</v>
      </c>
      <c r="B18" s="56" t="s">
        <v>1058</v>
      </c>
      <c r="C18" s="26" t="s">
        <v>1063</v>
      </c>
      <c r="D18" s="394" t="s">
        <v>937</v>
      </c>
      <c r="E18" s="56"/>
      <c r="F18" s="56"/>
      <c r="G18" s="56"/>
      <c r="H18" s="56"/>
      <c r="I18" s="56"/>
      <c r="K18" s="28" t="s">
        <v>673</v>
      </c>
      <c r="L18" s="28" t="s">
        <v>674</v>
      </c>
    </row>
    <row r="19" spans="1:12" s="93" customFormat="1">
      <c r="A19" s="56"/>
      <c r="B19" s="56" t="s">
        <v>1059</v>
      </c>
      <c r="C19" s="26" t="s">
        <v>1061</v>
      </c>
      <c r="D19" s="394" t="s">
        <v>937</v>
      </c>
      <c r="E19" s="56"/>
      <c r="F19" s="56"/>
      <c r="G19" s="56"/>
      <c r="H19" s="56"/>
      <c r="I19" s="56"/>
      <c r="K19" s="28" t="s">
        <v>547</v>
      </c>
      <c r="L19" s="28" t="s">
        <v>560</v>
      </c>
    </row>
    <row r="20" spans="1:12" s="93" customFormat="1">
      <c r="A20" s="56"/>
      <c r="B20" s="56" t="s">
        <v>1060</v>
      </c>
      <c r="C20" s="26" t="s">
        <v>1062</v>
      </c>
      <c r="D20" s="459" t="s">
        <v>937</v>
      </c>
      <c r="E20" s="56"/>
      <c r="F20" s="56"/>
      <c r="G20" s="56"/>
      <c r="H20" s="56"/>
      <c r="I20" s="56"/>
      <c r="K20" s="28" t="s">
        <v>561</v>
      </c>
      <c r="L20" s="28" t="s">
        <v>562</v>
      </c>
    </row>
    <row r="21" spans="1:12" s="93" customFormat="1">
      <c r="A21" s="394"/>
      <c r="B21" s="56" t="s">
        <v>757</v>
      </c>
      <c r="C21" s="56" t="s">
        <v>914</v>
      </c>
      <c r="D21" s="459" t="s">
        <v>1096</v>
      </c>
      <c r="E21" s="56"/>
      <c r="F21" s="56"/>
      <c r="G21" s="56"/>
      <c r="H21" s="56"/>
      <c r="I21" s="56"/>
      <c r="K21" s="28" t="s">
        <v>551</v>
      </c>
      <c r="L21" s="28" t="s">
        <v>563</v>
      </c>
    </row>
    <row r="22" spans="1:12">
      <c r="A22" s="394"/>
      <c r="B22" s="56" t="s">
        <v>167</v>
      </c>
      <c r="C22" s="56" t="s">
        <v>913</v>
      </c>
      <c r="D22" s="724" t="s">
        <v>1096</v>
      </c>
      <c r="E22" s="56"/>
      <c r="F22" s="56"/>
      <c r="G22" s="56"/>
      <c r="H22" s="56"/>
      <c r="K22" s="455" t="s">
        <v>618</v>
      </c>
      <c r="L22" s="455"/>
    </row>
    <row r="23" spans="1:12" s="42" customFormat="1">
      <c r="A23" s="394"/>
      <c r="B23" s="56" t="s">
        <v>799</v>
      </c>
      <c r="C23" s="56" t="s">
        <v>912</v>
      </c>
      <c r="D23" s="394" t="s">
        <v>88</v>
      </c>
      <c r="E23" s="56"/>
      <c r="F23" s="56"/>
      <c r="G23" s="56"/>
      <c r="H23" s="56"/>
      <c r="K23" s="459" t="s">
        <v>552</v>
      </c>
      <c r="L23" s="28" t="s">
        <v>621</v>
      </c>
    </row>
    <row r="24" spans="1:12">
      <c r="A24" s="459"/>
      <c r="B24" s="459" t="s">
        <v>213</v>
      </c>
      <c r="C24" s="459" t="s">
        <v>911</v>
      </c>
      <c r="D24" s="459" t="s">
        <v>88</v>
      </c>
      <c r="E24" s="56"/>
      <c r="F24" s="56"/>
      <c r="G24" s="56"/>
      <c r="H24" s="56"/>
      <c r="K24" s="459" t="s">
        <v>553</v>
      </c>
      <c r="L24" s="28" t="s">
        <v>622</v>
      </c>
    </row>
    <row r="25" spans="1:12" s="24" customFormat="1">
      <c r="A25" s="394"/>
      <c r="B25" s="394" t="s">
        <v>214</v>
      </c>
      <c r="C25" s="394" t="s">
        <v>910</v>
      </c>
      <c r="D25" s="394" t="s">
        <v>88</v>
      </c>
      <c r="E25" s="56"/>
      <c r="F25" s="56"/>
      <c r="G25" s="56"/>
      <c r="H25" s="56"/>
      <c r="K25" s="459" t="s">
        <v>554</v>
      </c>
      <c r="L25" s="28" t="s">
        <v>623</v>
      </c>
    </row>
    <row r="26" spans="1:12" s="24" customFormat="1">
      <c r="A26" s="394"/>
      <c r="B26" s="394" t="s">
        <v>817</v>
      </c>
      <c r="C26" s="394" t="s">
        <v>909</v>
      </c>
      <c r="D26" s="394" t="s">
        <v>88</v>
      </c>
      <c r="E26" s="56"/>
      <c r="F26" s="56"/>
      <c r="G26" s="56"/>
      <c r="H26" s="56"/>
      <c r="K26" s="455" t="s">
        <v>619</v>
      </c>
      <c r="L26" s="455"/>
    </row>
    <row r="27" spans="1:12" s="24" customFormat="1">
      <c r="A27" s="393"/>
      <c r="B27" s="393" t="s">
        <v>818</v>
      </c>
      <c r="C27" s="393" t="s">
        <v>908</v>
      </c>
      <c r="D27" s="393" t="s">
        <v>88</v>
      </c>
      <c r="E27" s="428"/>
      <c r="F27" s="428"/>
      <c r="G27" s="428"/>
      <c r="H27" s="428"/>
      <c r="K27" s="459" t="s">
        <v>620</v>
      </c>
      <c r="L27" s="28" t="s">
        <v>625</v>
      </c>
    </row>
    <row r="28" spans="1:12" s="24" customFormat="1">
      <c r="A28" s="394" t="s">
        <v>102</v>
      </c>
      <c r="B28" s="29" t="s">
        <v>97</v>
      </c>
      <c r="C28" s="56" t="s">
        <v>229</v>
      </c>
      <c r="D28" s="394" t="s">
        <v>106</v>
      </c>
      <c r="E28" s="56"/>
      <c r="F28" s="56"/>
      <c r="G28" s="56"/>
      <c r="H28" s="56"/>
      <c r="K28" s="455" t="s">
        <v>24</v>
      </c>
      <c r="L28" s="455"/>
    </row>
    <row r="29" spans="1:12" s="24" customFormat="1">
      <c r="A29" s="394"/>
      <c r="B29" s="29" t="s">
        <v>98</v>
      </c>
      <c r="C29" s="56" t="s">
        <v>103</v>
      </c>
      <c r="D29" s="394" t="s">
        <v>106</v>
      </c>
      <c r="E29" s="56"/>
      <c r="F29" s="56"/>
      <c r="G29" s="56"/>
      <c r="H29" s="56"/>
      <c r="K29" s="459" t="s">
        <v>626</v>
      </c>
      <c r="L29" s="28" t="s">
        <v>629</v>
      </c>
    </row>
    <row r="30" spans="1:12" s="24" customFormat="1">
      <c r="A30" s="394"/>
      <c r="B30" s="29" t="s">
        <v>99</v>
      </c>
      <c r="C30" s="56" t="s">
        <v>104</v>
      </c>
      <c r="D30" s="394" t="s">
        <v>106</v>
      </c>
      <c r="E30" s="56"/>
      <c r="F30" s="56"/>
      <c r="G30" s="56"/>
      <c r="H30" s="56"/>
      <c r="J30" s="442"/>
      <c r="K30" s="459" t="s">
        <v>627</v>
      </c>
      <c r="L30" s="28" t="s">
        <v>628</v>
      </c>
    </row>
    <row r="31" spans="1:12" s="24" customFormat="1">
      <c r="A31" s="394"/>
      <c r="B31" s="29" t="s">
        <v>100</v>
      </c>
      <c r="C31" s="56" t="s">
        <v>105</v>
      </c>
      <c r="D31" s="394" t="s">
        <v>106</v>
      </c>
      <c r="E31" s="56"/>
      <c r="F31" s="56"/>
      <c r="G31" s="56"/>
      <c r="H31" s="56"/>
      <c r="J31" s="442"/>
      <c r="K31" s="459" t="s">
        <v>630</v>
      </c>
      <c r="L31" s="28" t="s">
        <v>631</v>
      </c>
    </row>
    <row r="32" spans="1:12" s="24" customFormat="1">
      <c r="A32" s="394"/>
      <c r="B32" s="56" t="s">
        <v>110</v>
      </c>
      <c r="C32" s="56" t="s">
        <v>218</v>
      </c>
      <c r="D32" s="394" t="s">
        <v>106</v>
      </c>
      <c r="E32" s="56"/>
      <c r="F32" s="56"/>
      <c r="G32" s="56"/>
      <c r="H32" s="56"/>
      <c r="J32" s="442"/>
      <c r="K32" s="427" t="s">
        <v>715</v>
      </c>
      <c r="L32" s="519"/>
    </row>
    <row r="33" spans="1:14" s="24" customFormat="1" ht="15.75" thickBot="1">
      <c r="A33" s="429"/>
      <c r="B33" s="430" t="s">
        <v>111</v>
      </c>
      <c r="C33" s="430" t="s">
        <v>219</v>
      </c>
      <c r="D33" s="429" t="s">
        <v>106</v>
      </c>
      <c r="E33" s="430"/>
      <c r="F33" s="430"/>
      <c r="G33" s="430"/>
      <c r="H33" s="430"/>
      <c r="J33" s="442"/>
      <c r="K33" s="455" t="s">
        <v>758</v>
      </c>
      <c r="L33" s="455"/>
    </row>
    <row r="34" spans="1:14" s="24" customFormat="1">
      <c r="A34" s="1"/>
      <c r="B34" s="638"/>
      <c r="C34" s="638"/>
      <c r="D34" s="1"/>
      <c r="E34" s="638"/>
      <c r="F34" s="638"/>
      <c r="G34" s="638"/>
      <c r="H34" s="638"/>
      <c r="J34" s="442"/>
      <c r="K34" s="459" t="s">
        <v>781</v>
      </c>
      <c r="L34" s="28" t="s">
        <v>783</v>
      </c>
    </row>
    <row r="35" spans="1:14">
      <c r="A35" s="574" t="s">
        <v>807</v>
      </c>
      <c r="G35" s="56"/>
      <c r="H35" s="56"/>
      <c r="J35" s="442"/>
      <c r="K35" t="s">
        <v>782</v>
      </c>
      <c r="L35" s="28" t="s">
        <v>784</v>
      </c>
    </row>
    <row r="36" spans="1:14" s="24" customFormat="1">
      <c r="A36" s="574" t="s">
        <v>808</v>
      </c>
      <c r="B36"/>
      <c r="C36"/>
      <c r="D36"/>
      <c r="E36"/>
      <c r="F36"/>
      <c r="G36" s="459"/>
      <c r="H36" s="459"/>
      <c r="J36" s="442"/>
      <c r="K36" s="459" t="s">
        <v>768</v>
      </c>
      <c r="L36" s="28" t="s">
        <v>769</v>
      </c>
    </row>
    <row r="37" spans="1:14" s="24" customFormat="1">
      <c r="A37" s="574" t="s">
        <v>806</v>
      </c>
      <c r="B37"/>
      <c r="C37"/>
      <c r="D37"/>
      <c r="E37"/>
      <c r="F37"/>
      <c r="G37" s="459"/>
      <c r="H37" s="459"/>
      <c r="J37" s="442"/>
      <c r="K37" s="427" t="s">
        <v>805</v>
      </c>
      <c r="L37" s="519"/>
    </row>
    <row r="38" spans="1:14">
      <c r="A38" s="574" t="s">
        <v>809</v>
      </c>
      <c r="G38" s="459"/>
      <c r="H38" s="459"/>
      <c r="K38" s="459" t="s">
        <v>800</v>
      </c>
      <c r="L38" s="28" t="s">
        <v>801</v>
      </c>
    </row>
    <row r="39" spans="1:14">
      <c r="K39" s="459" t="s">
        <v>803</v>
      </c>
      <c r="L39" s="28" t="s">
        <v>796</v>
      </c>
    </row>
    <row r="40" spans="1:14">
      <c r="K40" s="459" t="s">
        <v>804</v>
      </c>
      <c r="L40" s="28" t="s">
        <v>802</v>
      </c>
    </row>
    <row r="41" spans="1:14">
      <c r="K41" s="427" t="s">
        <v>95</v>
      </c>
      <c r="L41" s="519"/>
    </row>
    <row r="42" spans="1:14">
      <c r="K42" s="459" t="s">
        <v>812</v>
      </c>
      <c r="L42" s="28" t="s">
        <v>814</v>
      </c>
    </row>
    <row r="43" spans="1:14">
      <c r="K43" s="458" t="s">
        <v>813</v>
      </c>
      <c r="L43" s="129" t="s">
        <v>815</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abSelected="1" topLeftCell="A37" zoomScale="60" zoomScaleNormal="60" workbookViewId="0">
      <selection activeCell="C73" sqref="C73"/>
    </sheetView>
  </sheetViews>
  <sheetFormatPr defaultRowHeight="15"/>
  <cols>
    <col min="1" max="1" width="24.5703125" customWidth="1"/>
    <col min="2" max="2" width="22.42578125" bestFit="1" customWidth="1"/>
    <col min="3" max="3" width="64.7109375" bestFit="1" customWidth="1"/>
    <col min="4" max="4" width="32" customWidth="1"/>
    <col min="5" max="5" width="12.85546875" customWidth="1"/>
    <col min="6" max="6" width="10.7109375" customWidth="1"/>
    <col min="7" max="29" width="9.28515625" customWidth="1"/>
    <col min="32" max="32" width="8.7109375" customWidth="1"/>
    <col min="33" max="33" width="25.140625" bestFit="1" customWidth="1"/>
    <col min="34" max="34" width="15.85546875" bestFit="1" customWidth="1"/>
    <col min="35" max="35" width="27.28515625" bestFit="1" customWidth="1"/>
    <col min="36" max="36" width="13.42578125" bestFit="1" customWidth="1"/>
    <col min="37" max="37" width="24.7109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713</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712</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915</v>
      </c>
      <c r="B6" s="630" t="str">
        <f>Commodities!K8</f>
        <v>TWLK_WLK</v>
      </c>
      <c r="C6" s="630" t="str">
        <f>Commodities!L8</f>
        <v>Walking</v>
      </c>
      <c r="D6" s="636" t="s">
        <v>937</v>
      </c>
      <c r="E6" s="636" t="s">
        <v>938</v>
      </c>
      <c r="F6" s="630"/>
      <c r="G6" s="636" t="s">
        <v>916</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937</v>
      </c>
      <c r="E7" s="636" t="s">
        <v>938</v>
      </c>
      <c r="F7" s="630"/>
      <c r="G7" s="636" t="s">
        <v>916</v>
      </c>
      <c r="H7" s="630"/>
      <c r="I7" s="127"/>
      <c r="J7" s="37"/>
      <c r="K7" s="37"/>
      <c r="L7" s="37"/>
      <c r="M7" s="37"/>
      <c r="N7" s="37"/>
      <c r="O7" s="37"/>
      <c r="P7" s="37"/>
      <c r="Q7" s="37"/>
      <c r="R7" s="37"/>
      <c r="S7" s="37"/>
      <c r="T7" s="37"/>
      <c r="U7" s="37"/>
      <c r="V7" s="37"/>
      <c r="W7" s="37"/>
      <c r="X7" s="37"/>
      <c r="Y7" s="37"/>
      <c r="Z7" s="37"/>
      <c r="AA7" s="37"/>
      <c r="AB7" s="37"/>
      <c r="AC7" s="37"/>
    </row>
    <row r="8" spans="1:31">
      <c r="A8" s="635" t="s">
        <v>567</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937</v>
      </c>
      <c r="E9" s="636" t="s">
        <v>938</v>
      </c>
      <c r="F9" s="630"/>
      <c r="G9" s="636" t="s">
        <v>916</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568</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937</v>
      </c>
      <c r="E11" s="636" t="s">
        <v>938</v>
      </c>
      <c r="F11" s="630"/>
      <c r="G11" s="636" t="s">
        <v>916</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937</v>
      </c>
      <c r="E12" s="636" t="s">
        <v>938</v>
      </c>
      <c r="F12" s="630"/>
      <c r="G12" s="636" t="s">
        <v>916</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937</v>
      </c>
      <c r="E13" s="636" t="s">
        <v>938</v>
      </c>
      <c r="F13" s="630"/>
      <c r="G13" s="636" t="s">
        <v>916</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937</v>
      </c>
      <c r="E14" s="636" t="s">
        <v>938</v>
      </c>
      <c r="F14" s="630"/>
      <c r="G14" s="636" t="s">
        <v>916</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937</v>
      </c>
      <c r="E15" s="636" t="s">
        <v>938</v>
      </c>
      <c r="F15" s="630"/>
      <c r="G15" s="636" t="s">
        <v>916</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937</v>
      </c>
      <c r="E16" s="636" t="s">
        <v>938</v>
      </c>
      <c r="F16" s="630"/>
      <c r="G16" s="636" t="s">
        <v>916</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937</v>
      </c>
      <c r="E17" s="636" t="s">
        <v>938</v>
      </c>
      <c r="F17" s="630"/>
      <c r="G17" s="636" t="s">
        <v>916</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937</v>
      </c>
      <c r="E18" s="636" t="s">
        <v>938</v>
      </c>
      <c r="F18" s="630"/>
      <c r="G18" s="636" t="s">
        <v>916</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937</v>
      </c>
      <c r="E19" s="636" t="s">
        <v>938</v>
      </c>
      <c r="F19" s="630"/>
      <c r="G19" s="636" t="s">
        <v>916</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583</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937</v>
      </c>
      <c r="E21" s="636" t="s">
        <v>938</v>
      </c>
      <c r="F21" s="630"/>
      <c r="G21" s="636" t="s">
        <v>916</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937</v>
      </c>
      <c r="E22" s="636" t="s">
        <v>938</v>
      </c>
      <c r="F22" s="630"/>
      <c r="G22" s="636" t="s">
        <v>916</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937</v>
      </c>
      <c r="E23" s="636" t="s">
        <v>938</v>
      </c>
      <c r="F23" s="630"/>
      <c r="G23" s="636" t="s">
        <v>916</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633</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937</v>
      </c>
      <c r="E25" s="636" t="s">
        <v>938</v>
      </c>
      <c r="F25" s="630"/>
      <c r="G25" s="636" t="s">
        <v>916</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937</v>
      </c>
      <c r="E27" s="636" t="s">
        <v>938</v>
      </c>
      <c r="F27" s="630"/>
      <c r="G27" s="636" t="s">
        <v>916</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937</v>
      </c>
      <c r="E28" s="636" t="s">
        <v>938</v>
      </c>
      <c r="F28" s="630"/>
      <c r="G28" s="636" t="s">
        <v>916</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937</v>
      </c>
      <c r="E29" s="636" t="s">
        <v>938</v>
      </c>
      <c r="F29" s="630"/>
      <c r="G29" s="636" t="s">
        <v>916</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714</v>
      </c>
      <c r="B30" s="634"/>
      <c r="C30" s="634"/>
      <c r="D30" s="634"/>
      <c r="E30" s="634"/>
      <c r="F30" s="634"/>
      <c r="G30" s="634"/>
      <c r="H30" s="634"/>
      <c r="I30" s="127"/>
      <c r="J30" s="127"/>
    </row>
    <row r="31" spans="1:31" s="459" customFormat="1">
      <c r="A31" s="635" t="s">
        <v>922</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1096</v>
      </c>
      <c r="E32" s="636" t="s">
        <v>938</v>
      </c>
      <c r="F32" s="630"/>
      <c r="G32" s="636" t="s">
        <v>916</v>
      </c>
      <c r="H32" s="630"/>
      <c r="I32" s="127"/>
      <c r="J32" s="127"/>
      <c r="K32" s="127"/>
    </row>
    <row r="33" spans="1:31" s="459" customFormat="1">
      <c r="A33" s="630"/>
      <c r="B33" s="630" t="str">
        <f>Commodities!K35</f>
        <v>TFGV_DST_00</v>
      </c>
      <c r="C33" s="630" t="str">
        <f>Commodities!L35</f>
        <v>Existing goods vehicles for freight_Diesel engine</v>
      </c>
      <c r="D33" s="636" t="s">
        <v>1096</v>
      </c>
      <c r="E33" s="636" t="s">
        <v>938</v>
      </c>
      <c r="F33" s="630"/>
      <c r="G33" s="636" t="s">
        <v>916</v>
      </c>
      <c r="H33" s="630"/>
      <c r="I33" s="127"/>
      <c r="J33" s="127"/>
      <c r="K33" s="127"/>
    </row>
    <row r="34" spans="1:31" s="459" customFormat="1">
      <c r="A34" s="630"/>
      <c r="B34" s="630" t="str">
        <f>Commodities!K36</f>
        <v>TFRAIL_DST_00</v>
      </c>
      <c r="C34" s="630" t="str">
        <f>Commodities!L36</f>
        <v>Existing heavy train for freight_Diesel engine</v>
      </c>
      <c r="D34" s="636" t="s">
        <v>1096</v>
      </c>
      <c r="E34" s="636" t="s">
        <v>64</v>
      </c>
      <c r="F34" s="630"/>
      <c r="G34" s="636" t="s">
        <v>916</v>
      </c>
      <c r="H34" s="630"/>
      <c r="I34" s="127"/>
      <c r="J34" s="127"/>
      <c r="K34" s="127"/>
    </row>
    <row r="35" spans="1:31" s="459" customFormat="1">
      <c r="A35" s="633" t="s">
        <v>810</v>
      </c>
      <c r="B35" s="634"/>
      <c r="C35" s="634"/>
      <c r="D35" s="670"/>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940</v>
      </c>
      <c r="F36" s="630"/>
      <c r="G36" s="636" t="s">
        <v>916</v>
      </c>
      <c r="H36" s="630"/>
      <c r="I36" s="127"/>
      <c r="J36" s="127"/>
      <c r="K36" s="127"/>
    </row>
    <row r="37" spans="1:31" s="459" customFormat="1">
      <c r="A37" s="630"/>
      <c r="B37" s="630" t="str">
        <f>Commodities!K39</f>
        <v>TNAV_00</v>
      </c>
      <c r="C37" s="630" t="str">
        <f>Commodities!L39</f>
        <v>Existing navigation vehicles</v>
      </c>
      <c r="D37" s="636" t="s">
        <v>88</v>
      </c>
      <c r="E37" s="28" t="s">
        <v>940</v>
      </c>
      <c r="F37" s="630"/>
      <c r="G37" s="636" t="s">
        <v>916</v>
      </c>
      <c r="H37" s="630"/>
      <c r="I37" s="127"/>
      <c r="J37" s="127"/>
      <c r="K37" s="127"/>
    </row>
    <row r="38" spans="1:31" s="459" customFormat="1">
      <c r="A38" s="630"/>
      <c r="B38" s="630" t="str">
        <f>Commodities!K40</f>
        <v>TOTH_00</v>
      </c>
      <c r="C38" s="630" t="str">
        <f>Commodities!L40</f>
        <v>Existing unspecigied vehicles</v>
      </c>
      <c r="D38" s="636" t="s">
        <v>88</v>
      </c>
      <c r="E38" s="28" t="s">
        <v>940</v>
      </c>
      <c r="F38" s="630"/>
      <c r="G38" s="636" t="s">
        <v>916</v>
      </c>
      <c r="H38" s="630"/>
      <c r="I38" s="127"/>
      <c r="J38" s="127"/>
      <c r="K38" s="127"/>
    </row>
    <row r="39" spans="1:31" s="459" customFormat="1">
      <c r="A39" s="633" t="s">
        <v>816</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940</v>
      </c>
      <c r="F40" s="26"/>
      <c r="G40" s="636" t="s">
        <v>916</v>
      </c>
      <c r="H40" s="26"/>
      <c r="I40" s="127"/>
      <c r="J40" s="127"/>
      <c r="K40" s="127"/>
    </row>
    <row r="41" spans="1:31" s="459" customFormat="1">
      <c r="A41" s="640"/>
      <c r="B41" s="640" t="str">
        <f>Commodities!K43</f>
        <v>TAVI_INT_00</v>
      </c>
      <c r="C41" s="640" t="str">
        <f>Commodities!L43</f>
        <v>Existing aviation for international flights</v>
      </c>
      <c r="D41" s="642" t="s">
        <v>88</v>
      </c>
      <c r="E41" s="129" t="s">
        <v>940</v>
      </c>
      <c r="F41" s="640"/>
      <c r="G41" s="642" t="s">
        <v>916</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1100</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7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75">
      <c r="A49" s="455" t="s">
        <v>567</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938</v>
      </c>
      <c r="C50" s="459" t="str">
        <f>Commodities!B8</f>
        <v>TRAGSL</v>
      </c>
      <c r="D50" s="448" t="str">
        <f>Commodities!B18&amp;","&amp;Commodities!B19</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75">
      <c r="A51" s="455" t="s">
        <v>568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938</v>
      </c>
      <c r="C52" s="459" t="str">
        <f>Commodities!B8&amp;","&amp;Commodities!B10</f>
        <v>TRAGSL,TRAETH</v>
      </c>
      <c r="D52" s="448" t="str">
        <f>Commodities!B18&amp;","&amp;Commodities!B19&amp;","&amp;Commodities!B20</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938</v>
      </c>
      <c r="C53" s="459" t="str">
        <f>Commodities!B9&amp;","&amp;Commodities!B11</f>
        <v>TRADST,TRABDL</v>
      </c>
      <c r="D53" s="459" t="str">
        <f>Commodities!B18&amp;","&amp;Commodities!B19&amp;","&amp;Commodities!B20</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938</v>
      </c>
      <c r="C54" s="459" t="str">
        <f>Commodities!B8&amp;","&amp;Commodities!B12</f>
        <v>TRAGSL,TRACNG</v>
      </c>
      <c r="D54" s="459" t="str">
        <f>Commodities!B18&amp;","&amp;Commodities!B19&amp;","&amp;Commodities!B20</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938</v>
      </c>
      <c r="C55" s="448" t="str">
        <f>Commodities!B8&amp;","&amp;Commodities!B10</f>
        <v>TRAGSL,TRAETH</v>
      </c>
      <c r="D55" s="459" t="str">
        <f>Commodities!B18&amp;","&amp;Commodities!B19&amp;","&amp;Commodities!B20</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938</v>
      </c>
      <c r="C56" s="448" t="str">
        <f>Commodities!B8&amp;","&amp;Commodities!B10</f>
        <v>TRAGSL,TRAETH</v>
      </c>
      <c r="D56" s="459" t="str">
        <f>Commodities!B18&amp;","&amp;Commodities!B19&amp;","&amp;Commodities!B20</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938</v>
      </c>
      <c r="C57" s="459" t="str">
        <f>Commodities!B9&amp;","&amp;Commodities!B11</f>
        <v>TRADST,TRABDL</v>
      </c>
      <c r="D57" s="459" t="str">
        <f>Commodities!B18&amp;","&amp;Commodities!B19&amp;","&amp;Commodities!B20</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938</v>
      </c>
      <c r="C58" s="448" t="str">
        <f>Commodities!B8&amp;","&amp;Commodities!B14</f>
        <v>TRAGSL,TRAELC</v>
      </c>
      <c r="D58" s="459" t="str">
        <f>Commodities!B18&amp;","&amp;Commodities!B19&amp;","&amp;Commodities!B20</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938</v>
      </c>
      <c r="C59" s="448" t="str">
        <f>Commodities!B9&amp;","&amp;Commodities!B14</f>
        <v>TRADST,TRAELC</v>
      </c>
      <c r="D59" s="459" t="str">
        <f>Commodities!B18&amp;","&amp;Commodities!B19&amp;","&amp;Commodities!B20</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938</v>
      </c>
      <c r="C60" s="448" t="str">
        <f>Commodities!B14</f>
        <v>TRAELC</v>
      </c>
      <c r="D60" s="459" t="str">
        <f>Commodities!B18&amp;","&amp;Commodities!B19&amp;","&amp;Commodities!B20</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75">
      <c r="A61" s="455" t="s">
        <v>583</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938</v>
      </c>
      <c r="C62" s="448" t="str">
        <f>Commodities!B8&amp;","&amp;Commodities!B10</f>
        <v>TRAGSL,TRAETH</v>
      </c>
      <c r="D62" s="459" t="str">
        <f>Commodities!B18&amp;","&amp;Commodities!B19&amp;","&amp;Commodities!B20</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938</v>
      </c>
      <c r="C63" s="459" t="str">
        <f>Commodities!B9&amp;","&amp;Commodities!B11</f>
        <v>TRADST,TRABDL</v>
      </c>
      <c r="D63" s="459" t="str">
        <f>Commodities!B18&amp;","&amp;Commodities!B19&amp;","&amp;Commodities!B20</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938</v>
      </c>
      <c r="C64" s="448" t="str">
        <f>Commodities!B8&amp;","&amp;Commodities!B10</f>
        <v>TRAGSL,TRAETH</v>
      </c>
      <c r="D64" s="459" t="str">
        <f>Commodities!B18&amp;","&amp;Commodities!B19&amp;","&amp;Commodities!B20</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75">
      <c r="A65" s="455" t="s">
        <v>633</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938</v>
      </c>
      <c r="C66" s="459" t="str">
        <f>Commodities!B9&amp;","&amp;Commodities!B11</f>
        <v>TRADST,TRABDL</v>
      </c>
      <c r="D66" s="459" t="str">
        <f>Commodities!B18&amp;","&amp;Commodities!B19&amp;","&amp;Commodities!B20</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75">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938</v>
      </c>
      <c r="C68" s="459" t="str">
        <f>Commodities!B14</f>
        <v>TRAELC</v>
      </c>
      <c r="D68" s="459" t="str">
        <f>Commodities!B18&amp;","&amp;Commodities!B19</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938</v>
      </c>
      <c r="C69" s="459" t="str">
        <f>Commodities!B14</f>
        <v>TRAELC</v>
      </c>
      <c r="D69" s="459" t="str">
        <f>Commodities!B20</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938</v>
      </c>
      <c r="C70" s="28" t="str">
        <f>Commodities!B9</f>
        <v>TRADST</v>
      </c>
      <c r="D70" s="459" t="str">
        <f>Commodities!B20</f>
        <v>TRAPL</v>
      </c>
      <c r="E70" s="671">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75">
      <c r="A71" s="455" t="s">
        <v>762</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459" t="str">
        <f>Commodities!B8&amp;","&amp;Commodities!B10</f>
        <v>TRAGSL,TRAETH</v>
      </c>
      <c r="D72" s="459" t="str">
        <f>Commodities!B21</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459" t="str">
        <f>Commodities!B9&amp;","&amp;Commodities!B11</f>
        <v>TRADST,TRABDL</v>
      </c>
      <c r="D73" s="459" t="str">
        <f>Commodities!B21</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459" t="str">
        <f>Commodities!B9</f>
        <v>TRADST</v>
      </c>
      <c r="D74" s="459" t="str">
        <f>Commodities!B22</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75">
      <c r="A75" s="455" t="s">
        <v>810</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940</v>
      </c>
      <c r="C76" s="459" t="str">
        <f>Commodities!B9&amp;","&amp;Commodities!B11</f>
        <v>TRADST,TRABDL</v>
      </c>
      <c r="D76" s="459" t="str">
        <f>Commodities!B23</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940</v>
      </c>
      <c r="C77" s="459" t="str">
        <f>Commodities!B9</f>
        <v>TRADST</v>
      </c>
      <c r="D77" s="459" t="str">
        <f>Commodities!B24</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940</v>
      </c>
      <c r="C78" s="459" t="str">
        <f>Commodities!B8&amp;","&amp;Commodities!B9&amp;","&amp;Commodities!B10&amp;","&amp;Commodities!B11&amp;","&amp;Commodities!B12</f>
        <v>TRAGSL,TRADST,TRAETH,TRABDL,TRACNG</v>
      </c>
      <c r="D78" s="459" t="str">
        <f>Commodities!B25</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75">
      <c r="A79" s="713" t="s">
        <v>816</v>
      </c>
      <c r="B79" s="713"/>
      <c r="C79" s="714"/>
      <c r="D79" s="714"/>
      <c r="E79" s="714"/>
      <c r="F79" s="714"/>
      <c r="G79" s="714"/>
      <c r="H79" s="714"/>
      <c r="I79" s="714"/>
      <c r="J79" s="714"/>
      <c r="K79" s="714"/>
      <c r="L79" s="714"/>
      <c r="M79" s="714"/>
      <c r="N79" s="714"/>
      <c r="O79" s="714"/>
      <c r="P79" s="714"/>
      <c r="Q79" s="714"/>
      <c r="R79" s="714"/>
      <c r="S79" s="714"/>
      <c r="T79" s="714"/>
      <c r="U79" s="714"/>
      <c r="V79" s="714"/>
      <c r="W79" s="714"/>
      <c r="X79" s="714"/>
      <c r="Y79" s="714"/>
      <c r="Z79" s="714"/>
      <c r="AA79" s="714"/>
      <c r="AB79" s="714"/>
      <c r="AC79" s="714"/>
      <c r="AD79" s="714"/>
      <c r="AE79" s="714"/>
      <c r="AF79" s="451"/>
    </row>
    <row r="80" spans="1:49" s="459" customFormat="1">
      <c r="A80" s="1" t="str">
        <f>Commodities!K42</f>
        <v>TAVI_DOM_00</v>
      </c>
      <c r="B80" s="715" t="s">
        <v>940</v>
      </c>
      <c r="C80" s="1" t="str">
        <f>Commodities!B17</f>
        <v>TRAKER</v>
      </c>
      <c r="D80" s="1" t="str">
        <f>Commodities!B26</f>
        <v>TAVIDOM</v>
      </c>
      <c r="E80" s="716"/>
      <c r="F80" s="716"/>
      <c r="G80" s="716"/>
      <c r="H80" s="716"/>
      <c r="I80" s="716"/>
      <c r="J80" s="716"/>
      <c r="K80" s="716"/>
      <c r="L80" s="716"/>
      <c r="M80" s="716"/>
      <c r="N80" s="716"/>
      <c r="O80" s="716"/>
      <c r="P80" s="716"/>
      <c r="Q80" s="716"/>
      <c r="R80" s="716"/>
      <c r="S80" s="716"/>
      <c r="T80" s="716"/>
      <c r="U80" s="716"/>
      <c r="V80" s="716"/>
      <c r="W80" s="716"/>
      <c r="X80" s="716"/>
      <c r="Y80" s="716"/>
      <c r="Z80" s="716"/>
      <c r="AA80" s="716"/>
      <c r="AB80" s="716"/>
      <c r="AC80" s="716"/>
      <c r="AD80" s="716"/>
      <c r="AE80" s="716"/>
      <c r="AF80" s="451"/>
    </row>
    <row r="81" spans="1:32" s="459" customFormat="1">
      <c r="A81" s="458" t="str">
        <f>Commodities!K43</f>
        <v>TAVI_INT_00</v>
      </c>
      <c r="B81" s="129" t="s">
        <v>940</v>
      </c>
      <c r="C81" s="458" t="str">
        <f>Commodities!B17</f>
        <v>TRAKER</v>
      </c>
      <c r="D81" s="458" t="str">
        <f>Commodities!B27</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4" t="s">
        <v>950</v>
      </c>
      <c r="AD85"/>
      <c r="AE85"/>
      <c r="AF85" s="451"/>
    </row>
    <row r="86" spans="1:32" s="459" customFormat="1" ht="15.7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75">
      <c r="A87" s="454" t="s">
        <v>712</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938</v>
      </c>
      <c r="C88" s="127" t="str">
        <f>Commodities!B6</f>
        <v>TRAWLK</v>
      </c>
      <c r="D88" s="127" t="str">
        <f>Commodities!B18</f>
        <v>TRAPS</v>
      </c>
      <c r="E88" s="732">
        <v>4000</v>
      </c>
      <c r="F88" s="732">
        <f>$E$88*Demands!C180</f>
        <v>47.82327932438232</v>
      </c>
      <c r="G88" s="732">
        <f>$E$88*Demands!D180</f>
        <v>1131.7910104549385</v>
      </c>
      <c r="H88" s="732">
        <f>$E$88*Demands!E180</f>
        <v>186.90492065608731</v>
      </c>
      <c r="I88" s="732">
        <f>$E$88*Demands!F180</f>
        <v>83.355576019059697</v>
      </c>
      <c r="J88" s="732">
        <f>$E$88*Demands!G180</f>
        <v>71.146074069718424</v>
      </c>
      <c r="K88" s="732">
        <f>$E$88*Demands!H180</f>
        <v>34.333606685615806</v>
      </c>
      <c r="L88" s="732">
        <f>$E$88*Demands!I180</f>
        <v>108.26346399992433</v>
      </c>
      <c r="M88" s="732">
        <f>$E$88*Demands!J180</f>
        <v>163.83832805003908</v>
      </c>
      <c r="N88" s="732">
        <f>$E$88*Demands!K180</f>
        <v>65.487786823019917</v>
      </c>
      <c r="O88" s="732">
        <f>$E$88*Demands!L180</f>
        <v>74.567422637978964</v>
      </c>
      <c r="P88" s="732">
        <f>$E$88*Demands!M180</f>
        <v>125.76753015887674</v>
      </c>
      <c r="Q88" s="732">
        <f>$E$88*Demands!N180</f>
        <v>119.63799897729137</v>
      </c>
      <c r="R88" s="732">
        <f>$E$88*Demands!O180</f>
        <v>99.807113389396733</v>
      </c>
      <c r="S88" s="732">
        <f>$E$88*Demands!P180</f>
        <v>456.01292770794606</v>
      </c>
      <c r="T88" s="732">
        <f>$E$88*Demands!Q180</f>
        <v>124.07491602554873</v>
      </c>
      <c r="U88" s="732">
        <f>$E$88*Demands!R180</f>
        <v>163.7165270330006</v>
      </c>
      <c r="V88" s="732">
        <f>$E$88*Demands!S180</f>
        <v>134.02563911408652</v>
      </c>
      <c r="W88" s="732">
        <f>$E$88*Demands!T180</f>
        <v>97.588654865268055</v>
      </c>
      <c r="X88" s="732">
        <f>$E$88*Demands!U180</f>
        <v>216.77053003392564</v>
      </c>
      <c r="Y88" s="732">
        <f>$E$88*Demands!V180</f>
        <v>26.917184758492713</v>
      </c>
      <c r="Z88" s="732">
        <f>$E$88*Demands!W180</f>
        <v>109.62679538374138</v>
      </c>
      <c r="AA88" s="732">
        <f>$E$88*Demands!X180</f>
        <v>54.217412715396129</v>
      </c>
      <c r="AB88" s="732">
        <f>$E$88*Demands!Y180</f>
        <v>55.049859666328175</v>
      </c>
      <c r="AC88" s="732">
        <f>$E$88*Demands!Z180</f>
        <v>63.988374302925379</v>
      </c>
      <c r="AD88" s="732">
        <f>$E$88*Demands!AA180</f>
        <v>133.72239658201136</v>
      </c>
      <c r="AE88" s="732">
        <f>$E$88*Demands!AB180</f>
        <v>51.564670564999176</v>
      </c>
      <c r="AF88" s="451"/>
    </row>
    <row r="89" spans="1:32" s="459" customFormat="1">
      <c r="A89" s="655" t="str">
        <f>Commodities!K9</f>
        <v>TCYC_CYC</v>
      </c>
      <c r="B89" s="129" t="s">
        <v>938</v>
      </c>
      <c r="C89" s="655" t="str">
        <f>Commodities!B7</f>
        <v>TRACYC</v>
      </c>
      <c r="D89" s="655" t="str">
        <f>Commodities!B18</f>
        <v>TRAPS</v>
      </c>
      <c r="E89" s="733">
        <v>1000</v>
      </c>
      <c r="F89" s="733">
        <f>$E$89*Demands!C180</f>
        <v>11.95581983109558</v>
      </c>
      <c r="G89" s="733">
        <f>$E$89*Demands!D180</f>
        <v>282.94775261373462</v>
      </c>
      <c r="H89" s="733">
        <f>$E$89*Demands!E180</f>
        <v>46.726230164021828</v>
      </c>
      <c r="I89" s="733">
        <f>$E$89*Demands!F180</f>
        <v>20.838894004764924</v>
      </c>
      <c r="J89" s="733">
        <f>$E$89*Demands!G180</f>
        <v>17.786518517429606</v>
      </c>
      <c r="K89" s="733">
        <f>$E$89*Demands!H180</f>
        <v>8.5834016714039514</v>
      </c>
      <c r="L89" s="733">
        <f>$E$89*Demands!I180</f>
        <v>27.065865999981082</v>
      </c>
      <c r="M89" s="733">
        <f>$E$89*Demands!J180</f>
        <v>40.95958201250977</v>
      </c>
      <c r="N89" s="733">
        <f>$E$89*Demands!K180</f>
        <v>16.371946705754979</v>
      </c>
      <c r="O89" s="733">
        <f>$E$89*Demands!L180</f>
        <v>18.641855659494741</v>
      </c>
      <c r="P89" s="733">
        <f>$E$89*Demands!M180</f>
        <v>31.441882539719185</v>
      </c>
      <c r="Q89" s="733">
        <f>$E$89*Demands!N180</f>
        <v>29.909499744322844</v>
      </c>
      <c r="R89" s="733">
        <f>$E$89*Demands!O180</f>
        <v>24.951778347349183</v>
      </c>
      <c r="S89" s="733">
        <f>$E$89*Demands!P180</f>
        <v>114.00323192698652</v>
      </c>
      <c r="T89" s="733">
        <f>$E$89*Demands!Q180</f>
        <v>31.018729006387183</v>
      </c>
      <c r="U89" s="733">
        <f>$E$89*Demands!R180</f>
        <v>40.929131758250151</v>
      </c>
      <c r="V89" s="733">
        <f>$E$89*Demands!S180</f>
        <v>33.506409778521629</v>
      </c>
      <c r="W89" s="733">
        <f>$E$89*Demands!T180</f>
        <v>24.397163716317014</v>
      </c>
      <c r="X89" s="733">
        <f>$E$89*Demands!U180</f>
        <v>54.19263250848141</v>
      </c>
      <c r="Y89" s="733">
        <f>$E$89*Demands!V180</f>
        <v>6.7292961896231782</v>
      </c>
      <c r="Z89" s="733">
        <f>$E$89*Demands!W180</f>
        <v>27.406698845935345</v>
      </c>
      <c r="AA89" s="733">
        <f>$E$89*Demands!X180</f>
        <v>13.554353178849032</v>
      </c>
      <c r="AB89" s="733">
        <f>$E$89*Demands!Y180</f>
        <v>13.762464916582044</v>
      </c>
      <c r="AC89" s="733">
        <f>$E$89*Demands!Z180</f>
        <v>15.997093575731345</v>
      </c>
      <c r="AD89" s="733">
        <f>$E$89*Demands!AA180</f>
        <v>33.430599145502839</v>
      </c>
      <c r="AE89" s="733">
        <f>$E$89*Demands!AB180</f>
        <v>12.891167641249794</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811</v>
      </c>
      <c r="B92" s="453"/>
      <c r="AF92" s="451"/>
    </row>
    <row r="93" spans="1:32" s="459" customFormat="1" ht="15.75" thickBot="1">
      <c r="A93" s="41" t="s">
        <v>70</v>
      </c>
      <c r="B93" s="672" t="s">
        <v>172</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75">
      <c r="A94" s="455" t="s">
        <v>712</v>
      </c>
      <c r="B94" s="575"/>
      <c r="AF94" s="451"/>
    </row>
    <row r="95" spans="1:32" s="459" customFormat="1">
      <c r="A95" s="127" t="str">
        <f>A88</f>
        <v>TWLK_WLK</v>
      </c>
      <c r="B95" s="673">
        <v>100</v>
      </c>
      <c r="AF95" s="451"/>
    </row>
    <row r="96" spans="1:32" s="459" customFormat="1">
      <c r="A96" s="127" t="str">
        <f>A89</f>
        <v>TCYC_CYC</v>
      </c>
      <c r="B96" s="673">
        <v>100</v>
      </c>
      <c r="AF96" s="451"/>
    </row>
    <row r="97" spans="1:32" s="459" customFormat="1" ht="15.75">
      <c r="A97" s="455" t="str">
        <f t="shared" ref="A97:A122" si="24">A49</f>
        <v>*Two-wheelers</v>
      </c>
      <c r="B97" s="575"/>
      <c r="AF97" s="451"/>
    </row>
    <row r="98" spans="1:32" s="459" customFormat="1">
      <c r="A98" s="127" t="str">
        <f t="shared" si="24"/>
        <v>TMOT_GSL_00</v>
      </c>
      <c r="B98" s="673">
        <v>10</v>
      </c>
      <c r="AF98" s="451"/>
    </row>
    <row r="99" spans="1:32" s="459" customFormat="1" ht="15.75">
      <c r="A99" s="455" t="str">
        <f t="shared" si="24"/>
        <v>*Private cars</v>
      </c>
      <c r="B99" s="575"/>
      <c r="AF99" s="451"/>
    </row>
    <row r="100" spans="1:32" s="459" customFormat="1">
      <c r="A100" s="127" t="str">
        <f t="shared" si="24"/>
        <v>TCAR_ICE_GSL_00</v>
      </c>
      <c r="B100" s="673">
        <v>15</v>
      </c>
      <c r="AF100" s="451"/>
    </row>
    <row r="101" spans="1:32" s="459" customFormat="1">
      <c r="A101" s="127" t="str">
        <f t="shared" si="24"/>
        <v>TCAR_ICE_DST_00</v>
      </c>
      <c r="B101" s="673">
        <v>15</v>
      </c>
      <c r="AF101" s="451"/>
    </row>
    <row r="102" spans="1:32" s="459" customFormat="1">
      <c r="A102" s="127" t="str">
        <f t="shared" si="24"/>
        <v>TCAR_ICE_DF_00</v>
      </c>
      <c r="B102" s="673">
        <v>15</v>
      </c>
      <c r="AF102" s="451"/>
    </row>
    <row r="103" spans="1:32" s="459" customFormat="1">
      <c r="A103" s="127" t="str">
        <f t="shared" si="24"/>
        <v>TCAR_ICE_E85_00</v>
      </c>
      <c r="B103" s="673">
        <v>15</v>
      </c>
      <c r="AF103" s="451"/>
    </row>
    <row r="104" spans="1:32" s="459" customFormat="1">
      <c r="A104" s="127" t="str">
        <f t="shared" si="24"/>
        <v>TCAR_HEV_GSL_00</v>
      </c>
      <c r="B104" s="673">
        <v>15</v>
      </c>
      <c r="AF104" s="451"/>
    </row>
    <row r="105" spans="1:32" s="459" customFormat="1">
      <c r="A105" s="127" t="str">
        <f t="shared" si="24"/>
        <v>TCAR_HEV_DST_00</v>
      </c>
      <c r="B105" s="673">
        <v>15</v>
      </c>
      <c r="AF105" s="451"/>
    </row>
    <row r="106" spans="1:32" s="459" customFormat="1">
      <c r="A106" s="127" t="str">
        <f t="shared" si="24"/>
        <v>TCAR_PHEV_GSL_00</v>
      </c>
      <c r="B106" s="673">
        <v>15</v>
      </c>
      <c r="AF106" s="451"/>
    </row>
    <row r="107" spans="1:32" s="459" customFormat="1">
      <c r="A107" s="127" t="str">
        <f t="shared" si="24"/>
        <v>TCAR_PHEV_DST_00</v>
      </c>
      <c r="B107" s="673">
        <v>15</v>
      </c>
      <c r="AF107" s="451"/>
    </row>
    <row r="108" spans="1:32" s="459" customFormat="1">
      <c r="A108" s="127" t="str">
        <f t="shared" si="24"/>
        <v>TCAR_BEV_00</v>
      </c>
      <c r="B108" s="673">
        <v>15</v>
      </c>
      <c r="AF108" s="451"/>
    </row>
    <row r="109" spans="1:32" s="459" customFormat="1" ht="15.75">
      <c r="A109" s="455" t="str">
        <f t="shared" si="24"/>
        <v>*Small sevice vehicle</v>
      </c>
      <c r="B109" s="575"/>
      <c r="AF109" s="451"/>
    </row>
    <row r="110" spans="1:32" s="459" customFormat="1">
      <c r="A110" s="127" t="str">
        <f t="shared" si="24"/>
        <v>TTAXI_ICE_GSL_00</v>
      </c>
      <c r="B110" s="673">
        <v>10</v>
      </c>
      <c r="AF110" s="451"/>
    </row>
    <row r="111" spans="1:32" s="459" customFormat="1">
      <c r="A111" s="127" t="str">
        <f t="shared" si="24"/>
        <v>TTAXI_ICE_DST_00</v>
      </c>
      <c r="B111" s="673">
        <v>10</v>
      </c>
      <c r="AF111" s="451"/>
    </row>
    <row r="112" spans="1:32" s="459" customFormat="1">
      <c r="A112" s="127" t="str">
        <f t="shared" si="24"/>
        <v>TTAXI_HEV_GSL_00</v>
      </c>
      <c r="B112" s="673">
        <v>10</v>
      </c>
      <c r="AF112" s="451"/>
    </row>
    <row r="113" spans="1:32" s="459" customFormat="1" ht="15.75">
      <c r="A113" s="455" t="str">
        <f t="shared" si="24"/>
        <v>*Large sevice vehicle</v>
      </c>
      <c r="B113" s="641"/>
      <c r="AF113" s="451"/>
    </row>
    <row r="114" spans="1:32" s="459" customFormat="1">
      <c r="A114" s="127" t="str">
        <f t="shared" si="24"/>
        <v>TBUS_ICE_DST_00</v>
      </c>
      <c r="B114" s="491"/>
      <c r="AF114" s="451"/>
    </row>
    <row r="115" spans="1:32" s="459" customFormat="1" ht="15.75">
      <c r="A115" s="455" t="str">
        <f t="shared" si="24"/>
        <v>*Rail</v>
      </c>
      <c r="B115" s="641"/>
      <c r="AF115" s="451"/>
    </row>
    <row r="116" spans="1:32" s="459" customFormat="1">
      <c r="A116" s="127" t="str">
        <f t="shared" si="24"/>
        <v>TLRAIL_ELC_00</v>
      </c>
      <c r="B116" s="491"/>
      <c r="AF116" s="451"/>
    </row>
    <row r="117" spans="1:32" s="459" customFormat="1">
      <c r="A117" s="127" t="str">
        <f t="shared" si="24"/>
        <v>THRAIL_ELC_00</v>
      </c>
      <c r="B117" s="491"/>
      <c r="AF117" s="451"/>
    </row>
    <row r="118" spans="1:32" s="459" customFormat="1">
      <c r="A118" s="127" t="str">
        <f t="shared" si="24"/>
        <v>THRAIL_DST_00</v>
      </c>
      <c r="B118" s="491"/>
      <c r="AF118" s="451"/>
    </row>
    <row r="119" spans="1:32" s="459" customFormat="1" ht="15.75">
      <c r="A119" s="455" t="str">
        <f t="shared" si="24"/>
        <v>*Goods vehicle</v>
      </c>
      <c r="B119" s="641"/>
      <c r="AF119" s="451"/>
    </row>
    <row r="120" spans="1:32" s="459" customFormat="1">
      <c r="A120" s="127" t="str">
        <f t="shared" si="24"/>
        <v>TFGV_GSL_00</v>
      </c>
      <c r="B120" s="491"/>
      <c r="AF120" s="451"/>
    </row>
    <row r="121" spans="1:32" s="459" customFormat="1">
      <c r="A121" s="127" t="str">
        <f t="shared" si="24"/>
        <v>TFGV_DST_00</v>
      </c>
      <c r="B121" s="491"/>
      <c r="AF121" s="451"/>
    </row>
    <row r="122" spans="1:32" s="459" customFormat="1">
      <c r="A122" s="655" t="str">
        <f t="shared" si="24"/>
        <v>TFRAIL_DST_00</v>
      </c>
      <c r="B122" s="656"/>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7" s="459" customFormat="1">
      <c r="AF129" s="451"/>
    </row>
    <row r="130" spans="1:37" s="459" customFormat="1">
      <c r="AF130" s="451"/>
    </row>
    <row r="131" spans="1:37" s="459" customFormat="1">
      <c r="AF131" s="451"/>
    </row>
    <row r="132" spans="1:37" s="459" customFormat="1" ht="21">
      <c r="A132" s="23" t="s">
        <v>498</v>
      </c>
      <c r="AF132" s="451"/>
    </row>
    <row r="133" spans="1:37" s="459"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1"/>
    </row>
    <row r="134" spans="1:37" s="459" customFormat="1" ht="21">
      <c r="C134" s="23" t="s">
        <v>1099</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1"/>
      <c r="AI134" s="23" t="s">
        <v>76</v>
      </c>
    </row>
    <row r="135" spans="1:37"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c r="AF135" s="451"/>
      <c r="AG135" s="427" t="str">
        <f>A135</f>
        <v>TechName</v>
      </c>
      <c r="AH135" s="427" t="str">
        <f t="shared" ref="AH135:AI150" si="25">B135</f>
        <v>Comm-IN</v>
      </c>
      <c r="AI135" s="427" t="str">
        <f t="shared" si="25"/>
        <v>LimType</v>
      </c>
      <c r="AJ135" s="427" t="s">
        <v>1103</v>
      </c>
      <c r="AK135" s="724"/>
    </row>
    <row r="136" spans="1:37" s="459" customFormat="1">
      <c r="A136" s="471" t="str">
        <f>Commodities!K13</f>
        <v>TCAR_ICE_GSL_00</v>
      </c>
      <c r="B136" s="471" t="str">
        <f>Commodities!B10</f>
        <v>TRAETH</v>
      </c>
      <c r="C136" s="28" t="s">
        <v>1097</v>
      </c>
      <c r="D136" s="472">
        <f>B203</f>
        <v>4.5158565381788147E-2</v>
      </c>
      <c r="E136" s="517">
        <f>D136</f>
        <v>4.5158565381788147E-2</v>
      </c>
      <c r="F136" s="517">
        <f t="shared" ref="F136:AD145" si="26">E136</f>
        <v>4.5158565381788147E-2</v>
      </c>
      <c r="G136" s="517">
        <f t="shared" si="26"/>
        <v>4.5158565381788147E-2</v>
      </c>
      <c r="H136" s="517">
        <f t="shared" si="26"/>
        <v>4.5158565381788147E-2</v>
      </c>
      <c r="I136" s="517">
        <f t="shared" si="26"/>
        <v>4.5158565381788147E-2</v>
      </c>
      <c r="J136" s="517">
        <f t="shared" si="26"/>
        <v>4.5158565381788147E-2</v>
      </c>
      <c r="K136" s="517">
        <f t="shared" si="26"/>
        <v>4.5158565381788147E-2</v>
      </c>
      <c r="L136" s="517">
        <f t="shared" si="26"/>
        <v>4.5158565381788147E-2</v>
      </c>
      <c r="M136" s="517">
        <f t="shared" si="26"/>
        <v>4.5158565381788147E-2</v>
      </c>
      <c r="N136" s="517">
        <f t="shared" si="26"/>
        <v>4.5158565381788147E-2</v>
      </c>
      <c r="O136" s="517">
        <f t="shared" si="26"/>
        <v>4.5158565381788147E-2</v>
      </c>
      <c r="P136" s="517">
        <f t="shared" si="26"/>
        <v>4.5158565381788147E-2</v>
      </c>
      <c r="Q136" s="517">
        <f t="shared" si="26"/>
        <v>4.5158565381788147E-2</v>
      </c>
      <c r="R136" s="517">
        <f t="shared" si="26"/>
        <v>4.5158565381788147E-2</v>
      </c>
      <c r="S136" s="517">
        <f t="shared" si="26"/>
        <v>4.5158565381788147E-2</v>
      </c>
      <c r="T136" s="517">
        <f t="shared" si="26"/>
        <v>4.5158565381788147E-2</v>
      </c>
      <c r="U136" s="517">
        <f t="shared" si="26"/>
        <v>4.5158565381788147E-2</v>
      </c>
      <c r="V136" s="517">
        <f t="shared" si="26"/>
        <v>4.5158565381788147E-2</v>
      </c>
      <c r="W136" s="517">
        <f t="shared" si="26"/>
        <v>4.5158565381788147E-2</v>
      </c>
      <c r="X136" s="517">
        <f t="shared" si="26"/>
        <v>4.5158565381788147E-2</v>
      </c>
      <c r="Y136" s="517">
        <f t="shared" si="26"/>
        <v>4.5158565381788147E-2</v>
      </c>
      <c r="Z136" s="517">
        <f t="shared" si="26"/>
        <v>4.5158565381788147E-2</v>
      </c>
      <c r="AA136" s="517">
        <f t="shared" si="26"/>
        <v>4.5158565381788147E-2</v>
      </c>
      <c r="AB136" s="517">
        <f t="shared" si="26"/>
        <v>4.5158565381788147E-2</v>
      </c>
      <c r="AC136" s="517">
        <f t="shared" si="26"/>
        <v>4.5158565381788147E-2</v>
      </c>
      <c r="AD136" s="517">
        <f t="shared" si="26"/>
        <v>4.5158565381788147E-2</v>
      </c>
      <c r="AF136" s="451"/>
      <c r="AG136" s="471" t="str">
        <f t="shared" ref="AG136:AG154" si="27">A136</f>
        <v>TCAR_ICE_GSL_00</v>
      </c>
      <c r="AH136" s="471" t="str">
        <f t="shared" si="25"/>
        <v>TRAETH</v>
      </c>
      <c r="AI136" s="28" t="str">
        <f t="shared" si="25"/>
        <v>LO</v>
      </c>
      <c r="AJ136" s="738">
        <v>5</v>
      </c>
      <c r="AK136" s="724"/>
    </row>
    <row r="137" spans="1:37" s="459" customFormat="1">
      <c r="A137" s="471" t="str">
        <f>Commodities!K14</f>
        <v>TCAR_ICE_DST_00</v>
      </c>
      <c r="B137" s="471" t="str">
        <f>Commodities!B11</f>
        <v>TRABDL</v>
      </c>
      <c r="C137" s="28" t="s">
        <v>1097</v>
      </c>
      <c r="D137" s="472">
        <f>B205</f>
        <v>4.087787346707978E-2</v>
      </c>
      <c r="E137" s="517">
        <f t="shared" ref="E137:T145" si="28">D137</f>
        <v>4.087787346707978E-2</v>
      </c>
      <c r="F137" s="517">
        <f t="shared" si="28"/>
        <v>4.087787346707978E-2</v>
      </c>
      <c r="G137" s="517">
        <f t="shared" si="28"/>
        <v>4.087787346707978E-2</v>
      </c>
      <c r="H137" s="517">
        <f t="shared" si="28"/>
        <v>4.087787346707978E-2</v>
      </c>
      <c r="I137" s="517">
        <f t="shared" si="28"/>
        <v>4.087787346707978E-2</v>
      </c>
      <c r="J137" s="517">
        <f t="shared" si="28"/>
        <v>4.087787346707978E-2</v>
      </c>
      <c r="K137" s="517">
        <f t="shared" si="28"/>
        <v>4.087787346707978E-2</v>
      </c>
      <c r="L137" s="517">
        <f t="shared" si="28"/>
        <v>4.087787346707978E-2</v>
      </c>
      <c r="M137" s="517">
        <f t="shared" si="28"/>
        <v>4.087787346707978E-2</v>
      </c>
      <c r="N137" s="517">
        <f t="shared" si="28"/>
        <v>4.087787346707978E-2</v>
      </c>
      <c r="O137" s="517">
        <f t="shared" si="28"/>
        <v>4.087787346707978E-2</v>
      </c>
      <c r="P137" s="517">
        <f t="shared" si="28"/>
        <v>4.087787346707978E-2</v>
      </c>
      <c r="Q137" s="517">
        <f t="shared" si="28"/>
        <v>4.087787346707978E-2</v>
      </c>
      <c r="R137" s="517">
        <f t="shared" si="28"/>
        <v>4.087787346707978E-2</v>
      </c>
      <c r="S137" s="517">
        <f t="shared" si="28"/>
        <v>4.087787346707978E-2</v>
      </c>
      <c r="T137" s="517">
        <f t="shared" si="28"/>
        <v>4.087787346707978E-2</v>
      </c>
      <c r="U137" s="517">
        <f t="shared" si="26"/>
        <v>4.087787346707978E-2</v>
      </c>
      <c r="V137" s="517">
        <f t="shared" si="26"/>
        <v>4.087787346707978E-2</v>
      </c>
      <c r="W137" s="517">
        <f t="shared" si="26"/>
        <v>4.087787346707978E-2</v>
      </c>
      <c r="X137" s="517">
        <f t="shared" si="26"/>
        <v>4.087787346707978E-2</v>
      </c>
      <c r="Y137" s="517">
        <f t="shared" si="26"/>
        <v>4.087787346707978E-2</v>
      </c>
      <c r="Z137" s="517">
        <f t="shared" si="26"/>
        <v>4.087787346707978E-2</v>
      </c>
      <c r="AA137" s="517">
        <f t="shared" si="26"/>
        <v>4.087787346707978E-2</v>
      </c>
      <c r="AB137" s="517">
        <f t="shared" si="26"/>
        <v>4.087787346707978E-2</v>
      </c>
      <c r="AC137" s="517">
        <f t="shared" si="26"/>
        <v>4.087787346707978E-2</v>
      </c>
      <c r="AD137" s="517">
        <f t="shared" si="26"/>
        <v>4.087787346707978E-2</v>
      </c>
      <c r="AF137" s="451"/>
      <c r="AG137" s="471" t="str">
        <f t="shared" si="27"/>
        <v>TCAR_ICE_DST_00</v>
      </c>
      <c r="AH137" s="471" t="str">
        <f t="shared" si="25"/>
        <v>TRABDL</v>
      </c>
      <c r="AI137" s="28" t="str">
        <f t="shared" si="25"/>
        <v>LO</v>
      </c>
      <c r="AJ137" s="738">
        <v>5</v>
      </c>
      <c r="AK137" s="724"/>
    </row>
    <row r="138" spans="1:37" s="459" customFormat="1">
      <c r="A138" s="471" t="str">
        <f>Commodities!K15</f>
        <v>TCAR_ICE_DF_00</v>
      </c>
      <c r="B138" s="471" t="str">
        <f>Commodities!B12</f>
        <v>TRACNG</v>
      </c>
      <c r="C138" s="28" t="s">
        <v>1097</v>
      </c>
      <c r="D138" s="472">
        <v>0.5</v>
      </c>
      <c r="E138" s="517">
        <f t="shared" si="28"/>
        <v>0.5</v>
      </c>
      <c r="F138" s="517">
        <f t="shared" si="26"/>
        <v>0.5</v>
      </c>
      <c r="G138" s="517">
        <f t="shared" si="26"/>
        <v>0.5</v>
      </c>
      <c r="H138" s="517">
        <f t="shared" si="26"/>
        <v>0.5</v>
      </c>
      <c r="I138" s="517">
        <f t="shared" si="26"/>
        <v>0.5</v>
      </c>
      <c r="J138" s="517">
        <f t="shared" si="26"/>
        <v>0.5</v>
      </c>
      <c r="K138" s="517">
        <f t="shared" si="26"/>
        <v>0.5</v>
      </c>
      <c r="L138" s="517">
        <f t="shared" si="26"/>
        <v>0.5</v>
      </c>
      <c r="M138" s="517">
        <f t="shared" si="26"/>
        <v>0.5</v>
      </c>
      <c r="N138" s="517">
        <f t="shared" si="26"/>
        <v>0.5</v>
      </c>
      <c r="O138" s="517">
        <f t="shared" si="26"/>
        <v>0.5</v>
      </c>
      <c r="P138" s="517">
        <f t="shared" si="26"/>
        <v>0.5</v>
      </c>
      <c r="Q138" s="517">
        <f t="shared" si="26"/>
        <v>0.5</v>
      </c>
      <c r="R138" s="517">
        <f t="shared" si="26"/>
        <v>0.5</v>
      </c>
      <c r="S138" s="517">
        <f t="shared" si="26"/>
        <v>0.5</v>
      </c>
      <c r="T138" s="517">
        <f t="shared" si="26"/>
        <v>0.5</v>
      </c>
      <c r="U138" s="517">
        <f t="shared" si="26"/>
        <v>0.5</v>
      </c>
      <c r="V138" s="517">
        <f t="shared" si="26"/>
        <v>0.5</v>
      </c>
      <c r="W138" s="517">
        <f t="shared" si="26"/>
        <v>0.5</v>
      </c>
      <c r="X138" s="517">
        <f t="shared" si="26"/>
        <v>0.5</v>
      </c>
      <c r="Y138" s="517">
        <f t="shared" si="26"/>
        <v>0.5</v>
      </c>
      <c r="Z138" s="517">
        <f t="shared" si="26"/>
        <v>0.5</v>
      </c>
      <c r="AA138" s="517">
        <f t="shared" si="26"/>
        <v>0.5</v>
      </c>
      <c r="AB138" s="517">
        <f t="shared" si="26"/>
        <v>0.5</v>
      </c>
      <c r="AC138" s="517">
        <f t="shared" si="26"/>
        <v>0.5</v>
      </c>
      <c r="AD138" s="517">
        <f t="shared" si="26"/>
        <v>0.5</v>
      </c>
      <c r="AF138" s="451"/>
      <c r="AG138" s="471" t="str">
        <f t="shared" si="27"/>
        <v>TCAR_ICE_DF_00</v>
      </c>
      <c r="AH138" s="471" t="str">
        <f t="shared" si="25"/>
        <v>TRACNG</v>
      </c>
      <c r="AI138" s="28" t="str">
        <f t="shared" si="25"/>
        <v>LO</v>
      </c>
      <c r="AJ138" s="738">
        <v>5</v>
      </c>
      <c r="AK138" s="724"/>
    </row>
    <row r="139" spans="1:37" s="459" customFormat="1">
      <c r="A139" s="471" t="str">
        <f>Commodities!K16</f>
        <v>TCAR_ICE_E85_00</v>
      </c>
      <c r="B139" s="459" t="str">
        <f>Commodities!B10</f>
        <v>TRAETH</v>
      </c>
      <c r="C139" s="28" t="s">
        <v>1097</v>
      </c>
      <c r="D139" s="472">
        <v>0.85</v>
      </c>
      <c r="E139" s="517">
        <f t="shared" si="28"/>
        <v>0.85</v>
      </c>
      <c r="F139" s="517">
        <f t="shared" si="26"/>
        <v>0.85</v>
      </c>
      <c r="G139" s="517">
        <f t="shared" si="26"/>
        <v>0.85</v>
      </c>
      <c r="H139" s="517">
        <f t="shared" si="26"/>
        <v>0.85</v>
      </c>
      <c r="I139" s="517">
        <f t="shared" si="26"/>
        <v>0.85</v>
      </c>
      <c r="J139" s="517">
        <f t="shared" si="26"/>
        <v>0.85</v>
      </c>
      <c r="K139" s="517">
        <f t="shared" si="26"/>
        <v>0.85</v>
      </c>
      <c r="L139" s="517">
        <f t="shared" si="26"/>
        <v>0.85</v>
      </c>
      <c r="M139" s="517">
        <f t="shared" si="26"/>
        <v>0.85</v>
      </c>
      <c r="N139" s="517">
        <f t="shared" si="26"/>
        <v>0.85</v>
      </c>
      <c r="O139" s="517">
        <f t="shared" si="26"/>
        <v>0.85</v>
      </c>
      <c r="P139" s="517">
        <f t="shared" si="26"/>
        <v>0.85</v>
      </c>
      <c r="Q139" s="517">
        <f t="shared" si="26"/>
        <v>0.85</v>
      </c>
      <c r="R139" s="517">
        <f t="shared" si="26"/>
        <v>0.85</v>
      </c>
      <c r="S139" s="517">
        <f t="shared" si="26"/>
        <v>0.85</v>
      </c>
      <c r="T139" s="517">
        <f t="shared" si="26"/>
        <v>0.85</v>
      </c>
      <c r="U139" s="517">
        <f t="shared" si="26"/>
        <v>0.85</v>
      </c>
      <c r="V139" s="517">
        <f t="shared" si="26"/>
        <v>0.85</v>
      </c>
      <c r="W139" s="517">
        <f t="shared" si="26"/>
        <v>0.85</v>
      </c>
      <c r="X139" s="517">
        <f t="shared" si="26"/>
        <v>0.85</v>
      </c>
      <c r="Y139" s="517">
        <f t="shared" si="26"/>
        <v>0.85</v>
      </c>
      <c r="Z139" s="517">
        <f t="shared" si="26"/>
        <v>0.85</v>
      </c>
      <c r="AA139" s="517">
        <f t="shared" si="26"/>
        <v>0.85</v>
      </c>
      <c r="AB139" s="517">
        <f t="shared" si="26"/>
        <v>0.85</v>
      </c>
      <c r="AC139" s="517">
        <f t="shared" si="26"/>
        <v>0.85</v>
      </c>
      <c r="AD139" s="517">
        <f t="shared" si="26"/>
        <v>0.85</v>
      </c>
      <c r="AF139" s="451"/>
      <c r="AG139" s="471" t="str">
        <f t="shared" si="27"/>
        <v>TCAR_ICE_E85_00</v>
      </c>
      <c r="AH139" s="724" t="str">
        <f t="shared" si="25"/>
        <v>TRAETH</v>
      </c>
      <c r="AI139" s="28" t="str">
        <f t="shared" si="25"/>
        <v>LO</v>
      </c>
      <c r="AJ139" s="738">
        <v>5</v>
      </c>
      <c r="AK139" s="724"/>
    </row>
    <row r="140" spans="1:37" s="459" customFormat="1">
      <c r="A140" s="471" t="str">
        <f>Commodities!K17</f>
        <v>TCAR_HEV_GSL_00</v>
      </c>
      <c r="B140" s="459" t="str">
        <f>Commodities!B10</f>
        <v>TRAETH</v>
      </c>
      <c r="C140" s="28" t="s">
        <v>1097</v>
      </c>
      <c r="D140" s="472">
        <f>B203</f>
        <v>4.5158565381788147E-2</v>
      </c>
      <c r="E140" s="517">
        <f t="shared" si="28"/>
        <v>4.5158565381788147E-2</v>
      </c>
      <c r="F140" s="517">
        <f t="shared" si="26"/>
        <v>4.5158565381788147E-2</v>
      </c>
      <c r="G140" s="517">
        <f t="shared" si="26"/>
        <v>4.5158565381788147E-2</v>
      </c>
      <c r="H140" s="517">
        <f t="shared" si="26"/>
        <v>4.5158565381788147E-2</v>
      </c>
      <c r="I140" s="517">
        <f t="shared" si="26"/>
        <v>4.5158565381788147E-2</v>
      </c>
      <c r="J140" s="517">
        <f t="shared" si="26"/>
        <v>4.5158565381788147E-2</v>
      </c>
      <c r="K140" s="517">
        <f t="shared" si="26"/>
        <v>4.5158565381788147E-2</v>
      </c>
      <c r="L140" s="517">
        <f t="shared" si="26"/>
        <v>4.5158565381788147E-2</v>
      </c>
      <c r="M140" s="517">
        <f t="shared" si="26"/>
        <v>4.5158565381788147E-2</v>
      </c>
      <c r="N140" s="517">
        <f t="shared" si="26"/>
        <v>4.5158565381788147E-2</v>
      </c>
      <c r="O140" s="517">
        <f t="shared" si="26"/>
        <v>4.5158565381788147E-2</v>
      </c>
      <c r="P140" s="517">
        <f t="shared" si="26"/>
        <v>4.5158565381788147E-2</v>
      </c>
      <c r="Q140" s="517">
        <f t="shared" si="26"/>
        <v>4.5158565381788147E-2</v>
      </c>
      <c r="R140" s="517">
        <f t="shared" si="26"/>
        <v>4.5158565381788147E-2</v>
      </c>
      <c r="S140" s="517">
        <f t="shared" si="26"/>
        <v>4.5158565381788147E-2</v>
      </c>
      <c r="T140" s="517">
        <f t="shared" si="26"/>
        <v>4.5158565381788147E-2</v>
      </c>
      <c r="U140" s="517">
        <f t="shared" si="26"/>
        <v>4.5158565381788147E-2</v>
      </c>
      <c r="V140" s="517">
        <f t="shared" si="26"/>
        <v>4.5158565381788147E-2</v>
      </c>
      <c r="W140" s="517">
        <f t="shared" si="26"/>
        <v>4.5158565381788147E-2</v>
      </c>
      <c r="X140" s="517">
        <f t="shared" si="26"/>
        <v>4.5158565381788147E-2</v>
      </c>
      <c r="Y140" s="517">
        <f t="shared" si="26"/>
        <v>4.5158565381788147E-2</v>
      </c>
      <c r="Z140" s="517">
        <f t="shared" si="26"/>
        <v>4.5158565381788147E-2</v>
      </c>
      <c r="AA140" s="517">
        <f t="shared" si="26"/>
        <v>4.5158565381788147E-2</v>
      </c>
      <c r="AB140" s="517">
        <f t="shared" si="26"/>
        <v>4.5158565381788147E-2</v>
      </c>
      <c r="AC140" s="517">
        <f t="shared" si="26"/>
        <v>4.5158565381788147E-2</v>
      </c>
      <c r="AD140" s="517">
        <f t="shared" si="26"/>
        <v>4.5158565381788147E-2</v>
      </c>
      <c r="AF140" s="451"/>
      <c r="AG140" s="471" t="str">
        <f t="shared" si="27"/>
        <v>TCAR_HEV_GSL_00</v>
      </c>
      <c r="AH140" s="724" t="str">
        <f t="shared" si="25"/>
        <v>TRAETH</v>
      </c>
      <c r="AI140" s="28" t="str">
        <f t="shared" si="25"/>
        <v>LO</v>
      </c>
      <c r="AJ140" s="738">
        <v>5</v>
      </c>
      <c r="AK140" s="724"/>
    </row>
    <row r="141" spans="1:37" s="459" customFormat="1">
      <c r="A141" s="471" t="str">
        <f>Commodities!K18</f>
        <v>TCAR_HEV_DST_00</v>
      </c>
      <c r="B141" s="459" t="str">
        <f>Commodities!B11</f>
        <v>TRABDL</v>
      </c>
      <c r="C141" s="28" t="s">
        <v>1097</v>
      </c>
      <c r="D141" s="472">
        <f>B205</f>
        <v>4.087787346707978E-2</v>
      </c>
      <c r="E141" s="517">
        <f t="shared" si="28"/>
        <v>4.087787346707978E-2</v>
      </c>
      <c r="F141" s="517">
        <f t="shared" si="26"/>
        <v>4.087787346707978E-2</v>
      </c>
      <c r="G141" s="517">
        <f t="shared" si="26"/>
        <v>4.087787346707978E-2</v>
      </c>
      <c r="H141" s="517">
        <f t="shared" si="26"/>
        <v>4.087787346707978E-2</v>
      </c>
      <c r="I141" s="517">
        <f t="shared" si="26"/>
        <v>4.087787346707978E-2</v>
      </c>
      <c r="J141" s="517">
        <f t="shared" si="26"/>
        <v>4.087787346707978E-2</v>
      </c>
      <c r="K141" s="517">
        <f t="shared" si="26"/>
        <v>4.087787346707978E-2</v>
      </c>
      <c r="L141" s="517">
        <f t="shared" si="26"/>
        <v>4.087787346707978E-2</v>
      </c>
      <c r="M141" s="517">
        <f t="shared" si="26"/>
        <v>4.087787346707978E-2</v>
      </c>
      <c r="N141" s="517">
        <f t="shared" si="26"/>
        <v>4.087787346707978E-2</v>
      </c>
      <c r="O141" s="517">
        <f t="shared" si="26"/>
        <v>4.087787346707978E-2</v>
      </c>
      <c r="P141" s="517">
        <f t="shared" si="26"/>
        <v>4.087787346707978E-2</v>
      </c>
      <c r="Q141" s="517">
        <f t="shared" si="26"/>
        <v>4.087787346707978E-2</v>
      </c>
      <c r="R141" s="517">
        <f t="shared" si="26"/>
        <v>4.087787346707978E-2</v>
      </c>
      <c r="S141" s="517">
        <f t="shared" si="26"/>
        <v>4.087787346707978E-2</v>
      </c>
      <c r="T141" s="517">
        <f t="shared" si="26"/>
        <v>4.087787346707978E-2</v>
      </c>
      <c r="U141" s="517">
        <f t="shared" si="26"/>
        <v>4.087787346707978E-2</v>
      </c>
      <c r="V141" s="517">
        <f t="shared" si="26"/>
        <v>4.087787346707978E-2</v>
      </c>
      <c r="W141" s="517">
        <f t="shared" si="26"/>
        <v>4.087787346707978E-2</v>
      </c>
      <c r="X141" s="517">
        <f t="shared" si="26"/>
        <v>4.087787346707978E-2</v>
      </c>
      <c r="Y141" s="517">
        <f t="shared" si="26"/>
        <v>4.087787346707978E-2</v>
      </c>
      <c r="Z141" s="517">
        <f t="shared" si="26"/>
        <v>4.087787346707978E-2</v>
      </c>
      <c r="AA141" s="517">
        <f t="shared" si="26"/>
        <v>4.087787346707978E-2</v>
      </c>
      <c r="AB141" s="517">
        <f t="shared" si="26"/>
        <v>4.087787346707978E-2</v>
      </c>
      <c r="AC141" s="517">
        <f t="shared" si="26"/>
        <v>4.087787346707978E-2</v>
      </c>
      <c r="AD141" s="517">
        <f t="shared" si="26"/>
        <v>4.087787346707978E-2</v>
      </c>
      <c r="AF141" s="451"/>
      <c r="AG141" s="471" t="str">
        <f t="shared" si="27"/>
        <v>TCAR_HEV_DST_00</v>
      </c>
      <c r="AH141" s="724" t="str">
        <f t="shared" si="25"/>
        <v>TRABDL</v>
      </c>
      <c r="AI141" s="28" t="str">
        <f t="shared" si="25"/>
        <v>LO</v>
      </c>
      <c r="AJ141" s="738">
        <v>5</v>
      </c>
      <c r="AK141" s="724"/>
    </row>
    <row r="142" spans="1:37" s="459" customFormat="1">
      <c r="A142" s="471" t="str">
        <f>Commodities!K19</f>
        <v>TCAR_PHEV_GSL_00</v>
      </c>
      <c r="B142" s="459" t="str">
        <f>Commodities!B14</f>
        <v>TRAELC</v>
      </c>
      <c r="C142" s="28" t="s">
        <v>1097</v>
      </c>
      <c r="D142" s="472">
        <v>0.4</v>
      </c>
      <c r="E142" s="517">
        <f t="shared" si="28"/>
        <v>0.4</v>
      </c>
      <c r="F142" s="517">
        <f t="shared" si="26"/>
        <v>0.4</v>
      </c>
      <c r="G142" s="517">
        <f t="shared" si="26"/>
        <v>0.4</v>
      </c>
      <c r="H142" s="517">
        <f t="shared" si="26"/>
        <v>0.4</v>
      </c>
      <c r="I142" s="517">
        <f t="shared" si="26"/>
        <v>0.4</v>
      </c>
      <c r="J142" s="517">
        <f t="shared" si="26"/>
        <v>0.4</v>
      </c>
      <c r="K142" s="517">
        <f t="shared" si="26"/>
        <v>0.4</v>
      </c>
      <c r="L142" s="517">
        <f t="shared" si="26"/>
        <v>0.4</v>
      </c>
      <c r="M142" s="517">
        <f t="shared" si="26"/>
        <v>0.4</v>
      </c>
      <c r="N142" s="517">
        <f t="shared" si="26"/>
        <v>0.4</v>
      </c>
      <c r="O142" s="517">
        <f t="shared" si="26"/>
        <v>0.4</v>
      </c>
      <c r="P142" s="517">
        <f t="shared" si="26"/>
        <v>0.4</v>
      </c>
      <c r="Q142" s="517">
        <f t="shared" si="26"/>
        <v>0.4</v>
      </c>
      <c r="R142" s="517">
        <f t="shared" si="26"/>
        <v>0.4</v>
      </c>
      <c r="S142" s="517">
        <f t="shared" si="26"/>
        <v>0.4</v>
      </c>
      <c r="T142" s="517">
        <f t="shared" si="26"/>
        <v>0.4</v>
      </c>
      <c r="U142" s="517">
        <f t="shared" si="26"/>
        <v>0.4</v>
      </c>
      <c r="V142" s="517">
        <f t="shared" si="26"/>
        <v>0.4</v>
      </c>
      <c r="W142" s="517">
        <f t="shared" si="26"/>
        <v>0.4</v>
      </c>
      <c r="X142" s="517">
        <f t="shared" si="26"/>
        <v>0.4</v>
      </c>
      <c r="Y142" s="517">
        <f t="shared" si="26"/>
        <v>0.4</v>
      </c>
      <c r="Z142" s="517">
        <f t="shared" si="26"/>
        <v>0.4</v>
      </c>
      <c r="AA142" s="517">
        <f t="shared" si="26"/>
        <v>0.4</v>
      </c>
      <c r="AB142" s="517">
        <f t="shared" si="26"/>
        <v>0.4</v>
      </c>
      <c r="AC142" s="517">
        <f t="shared" si="26"/>
        <v>0.4</v>
      </c>
      <c r="AD142" s="517">
        <f t="shared" si="26"/>
        <v>0.4</v>
      </c>
      <c r="AF142" s="451"/>
      <c r="AG142" s="471" t="str">
        <f t="shared" si="27"/>
        <v>TCAR_PHEV_GSL_00</v>
      </c>
      <c r="AH142" s="724" t="str">
        <f t="shared" si="25"/>
        <v>TRAELC</v>
      </c>
      <c r="AI142" s="28" t="str">
        <f t="shared" si="25"/>
        <v>LO</v>
      </c>
      <c r="AJ142" s="738">
        <v>5</v>
      </c>
      <c r="AK142" s="724"/>
    </row>
    <row r="143" spans="1:37" s="459" customFormat="1">
      <c r="A143" s="471" t="str">
        <f>Commodities!K20</f>
        <v>TCAR_PHEV_DST_00</v>
      </c>
      <c r="B143" s="459" t="str">
        <f>Commodities!B14</f>
        <v>TRAELC</v>
      </c>
      <c r="C143" s="28" t="s">
        <v>1097</v>
      </c>
      <c r="D143" s="472">
        <v>0.4</v>
      </c>
      <c r="E143" s="517">
        <f t="shared" si="28"/>
        <v>0.4</v>
      </c>
      <c r="F143" s="517">
        <f t="shared" si="26"/>
        <v>0.4</v>
      </c>
      <c r="G143" s="517">
        <f t="shared" si="26"/>
        <v>0.4</v>
      </c>
      <c r="H143" s="517">
        <f t="shared" si="26"/>
        <v>0.4</v>
      </c>
      <c r="I143" s="517">
        <f t="shared" si="26"/>
        <v>0.4</v>
      </c>
      <c r="J143" s="517">
        <f t="shared" si="26"/>
        <v>0.4</v>
      </c>
      <c r="K143" s="517">
        <f t="shared" si="26"/>
        <v>0.4</v>
      </c>
      <c r="L143" s="517">
        <f t="shared" si="26"/>
        <v>0.4</v>
      </c>
      <c r="M143" s="517">
        <f t="shared" si="26"/>
        <v>0.4</v>
      </c>
      <c r="N143" s="517">
        <f t="shared" si="26"/>
        <v>0.4</v>
      </c>
      <c r="O143" s="517">
        <f t="shared" si="26"/>
        <v>0.4</v>
      </c>
      <c r="P143" s="517">
        <f t="shared" si="26"/>
        <v>0.4</v>
      </c>
      <c r="Q143" s="517">
        <f t="shared" si="26"/>
        <v>0.4</v>
      </c>
      <c r="R143" s="517">
        <f t="shared" si="26"/>
        <v>0.4</v>
      </c>
      <c r="S143" s="517">
        <f t="shared" si="26"/>
        <v>0.4</v>
      </c>
      <c r="T143" s="517">
        <f t="shared" si="26"/>
        <v>0.4</v>
      </c>
      <c r="U143" s="517">
        <f t="shared" si="26"/>
        <v>0.4</v>
      </c>
      <c r="V143" s="517">
        <f t="shared" si="26"/>
        <v>0.4</v>
      </c>
      <c r="W143" s="517">
        <f t="shared" si="26"/>
        <v>0.4</v>
      </c>
      <c r="X143" s="517">
        <f t="shared" si="26"/>
        <v>0.4</v>
      </c>
      <c r="Y143" s="517">
        <f t="shared" si="26"/>
        <v>0.4</v>
      </c>
      <c r="Z143" s="517">
        <f t="shared" si="26"/>
        <v>0.4</v>
      </c>
      <c r="AA143" s="517">
        <f t="shared" si="26"/>
        <v>0.4</v>
      </c>
      <c r="AB143" s="517">
        <f t="shared" si="26"/>
        <v>0.4</v>
      </c>
      <c r="AC143" s="517">
        <f t="shared" si="26"/>
        <v>0.4</v>
      </c>
      <c r="AD143" s="517">
        <f t="shared" si="26"/>
        <v>0.4</v>
      </c>
      <c r="AF143" s="451"/>
      <c r="AG143" s="471" t="str">
        <f t="shared" si="27"/>
        <v>TCAR_PHEV_DST_00</v>
      </c>
      <c r="AH143" s="724" t="str">
        <f t="shared" si="25"/>
        <v>TRAELC</v>
      </c>
      <c r="AI143" s="28" t="str">
        <f t="shared" si="25"/>
        <v>LO</v>
      </c>
      <c r="AJ143" s="738">
        <v>5</v>
      </c>
      <c r="AK143" s="724"/>
    </row>
    <row r="144" spans="1:37" s="459" customFormat="1">
      <c r="A144" s="471" t="str">
        <f>Commodities!K23</f>
        <v>TTAXI_ICE_GSL_00</v>
      </c>
      <c r="B144" s="459" t="str">
        <f>Commodities!B10</f>
        <v>TRAETH</v>
      </c>
      <c r="C144" s="28" t="s">
        <v>1097</v>
      </c>
      <c r="D144" s="472">
        <f>B203</f>
        <v>4.5158565381788147E-2</v>
      </c>
      <c r="E144" s="517">
        <f t="shared" si="28"/>
        <v>4.5158565381788147E-2</v>
      </c>
      <c r="F144" s="517">
        <f t="shared" si="26"/>
        <v>4.5158565381788147E-2</v>
      </c>
      <c r="G144" s="517">
        <f t="shared" si="26"/>
        <v>4.5158565381788147E-2</v>
      </c>
      <c r="H144" s="517">
        <f t="shared" si="26"/>
        <v>4.5158565381788147E-2</v>
      </c>
      <c r="I144" s="517">
        <f t="shared" si="26"/>
        <v>4.5158565381788147E-2</v>
      </c>
      <c r="J144" s="517">
        <f t="shared" si="26"/>
        <v>4.5158565381788147E-2</v>
      </c>
      <c r="K144" s="517">
        <f t="shared" si="26"/>
        <v>4.5158565381788147E-2</v>
      </c>
      <c r="L144" s="517">
        <f t="shared" si="26"/>
        <v>4.5158565381788147E-2</v>
      </c>
      <c r="M144" s="517">
        <f t="shared" si="26"/>
        <v>4.5158565381788147E-2</v>
      </c>
      <c r="N144" s="517">
        <f t="shared" si="26"/>
        <v>4.5158565381788147E-2</v>
      </c>
      <c r="O144" s="517">
        <f t="shared" si="26"/>
        <v>4.5158565381788147E-2</v>
      </c>
      <c r="P144" s="517">
        <f t="shared" si="26"/>
        <v>4.5158565381788147E-2</v>
      </c>
      <c r="Q144" s="517">
        <f t="shared" si="26"/>
        <v>4.5158565381788147E-2</v>
      </c>
      <c r="R144" s="517">
        <f t="shared" si="26"/>
        <v>4.5158565381788147E-2</v>
      </c>
      <c r="S144" s="517">
        <f t="shared" si="26"/>
        <v>4.5158565381788147E-2</v>
      </c>
      <c r="T144" s="517">
        <f t="shared" si="26"/>
        <v>4.5158565381788147E-2</v>
      </c>
      <c r="U144" s="517">
        <f t="shared" si="26"/>
        <v>4.5158565381788147E-2</v>
      </c>
      <c r="V144" s="517">
        <f t="shared" si="26"/>
        <v>4.5158565381788147E-2</v>
      </c>
      <c r="W144" s="517">
        <f t="shared" si="26"/>
        <v>4.5158565381788147E-2</v>
      </c>
      <c r="X144" s="517">
        <f t="shared" si="26"/>
        <v>4.5158565381788147E-2</v>
      </c>
      <c r="Y144" s="517">
        <f t="shared" si="26"/>
        <v>4.5158565381788147E-2</v>
      </c>
      <c r="Z144" s="517">
        <f t="shared" si="26"/>
        <v>4.5158565381788147E-2</v>
      </c>
      <c r="AA144" s="517">
        <f t="shared" si="26"/>
        <v>4.5158565381788147E-2</v>
      </c>
      <c r="AB144" s="517">
        <f t="shared" si="26"/>
        <v>4.5158565381788147E-2</v>
      </c>
      <c r="AC144" s="517">
        <f t="shared" si="26"/>
        <v>4.5158565381788147E-2</v>
      </c>
      <c r="AD144" s="517">
        <f t="shared" si="26"/>
        <v>4.5158565381788147E-2</v>
      </c>
      <c r="AF144" s="451"/>
      <c r="AG144" s="471" t="str">
        <f t="shared" si="27"/>
        <v>TTAXI_ICE_GSL_00</v>
      </c>
      <c r="AH144" s="724" t="str">
        <f t="shared" si="25"/>
        <v>TRAETH</v>
      </c>
      <c r="AI144" s="28" t="str">
        <f t="shared" si="25"/>
        <v>LO</v>
      </c>
      <c r="AJ144" s="738">
        <v>5</v>
      </c>
      <c r="AK144" s="724"/>
    </row>
    <row r="145" spans="1:37" s="459" customFormat="1">
      <c r="A145" s="471" t="str">
        <f>Commodities!K24</f>
        <v>TTAXI_ICE_DST_00</v>
      </c>
      <c r="B145" s="459" t="str">
        <f>Commodities!B11</f>
        <v>TRABDL</v>
      </c>
      <c r="C145" s="28" t="s">
        <v>1097</v>
      </c>
      <c r="D145" s="472">
        <f>B205</f>
        <v>4.087787346707978E-2</v>
      </c>
      <c r="E145" s="517">
        <f t="shared" si="28"/>
        <v>4.087787346707978E-2</v>
      </c>
      <c r="F145" s="517">
        <f t="shared" si="26"/>
        <v>4.087787346707978E-2</v>
      </c>
      <c r="G145" s="517">
        <f t="shared" si="26"/>
        <v>4.087787346707978E-2</v>
      </c>
      <c r="H145" s="517">
        <f t="shared" si="26"/>
        <v>4.087787346707978E-2</v>
      </c>
      <c r="I145" s="517">
        <f t="shared" si="26"/>
        <v>4.087787346707978E-2</v>
      </c>
      <c r="J145" s="517">
        <f t="shared" si="26"/>
        <v>4.087787346707978E-2</v>
      </c>
      <c r="K145" s="517">
        <f t="shared" si="26"/>
        <v>4.087787346707978E-2</v>
      </c>
      <c r="L145" s="517">
        <f t="shared" si="26"/>
        <v>4.087787346707978E-2</v>
      </c>
      <c r="M145" s="517">
        <f t="shared" si="26"/>
        <v>4.087787346707978E-2</v>
      </c>
      <c r="N145" s="517">
        <f t="shared" si="26"/>
        <v>4.087787346707978E-2</v>
      </c>
      <c r="O145" s="517">
        <f t="shared" si="26"/>
        <v>4.087787346707978E-2</v>
      </c>
      <c r="P145" s="517">
        <f t="shared" si="26"/>
        <v>4.087787346707978E-2</v>
      </c>
      <c r="Q145" s="517">
        <f t="shared" si="26"/>
        <v>4.087787346707978E-2</v>
      </c>
      <c r="R145" s="517">
        <f t="shared" si="26"/>
        <v>4.087787346707978E-2</v>
      </c>
      <c r="S145" s="517">
        <f t="shared" si="26"/>
        <v>4.087787346707978E-2</v>
      </c>
      <c r="T145" s="517">
        <f t="shared" si="26"/>
        <v>4.087787346707978E-2</v>
      </c>
      <c r="U145" s="517">
        <f t="shared" si="26"/>
        <v>4.087787346707978E-2</v>
      </c>
      <c r="V145" s="517">
        <f t="shared" si="26"/>
        <v>4.087787346707978E-2</v>
      </c>
      <c r="W145" s="517">
        <f t="shared" si="26"/>
        <v>4.087787346707978E-2</v>
      </c>
      <c r="X145" s="517">
        <f t="shared" si="26"/>
        <v>4.087787346707978E-2</v>
      </c>
      <c r="Y145" s="517">
        <f t="shared" si="26"/>
        <v>4.087787346707978E-2</v>
      </c>
      <c r="Z145" s="517">
        <f t="shared" si="26"/>
        <v>4.087787346707978E-2</v>
      </c>
      <c r="AA145" s="517">
        <f t="shared" si="26"/>
        <v>4.087787346707978E-2</v>
      </c>
      <c r="AB145" s="517">
        <f t="shared" si="26"/>
        <v>4.087787346707978E-2</v>
      </c>
      <c r="AC145" s="517">
        <f t="shared" si="26"/>
        <v>4.087787346707978E-2</v>
      </c>
      <c r="AD145" s="517">
        <f t="shared" si="26"/>
        <v>4.087787346707978E-2</v>
      </c>
      <c r="AF145" s="451"/>
      <c r="AG145" s="471" t="str">
        <f t="shared" si="27"/>
        <v>TTAXI_ICE_DST_00</v>
      </c>
      <c r="AH145" s="724" t="str">
        <f t="shared" si="25"/>
        <v>TRABDL</v>
      </c>
      <c r="AI145" s="28" t="str">
        <f t="shared" si="25"/>
        <v>LO</v>
      </c>
      <c r="AJ145" s="738">
        <v>5</v>
      </c>
      <c r="AK145" s="724"/>
    </row>
    <row r="146" spans="1:37" s="459" customFormat="1">
      <c r="A146" s="471" t="str">
        <f>Commodities!K25</f>
        <v>TTAXI_HEV_GSL_00</v>
      </c>
      <c r="B146" s="459" t="str">
        <f>Commodities!B10</f>
        <v>TRAETH</v>
      </c>
      <c r="C146" s="28" t="s">
        <v>1097</v>
      </c>
      <c r="D146" s="472">
        <f>B203</f>
        <v>4.5158565381788147E-2</v>
      </c>
      <c r="E146" s="517">
        <f>D146</f>
        <v>4.5158565381788147E-2</v>
      </c>
      <c r="F146" s="517">
        <f t="shared" ref="F146:AD154" si="29">E146</f>
        <v>4.5158565381788147E-2</v>
      </c>
      <c r="G146" s="517">
        <f t="shared" si="29"/>
        <v>4.5158565381788147E-2</v>
      </c>
      <c r="H146" s="517">
        <f t="shared" si="29"/>
        <v>4.5158565381788147E-2</v>
      </c>
      <c r="I146" s="517">
        <f t="shared" si="29"/>
        <v>4.5158565381788147E-2</v>
      </c>
      <c r="J146" s="517">
        <f t="shared" si="29"/>
        <v>4.5158565381788147E-2</v>
      </c>
      <c r="K146" s="517">
        <f t="shared" si="29"/>
        <v>4.5158565381788147E-2</v>
      </c>
      <c r="L146" s="517">
        <f t="shared" si="29"/>
        <v>4.5158565381788147E-2</v>
      </c>
      <c r="M146" s="517">
        <f t="shared" si="29"/>
        <v>4.5158565381788147E-2</v>
      </c>
      <c r="N146" s="517">
        <f t="shared" si="29"/>
        <v>4.5158565381788147E-2</v>
      </c>
      <c r="O146" s="517">
        <f t="shared" si="29"/>
        <v>4.5158565381788147E-2</v>
      </c>
      <c r="P146" s="517">
        <f t="shared" si="29"/>
        <v>4.5158565381788147E-2</v>
      </c>
      <c r="Q146" s="517">
        <f t="shared" si="29"/>
        <v>4.5158565381788147E-2</v>
      </c>
      <c r="R146" s="517">
        <f t="shared" si="29"/>
        <v>4.5158565381788147E-2</v>
      </c>
      <c r="S146" s="517">
        <f t="shared" si="29"/>
        <v>4.5158565381788147E-2</v>
      </c>
      <c r="T146" s="517">
        <f t="shared" si="29"/>
        <v>4.5158565381788147E-2</v>
      </c>
      <c r="U146" s="517">
        <f t="shared" si="29"/>
        <v>4.5158565381788147E-2</v>
      </c>
      <c r="V146" s="517">
        <f t="shared" si="29"/>
        <v>4.5158565381788147E-2</v>
      </c>
      <c r="W146" s="517">
        <f t="shared" si="29"/>
        <v>4.5158565381788147E-2</v>
      </c>
      <c r="X146" s="517">
        <f t="shared" si="29"/>
        <v>4.5158565381788147E-2</v>
      </c>
      <c r="Y146" s="517">
        <f t="shared" si="29"/>
        <v>4.5158565381788147E-2</v>
      </c>
      <c r="Z146" s="517">
        <f t="shared" si="29"/>
        <v>4.5158565381788147E-2</v>
      </c>
      <c r="AA146" s="517">
        <f t="shared" si="29"/>
        <v>4.5158565381788147E-2</v>
      </c>
      <c r="AB146" s="517">
        <f t="shared" si="29"/>
        <v>4.5158565381788147E-2</v>
      </c>
      <c r="AC146" s="517">
        <f t="shared" si="29"/>
        <v>4.5158565381788147E-2</v>
      </c>
      <c r="AD146" s="517">
        <f t="shared" si="29"/>
        <v>4.5158565381788147E-2</v>
      </c>
      <c r="AF146" s="451"/>
      <c r="AG146" s="471" t="str">
        <f t="shared" si="27"/>
        <v>TTAXI_HEV_GSL_00</v>
      </c>
      <c r="AH146" s="724" t="str">
        <f t="shared" si="25"/>
        <v>TRAETH</v>
      </c>
      <c r="AI146" s="28" t="str">
        <f t="shared" si="25"/>
        <v>LO</v>
      </c>
      <c r="AJ146" s="738">
        <v>5</v>
      </c>
      <c r="AK146" s="724"/>
    </row>
    <row r="147" spans="1:37" s="459" customFormat="1">
      <c r="A147" s="471" t="str">
        <f>Commodities!K27</f>
        <v>TBUS_ICE_DST_00</v>
      </c>
      <c r="B147" s="459" t="str">
        <f>Commodities!B11</f>
        <v>TRABDL</v>
      </c>
      <c r="C147" s="28" t="s">
        <v>1097</v>
      </c>
      <c r="D147" s="472">
        <f>B205</f>
        <v>4.087787346707978E-2</v>
      </c>
      <c r="E147" s="517">
        <f t="shared" ref="E147:T149" si="30">D147</f>
        <v>4.087787346707978E-2</v>
      </c>
      <c r="F147" s="517">
        <f t="shared" si="30"/>
        <v>4.087787346707978E-2</v>
      </c>
      <c r="G147" s="517">
        <f t="shared" si="30"/>
        <v>4.087787346707978E-2</v>
      </c>
      <c r="H147" s="517">
        <f t="shared" si="30"/>
        <v>4.087787346707978E-2</v>
      </c>
      <c r="I147" s="517">
        <f t="shared" si="30"/>
        <v>4.087787346707978E-2</v>
      </c>
      <c r="J147" s="517">
        <f t="shared" si="30"/>
        <v>4.087787346707978E-2</v>
      </c>
      <c r="K147" s="517">
        <f t="shared" si="30"/>
        <v>4.087787346707978E-2</v>
      </c>
      <c r="L147" s="517">
        <f t="shared" si="30"/>
        <v>4.087787346707978E-2</v>
      </c>
      <c r="M147" s="517">
        <f t="shared" si="30"/>
        <v>4.087787346707978E-2</v>
      </c>
      <c r="N147" s="517">
        <f t="shared" si="30"/>
        <v>4.087787346707978E-2</v>
      </c>
      <c r="O147" s="517">
        <f t="shared" si="30"/>
        <v>4.087787346707978E-2</v>
      </c>
      <c r="P147" s="517">
        <f t="shared" si="30"/>
        <v>4.087787346707978E-2</v>
      </c>
      <c r="Q147" s="517">
        <f t="shared" si="30"/>
        <v>4.087787346707978E-2</v>
      </c>
      <c r="R147" s="517">
        <f t="shared" si="30"/>
        <v>4.087787346707978E-2</v>
      </c>
      <c r="S147" s="517">
        <f t="shared" si="30"/>
        <v>4.087787346707978E-2</v>
      </c>
      <c r="T147" s="517">
        <f t="shared" si="30"/>
        <v>4.087787346707978E-2</v>
      </c>
      <c r="U147" s="517">
        <f t="shared" si="29"/>
        <v>4.087787346707978E-2</v>
      </c>
      <c r="V147" s="517">
        <f t="shared" si="29"/>
        <v>4.087787346707978E-2</v>
      </c>
      <c r="W147" s="517">
        <f t="shared" si="29"/>
        <v>4.087787346707978E-2</v>
      </c>
      <c r="X147" s="517">
        <f t="shared" si="29"/>
        <v>4.087787346707978E-2</v>
      </c>
      <c r="Y147" s="517">
        <f t="shared" si="29"/>
        <v>4.087787346707978E-2</v>
      </c>
      <c r="Z147" s="517">
        <f t="shared" si="29"/>
        <v>4.087787346707978E-2</v>
      </c>
      <c r="AA147" s="517">
        <f t="shared" si="29"/>
        <v>4.087787346707978E-2</v>
      </c>
      <c r="AB147" s="517">
        <f t="shared" si="29"/>
        <v>4.087787346707978E-2</v>
      </c>
      <c r="AC147" s="517">
        <f t="shared" si="29"/>
        <v>4.087787346707978E-2</v>
      </c>
      <c r="AD147" s="517">
        <f t="shared" si="29"/>
        <v>4.087787346707978E-2</v>
      </c>
      <c r="AF147" s="451"/>
      <c r="AG147" s="471" t="str">
        <f t="shared" si="27"/>
        <v>TBUS_ICE_DST_00</v>
      </c>
      <c r="AH147" s="724" t="str">
        <f t="shared" si="25"/>
        <v>TRABDL</v>
      </c>
      <c r="AI147" s="28" t="str">
        <f t="shared" si="25"/>
        <v>LO</v>
      </c>
      <c r="AJ147" s="738">
        <v>5</v>
      </c>
      <c r="AK147" s="724"/>
    </row>
    <row r="148" spans="1:37" s="459" customFormat="1">
      <c r="A148" s="471" t="str">
        <f>Commodities!K34</f>
        <v>TFGV_GSL_00</v>
      </c>
      <c r="B148" s="459" t="str">
        <f>Commodities!B10</f>
        <v>TRAETH</v>
      </c>
      <c r="C148" s="28" t="s">
        <v>1097</v>
      </c>
      <c r="D148" s="472">
        <f>B203</f>
        <v>4.5158565381788147E-2</v>
      </c>
      <c r="E148" s="517">
        <f t="shared" si="30"/>
        <v>4.5158565381788147E-2</v>
      </c>
      <c r="F148" s="517">
        <f t="shared" si="29"/>
        <v>4.5158565381788147E-2</v>
      </c>
      <c r="G148" s="517">
        <f t="shared" si="29"/>
        <v>4.5158565381788147E-2</v>
      </c>
      <c r="H148" s="517">
        <f t="shared" si="29"/>
        <v>4.5158565381788147E-2</v>
      </c>
      <c r="I148" s="517">
        <f t="shared" si="29"/>
        <v>4.5158565381788147E-2</v>
      </c>
      <c r="J148" s="517">
        <f t="shared" si="29"/>
        <v>4.5158565381788147E-2</v>
      </c>
      <c r="K148" s="517">
        <f t="shared" si="29"/>
        <v>4.5158565381788147E-2</v>
      </c>
      <c r="L148" s="517">
        <f t="shared" si="29"/>
        <v>4.5158565381788147E-2</v>
      </c>
      <c r="M148" s="517">
        <f t="shared" si="29"/>
        <v>4.5158565381788147E-2</v>
      </c>
      <c r="N148" s="517">
        <f t="shared" si="29"/>
        <v>4.5158565381788147E-2</v>
      </c>
      <c r="O148" s="517">
        <f t="shared" si="29"/>
        <v>4.5158565381788147E-2</v>
      </c>
      <c r="P148" s="517">
        <f t="shared" si="29"/>
        <v>4.5158565381788147E-2</v>
      </c>
      <c r="Q148" s="517">
        <f t="shared" si="29"/>
        <v>4.5158565381788147E-2</v>
      </c>
      <c r="R148" s="517">
        <f t="shared" si="29"/>
        <v>4.5158565381788147E-2</v>
      </c>
      <c r="S148" s="517">
        <f t="shared" si="29"/>
        <v>4.5158565381788147E-2</v>
      </c>
      <c r="T148" s="517">
        <f t="shared" si="29"/>
        <v>4.5158565381788147E-2</v>
      </c>
      <c r="U148" s="517">
        <f t="shared" si="29"/>
        <v>4.5158565381788147E-2</v>
      </c>
      <c r="V148" s="517">
        <f t="shared" si="29"/>
        <v>4.5158565381788147E-2</v>
      </c>
      <c r="W148" s="517">
        <f t="shared" si="29"/>
        <v>4.5158565381788147E-2</v>
      </c>
      <c r="X148" s="517">
        <f t="shared" si="29"/>
        <v>4.5158565381788147E-2</v>
      </c>
      <c r="Y148" s="517">
        <f t="shared" si="29"/>
        <v>4.5158565381788147E-2</v>
      </c>
      <c r="Z148" s="517">
        <f t="shared" si="29"/>
        <v>4.5158565381788147E-2</v>
      </c>
      <c r="AA148" s="517">
        <f t="shared" si="29"/>
        <v>4.5158565381788147E-2</v>
      </c>
      <c r="AB148" s="517">
        <f t="shared" si="29"/>
        <v>4.5158565381788147E-2</v>
      </c>
      <c r="AC148" s="517">
        <f t="shared" si="29"/>
        <v>4.5158565381788147E-2</v>
      </c>
      <c r="AD148" s="517">
        <f t="shared" si="29"/>
        <v>4.5158565381788147E-2</v>
      </c>
      <c r="AF148" s="451"/>
      <c r="AG148" s="471" t="str">
        <f t="shared" si="27"/>
        <v>TFGV_GSL_00</v>
      </c>
      <c r="AH148" s="724" t="str">
        <f t="shared" si="25"/>
        <v>TRAETH</v>
      </c>
      <c r="AI148" s="28" t="str">
        <f t="shared" si="25"/>
        <v>LO</v>
      </c>
      <c r="AJ148" s="738">
        <v>5</v>
      </c>
      <c r="AK148" s="724"/>
    </row>
    <row r="149" spans="1:37" s="459" customFormat="1">
      <c r="A149" s="471" t="str">
        <f>Commodities!K35</f>
        <v>TFGV_DST_00</v>
      </c>
      <c r="B149" s="459" t="str">
        <f>Commodities!B11</f>
        <v>TRABDL</v>
      </c>
      <c r="C149" s="28" t="s">
        <v>1097</v>
      </c>
      <c r="D149" s="472">
        <f>B205</f>
        <v>4.087787346707978E-2</v>
      </c>
      <c r="E149" s="517">
        <f t="shared" si="30"/>
        <v>4.087787346707978E-2</v>
      </c>
      <c r="F149" s="517">
        <f t="shared" si="29"/>
        <v>4.087787346707978E-2</v>
      </c>
      <c r="G149" s="517">
        <f t="shared" si="29"/>
        <v>4.087787346707978E-2</v>
      </c>
      <c r="H149" s="517">
        <f t="shared" si="29"/>
        <v>4.087787346707978E-2</v>
      </c>
      <c r="I149" s="517">
        <f t="shared" si="29"/>
        <v>4.087787346707978E-2</v>
      </c>
      <c r="J149" s="517">
        <f t="shared" si="29"/>
        <v>4.087787346707978E-2</v>
      </c>
      <c r="K149" s="517">
        <f t="shared" si="29"/>
        <v>4.087787346707978E-2</v>
      </c>
      <c r="L149" s="517">
        <f t="shared" si="29"/>
        <v>4.087787346707978E-2</v>
      </c>
      <c r="M149" s="517">
        <f t="shared" si="29"/>
        <v>4.087787346707978E-2</v>
      </c>
      <c r="N149" s="517">
        <f t="shared" si="29"/>
        <v>4.087787346707978E-2</v>
      </c>
      <c r="O149" s="517">
        <f t="shared" si="29"/>
        <v>4.087787346707978E-2</v>
      </c>
      <c r="P149" s="517">
        <f t="shared" si="29"/>
        <v>4.087787346707978E-2</v>
      </c>
      <c r="Q149" s="517">
        <f t="shared" si="29"/>
        <v>4.087787346707978E-2</v>
      </c>
      <c r="R149" s="517">
        <f t="shared" si="29"/>
        <v>4.087787346707978E-2</v>
      </c>
      <c r="S149" s="517">
        <f t="shared" si="29"/>
        <v>4.087787346707978E-2</v>
      </c>
      <c r="T149" s="517">
        <f t="shared" si="29"/>
        <v>4.087787346707978E-2</v>
      </c>
      <c r="U149" s="517">
        <f t="shared" si="29"/>
        <v>4.087787346707978E-2</v>
      </c>
      <c r="V149" s="517">
        <f t="shared" si="29"/>
        <v>4.087787346707978E-2</v>
      </c>
      <c r="W149" s="517">
        <f t="shared" si="29"/>
        <v>4.087787346707978E-2</v>
      </c>
      <c r="X149" s="517">
        <f t="shared" si="29"/>
        <v>4.087787346707978E-2</v>
      </c>
      <c r="Y149" s="517">
        <f t="shared" si="29"/>
        <v>4.087787346707978E-2</v>
      </c>
      <c r="Z149" s="517">
        <f t="shared" si="29"/>
        <v>4.087787346707978E-2</v>
      </c>
      <c r="AA149" s="517">
        <f t="shared" si="29"/>
        <v>4.087787346707978E-2</v>
      </c>
      <c r="AB149" s="517">
        <f t="shared" si="29"/>
        <v>4.087787346707978E-2</v>
      </c>
      <c r="AC149" s="517">
        <f t="shared" si="29"/>
        <v>4.087787346707978E-2</v>
      </c>
      <c r="AD149" s="517">
        <f t="shared" si="29"/>
        <v>4.087787346707978E-2</v>
      </c>
      <c r="AF149" s="451"/>
      <c r="AG149" s="471" t="str">
        <f t="shared" si="27"/>
        <v>TFGV_DST_00</v>
      </c>
      <c r="AH149" s="724" t="str">
        <f t="shared" si="25"/>
        <v>TRABDL</v>
      </c>
      <c r="AI149" s="28" t="str">
        <f t="shared" si="25"/>
        <v>LO</v>
      </c>
      <c r="AJ149" s="738">
        <v>5</v>
      </c>
      <c r="AK149" s="724"/>
    </row>
    <row r="150" spans="1:37" s="459" customFormat="1">
      <c r="A150" s="471" t="str">
        <f>Commodities!K38</f>
        <v>TTUR_00</v>
      </c>
      <c r="B150" s="459" t="str">
        <f>Commodities!B11</f>
        <v>TRABDL</v>
      </c>
      <c r="C150" s="28" t="s">
        <v>1097</v>
      </c>
      <c r="D150" s="472">
        <f>'EB2018'!AA53/'EB2018'!AM53</f>
        <v>4.0963653173918181E-2</v>
      </c>
      <c r="E150" s="517">
        <f>D150</f>
        <v>4.0963653173918181E-2</v>
      </c>
      <c r="F150" s="517">
        <f t="shared" si="29"/>
        <v>4.0963653173918181E-2</v>
      </c>
      <c r="G150" s="517">
        <f t="shared" si="29"/>
        <v>4.0963653173918181E-2</v>
      </c>
      <c r="H150" s="517">
        <f t="shared" si="29"/>
        <v>4.0963653173918181E-2</v>
      </c>
      <c r="I150" s="517">
        <f t="shared" si="29"/>
        <v>4.0963653173918181E-2</v>
      </c>
      <c r="J150" s="517">
        <f t="shared" si="29"/>
        <v>4.0963653173918181E-2</v>
      </c>
      <c r="K150" s="517">
        <f t="shared" si="29"/>
        <v>4.0963653173918181E-2</v>
      </c>
      <c r="L150" s="517">
        <f t="shared" si="29"/>
        <v>4.0963653173918181E-2</v>
      </c>
      <c r="M150" s="517">
        <f t="shared" si="29"/>
        <v>4.0963653173918181E-2</v>
      </c>
      <c r="N150" s="517">
        <f t="shared" si="29"/>
        <v>4.0963653173918181E-2</v>
      </c>
      <c r="O150" s="517">
        <f t="shared" si="29"/>
        <v>4.0963653173918181E-2</v>
      </c>
      <c r="P150" s="517">
        <f t="shared" si="29"/>
        <v>4.0963653173918181E-2</v>
      </c>
      <c r="Q150" s="517">
        <f t="shared" si="29"/>
        <v>4.0963653173918181E-2</v>
      </c>
      <c r="R150" s="517">
        <f t="shared" si="29"/>
        <v>4.0963653173918181E-2</v>
      </c>
      <c r="S150" s="517">
        <f t="shared" si="29"/>
        <v>4.0963653173918181E-2</v>
      </c>
      <c r="T150" s="517">
        <f t="shared" si="29"/>
        <v>4.0963653173918181E-2</v>
      </c>
      <c r="U150" s="517">
        <f t="shared" si="29"/>
        <v>4.0963653173918181E-2</v>
      </c>
      <c r="V150" s="517">
        <f t="shared" si="29"/>
        <v>4.0963653173918181E-2</v>
      </c>
      <c r="W150" s="517">
        <f t="shared" si="29"/>
        <v>4.0963653173918181E-2</v>
      </c>
      <c r="X150" s="517">
        <f t="shared" si="29"/>
        <v>4.0963653173918181E-2</v>
      </c>
      <c r="Y150" s="517">
        <f t="shared" si="29"/>
        <v>4.0963653173918181E-2</v>
      </c>
      <c r="Z150" s="517">
        <f t="shared" si="29"/>
        <v>4.0963653173918181E-2</v>
      </c>
      <c r="AA150" s="517">
        <f t="shared" si="29"/>
        <v>4.0963653173918181E-2</v>
      </c>
      <c r="AB150" s="517">
        <f t="shared" si="29"/>
        <v>4.0963653173918181E-2</v>
      </c>
      <c r="AC150" s="517">
        <f t="shared" si="29"/>
        <v>4.0963653173918181E-2</v>
      </c>
      <c r="AD150" s="517">
        <f t="shared" si="29"/>
        <v>4.0963653173918181E-2</v>
      </c>
      <c r="AF150" s="451"/>
      <c r="AG150" s="471" t="str">
        <f t="shared" si="27"/>
        <v>TTUR_00</v>
      </c>
      <c r="AH150" s="724" t="str">
        <f t="shared" si="25"/>
        <v>TRABDL</v>
      </c>
      <c r="AI150" s="28" t="str">
        <f t="shared" si="25"/>
        <v>LO</v>
      </c>
      <c r="AJ150" s="738">
        <v>5</v>
      </c>
      <c r="AK150" s="724"/>
    </row>
    <row r="151" spans="1:37" s="459" customFormat="1">
      <c r="A151" s="471" t="str">
        <f>Commodities!K40</f>
        <v>TOTH_00</v>
      </c>
      <c r="B151" s="459" t="str">
        <f>Commodities!B8</f>
        <v>TRAGSL</v>
      </c>
      <c r="C151" s="28" t="s">
        <v>1097</v>
      </c>
      <c r="D151" s="472">
        <f>'EB2018'!O55/'EB2018'!AM55</f>
        <v>0.27983078539614087</v>
      </c>
      <c r="E151" s="517">
        <f>D151</f>
        <v>0.27983078539614087</v>
      </c>
      <c r="F151" s="517">
        <f t="shared" si="29"/>
        <v>0.27983078539614087</v>
      </c>
      <c r="G151" s="517">
        <f t="shared" si="29"/>
        <v>0.27983078539614087</v>
      </c>
      <c r="H151" s="517">
        <f t="shared" si="29"/>
        <v>0.27983078539614087</v>
      </c>
      <c r="I151" s="517">
        <f t="shared" si="29"/>
        <v>0.27983078539614087</v>
      </c>
      <c r="J151" s="517">
        <f t="shared" si="29"/>
        <v>0.27983078539614087</v>
      </c>
      <c r="K151" s="517">
        <f t="shared" si="29"/>
        <v>0.27983078539614087</v>
      </c>
      <c r="L151" s="517">
        <f t="shared" si="29"/>
        <v>0.27983078539614087</v>
      </c>
      <c r="M151" s="517">
        <f t="shared" si="29"/>
        <v>0.27983078539614087</v>
      </c>
      <c r="N151" s="517">
        <f t="shared" si="29"/>
        <v>0.27983078539614087</v>
      </c>
      <c r="O151" s="517">
        <f t="shared" si="29"/>
        <v>0.27983078539614087</v>
      </c>
      <c r="P151" s="517">
        <f t="shared" si="29"/>
        <v>0.27983078539614087</v>
      </c>
      <c r="Q151" s="517">
        <f t="shared" si="29"/>
        <v>0.27983078539614087</v>
      </c>
      <c r="R151" s="517">
        <f t="shared" si="29"/>
        <v>0.27983078539614087</v>
      </c>
      <c r="S151" s="517">
        <f t="shared" si="29"/>
        <v>0.27983078539614087</v>
      </c>
      <c r="T151" s="517">
        <f t="shared" si="29"/>
        <v>0.27983078539614087</v>
      </c>
      <c r="U151" s="517">
        <f t="shared" si="29"/>
        <v>0.27983078539614087</v>
      </c>
      <c r="V151" s="517">
        <f t="shared" si="29"/>
        <v>0.27983078539614087</v>
      </c>
      <c r="W151" s="517">
        <f t="shared" si="29"/>
        <v>0.27983078539614087</v>
      </c>
      <c r="X151" s="517">
        <f t="shared" si="29"/>
        <v>0.27983078539614087</v>
      </c>
      <c r="Y151" s="517">
        <f t="shared" si="29"/>
        <v>0.27983078539614087</v>
      </c>
      <c r="Z151" s="517">
        <f t="shared" si="29"/>
        <v>0.27983078539614087</v>
      </c>
      <c r="AA151" s="517">
        <f t="shared" si="29"/>
        <v>0.27983078539614087</v>
      </c>
      <c r="AB151" s="517">
        <f t="shared" si="29"/>
        <v>0.27983078539614087</v>
      </c>
      <c r="AC151" s="517">
        <f t="shared" si="29"/>
        <v>0.27983078539614087</v>
      </c>
      <c r="AD151" s="517">
        <f t="shared" si="29"/>
        <v>0.27983078539614087</v>
      </c>
      <c r="AF151" s="451"/>
      <c r="AG151" s="471" t="str">
        <f t="shared" si="27"/>
        <v>TOTH_00</v>
      </c>
      <c r="AH151" s="724" t="str">
        <f t="shared" ref="AH151:AH154" si="31">B151</f>
        <v>TRAGSL</v>
      </c>
      <c r="AI151" s="28" t="str">
        <f t="shared" ref="AI151:AI154" si="32">C151</f>
        <v>LO</v>
      </c>
      <c r="AJ151" s="738">
        <v>5</v>
      </c>
      <c r="AK151" s="724"/>
    </row>
    <row r="152" spans="1:37" s="459" customFormat="1">
      <c r="A152" s="471" t="str">
        <f>Commodities!K40</f>
        <v>TOTH_00</v>
      </c>
      <c r="B152" s="459" t="str">
        <f>Commodities!B10</f>
        <v>TRAETH</v>
      </c>
      <c r="C152" s="28" t="s">
        <v>1097</v>
      </c>
      <c r="D152" s="472">
        <f>0.5*'EB2018'!AG55/'EB2018'!AM55</f>
        <v>1.8342045817467248E-2</v>
      </c>
      <c r="E152" s="517">
        <f>D152</f>
        <v>1.8342045817467248E-2</v>
      </c>
      <c r="F152" s="517">
        <f t="shared" si="29"/>
        <v>1.8342045817467248E-2</v>
      </c>
      <c r="G152" s="517">
        <f t="shared" si="29"/>
        <v>1.8342045817467248E-2</v>
      </c>
      <c r="H152" s="517">
        <f t="shared" si="29"/>
        <v>1.8342045817467248E-2</v>
      </c>
      <c r="I152" s="517">
        <f t="shared" si="29"/>
        <v>1.8342045817467248E-2</v>
      </c>
      <c r="J152" s="517">
        <f t="shared" si="29"/>
        <v>1.8342045817467248E-2</v>
      </c>
      <c r="K152" s="517">
        <f t="shared" si="29"/>
        <v>1.8342045817467248E-2</v>
      </c>
      <c r="L152" s="517">
        <f t="shared" si="29"/>
        <v>1.8342045817467248E-2</v>
      </c>
      <c r="M152" s="517">
        <f t="shared" si="29"/>
        <v>1.8342045817467248E-2</v>
      </c>
      <c r="N152" s="517">
        <f t="shared" si="29"/>
        <v>1.8342045817467248E-2</v>
      </c>
      <c r="O152" s="517">
        <f t="shared" si="29"/>
        <v>1.8342045817467248E-2</v>
      </c>
      <c r="P152" s="517">
        <f t="shared" si="29"/>
        <v>1.8342045817467248E-2</v>
      </c>
      <c r="Q152" s="517">
        <f t="shared" si="29"/>
        <v>1.8342045817467248E-2</v>
      </c>
      <c r="R152" s="517">
        <f t="shared" si="29"/>
        <v>1.8342045817467248E-2</v>
      </c>
      <c r="S152" s="517">
        <f t="shared" si="29"/>
        <v>1.8342045817467248E-2</v>
      </c>
      <c r="T152" s="517">
        <f t="shared" si="29"/>
        <v>1.8342045817467248E-2</v>
      </c>
      <c r="U152" s="517">
        <f t="shared" si="29"/>
        <v>1.8342045817467248E-2</v>
      </c>
      <c r="V152" s="517">
        <f t="shared" si="29"/>
        <v>1.8342045817467248E-2</v>
      </c>
      <c r="W152" s="517">
        <f t="shared" si="29"/>
        <v>1.8342045817467248E-2</v>
      </c>
      <c r="X152" s="517">
        <f t="shared" si="29"/>
        <v>1.8342045817467248E-2</v>
      </c>
      <c r="Y152" s="517">
        <f t="shared" si="29"/>
        <v>1.8342045817467248E-2</v>
      </c>
      <c r="Z152" s="517">
        <f t="shared" si="29"/>
        <v>1.8342045817467248E-2</v>
      </c>
      <c r="AA152" s="517">
        <f t="shared" si="29"/>
        <v>1.8342045817467248E-2</v>
      </c>
      <c r="AB152" s="517">
        <f t="shared" si="29"/>
        <v>1.8342045817467248E-2</v>
      </c>
      <c r="AC152" s="517">
        <f t="shared" si="29"/>
        <v>1.8342045817467248E-2</v>
      </c>
      <c r="AD152" s="517">
        <f t="shared" si="29"/>
        <v>1.8342045817467248E-2</v>
      </c>
      <c r="AF152" s="451"/>
      <c r="AG152" s="471" t="str">
        <f t="shared" si="27"/>
        <v>TOTH_00</v>
      </c>
      <c r="AH152" s="724" t="str">
        <f t="shared" si="31"/>
        <v>TRAETH</v>
      </c>
      <c r="AI152" s="28" t="str">
        <f t="shared" si="32"/>
        <v>LO</v>
      </c>
      <c r="AJ152" s="738">
        <v>5</v>
      </c>
      <c r="AK152" s="724"/>
    </row>
    <row r="153" spans="1:37" s="459" customFormat="1">
      <c r="A153" s="471" t="str">
        <f>Commodities!K40</f>
        <v>TOTH_00</v>
      </c>
      <c r="B153" s="459" t="str">
        <f>Commodities!B11</f>
        <v>TRABDL</v>
      </c>
      <c r="C153" s="28" t="s">
        <v>1097</v>
      </c>
      <c r="D153" s="472">
        <f>0.5*'EB2018'!AG55/'EB2018'!AM55</f>
        <v>1.8342045817467248E-2</v>
      </c>
      <c r="E153" s="517">
        <f>D153</f>
        <v>1.8342045817467248E-2</v>
      </c>
      <c r="F153" s="517">
        <f t="shared" si="29"/>
        <v>1.8342045817467248E-2</v>
      </c>
      <c r="G153" s="517">
        <f t="shared" si="29"/>
        <v>1.8342045817467248E-2</v>
      </c>
      <c r="H153" s="517">
        <f t="shared" si="29"/>
        <v>1.8342045817467248E-2</v>
      </c>
      <c r="I153" s="517">
        <f t="shared" si="29"/>
        <v>1.8342045817467248E-2</v>
      </c>
      <c r="J153" s="517">
        <f t="shared" si="29"/>
        <v>1.8342045817467248E-2</v>
      </c>
      <c r="K153" s="517">
        <f t="shared" si="29"/>
        <v>1.8342045817467248E-2</v>
      </c>
      <c r="L153" s="517">
        <f t="shared" si="29"/>
        <v>1.8342045817467248E-2</v>
      </c>
      <c r="M153" s="517">
        <f t="shared" si="29"/>
        <v>1.8342045817467248E-2</v>
      </c>
      <c r="N153" s="517">
        <f t="shared" si="29"/>
        <v>1.8342045817467248E-2</v>
      </c>
      <c r="O153" s="517">
        <f t="shared" si="29"/>
        <v>1.8342045817467248E-2</v>
      </c>
      <c r="P153" s="517">
        <f t="shared" si="29"/>
        <v>1.8342045817467248E-2</v>
      </c>
      <c r="Q153" s="517">
        <f t="shared" si="29"/>
        <v>1.8342045817467248E-2</v>
      </c>
      <c r="R153" s="517">
        <f t="shared" si="29"/>
        <v>1.8342045817467248E-2</v>
      </c>
      <c r="S153" s="517">
        <f t="shared" si="29"/>
        <v>1.8342045817467248E-2</v>
      </c>
      <c r="T153" s="517">
        <f t="shared" si="29"/>
        <v>1.8342045817467248E-2</v>
      </c>
      <c r="U153" s="517">
        <f t="shared" si="29"/>
        <v>1.8342045817467248E-2</v>
      </c>
      <c r="V153" s="517">
        <f t="shared" si="29"/>
        <v>1.8342045817467248E-2</v>
      </c>
      <c r="W153" s="517">
        <f t="shared" si="29"/>
        <v>1.8342045817467248E-2</v>
      </c>
      <c r="X153" s="517">
        <f t="shared" si="29"/>
        <v>1.8342045817467248E-2</v>
      </c>
      <c r="Y153" s="517">
        <f t="shared" si="29"/>
        <v>1.8342045817467248E-2</v>
      </c>
      <c r="Z153" s="517">
        <f t="shared" si="29"/>
        <v>1.8342045817467248E-2</v>
      </c>
      <c r="AA153" s="517">
        <f t="shared" si="29"/>
        <v>1.8342045817467248E-2</v>
      </c>
      <c r="AB153" s="517">
        <f t="shared" si="29"/>
        <v>1.8342045817467248E-2</v>
      </c>
      <c r="AC153" s="517">
        <f t="shared" si="29"/>
        <v>1.8342045817467248E-2</v>
      </c>
      <c r="AD153" s="517">
        <f t="shared" si="29"/>
        <v>1.8342045817467248E-2</v>
      </c>
      <c r="AF153" s="451"/>
      <c r="AG153" s="471" t="str">
        <f t="shared" si="27"/>
        <v>TOTH_00</v>
      </c>
      <c r="AH153" s="724" t="str">
        <f t="shared" si="31"/>
        <v>TRABDL</v>
      </c>
      <c r="AI153" s="28" t="str">
        <f t="shared" si="32"/>
        <v>LO</v>
      </c>
      <c r="AJ153" s="738">
        <v>5</v>
      </c>
      <c r="AK153" s="724"/>
    </row>
    <row r="154" spans="1:37" s="459" customFormat="1">
      <c r="A154" s="459" t="str">
        <f>Commodities!K40</f>
        <v>TOTH_00</v>
      </c>
      <c r="B154" s="459" t="str">
        <f>Commodities!B12</f>
        <v>TRACNG</v>
      </c>
      <c r="C154" s="28" t="s">
        <v>1097</v>
      </c>
      <c r="D154" s="472">
        <f>'EB2018'!Z55/'EB2018'!AM55</f>
        <v>4.2308762790135471E-2</v>
      </c>
      <c r="E154" s="38">
        <f>D154</f>
        <v>4.2308762790135471E-2</v>
      </c>
      <c r="F154" s="38">
        <f t="shared" si="29"/>
        <v>4.2308762790135471E-2</v>
      </c>
      <c r="G154" s="38">
        <f t="shared" si="29"/>
        <v>4.2308762790135471E-2</v>
      </c>
      <c r="H154" s="38">
        <f t="shared" si="29"/>
        <v>4.2308762790135471E-2</v>
      </c>
      <c r="I154" s="38">
        <f t="shared" si="29"/>
        <v>4.2308762790135471E-2</v>
      </c>
      <c r="J154" s="38">
        <f t="shared" si="29"/>
        <v>4.2308762790135471E-2</v>
      </c>
      <c r="K154" s="38">
        <f t="shared" si="29"/>
        <v>4.2308762790135471E-2</v>
      </c>
      <c r="L154" s="38">
        <f t="shared" si="29"/>
        <v>4.2308762790135471E-2</v>
      </c>
      <c r="M154" s="38">
        <f t="shared" si="29"/>
        <v>4.2308762790135471E-2</v>
      </c>
      <c r="N154" s="38">
        <f t="shared" si="29"/>
        <v>4.2308762790135471E-2</v>
      </c>
      <c r="O154" s="38">
        <f t="shared" si="29"/>
        <v>4.2308762790135471E-2</v>
      </c>
      <c r="P154" s="38">
        <f t="shared" si="29"/>
        <v>4.2308762790135471E-2</v>
      </c>
      <c r="Q154" s="38">
        <f t="shared" si="29"/>
        <v>4.2308762790135471E-2</v>
      </c>
      <c r="R154" s="38">
        <f t="shared" si="29"/>
        <v>4.2308762790135471E-2</v>
      </c>
      <c r="S154" s="38">
        <f t="shared" si="29"/>
        <v>4.2308762790135471E-2</v>
      </c>
      <c r="T154" s="38">
        <f t="shared" si="29"/>
        <v>4.2308762790135471E-2</v>
      </c>
      <c r="U154" s="38">
        <f t="shared" si="29"/>
        <v>4.2308762790135471E-2</v>
      </c>
      <c r="V154" s="38">
        <f t="shared" si="29"/>
        <v>4.2308762790135471E-2</v>
      </c>
      <c r="W154" s="38">
        <f t="shared" si="29"/>
        <v>4.2308762790135471E-2</v>
      </c>
      <c r="X154" s="38">
        <f t="shared" si="29"/>
        <v>4.2308762790135471E-2</v>
      </c>
      <c r="Y154" s="38">
        <f t="shared" si="29"/>
        <v>4.2308762790135471E-2</v>
      </c>
      <c r="Z154" s="38">
        <f t="shared" si="29"/>
        <v>4.2308762790135471E-2</v>
      </c>
      <c r="AA154" s="38">
        <f t="shared" si="29"/>
        <v>4.2308762790135471E-2</v>
      </c>
      <c r="AB154" s="38">
        <f t="shared" si="29"/>
        <v>4.2308762790135471E-2</v>
      </c>
      <c r="AC154" s="38">
        <f t="shared" si="29"/>
        <v>4.2308762790135471E-2</v>
      </c>
      <c r="AD154" s="38">
        <f t="shared" si="29"/>
        <v>4.2308762790135471E-2</v>
      </c>
      <c r="AF154" s="451"/>
      <c r="AG154" s="724" t="str">
        <f t="shared" si="27"/>
        <v>TOTH_00</v>
      </c>
      <c r="AH154" s="724" t="str">
        <f t="shared" si="31"/>
        <v>TRACNG</v>
      </c>
      <c r="AI154" s="28" t="str">
        <f t="shared" si="32"/>
        <v>LO</v>
      </c>
      <c r="AJ154" s="738">
        <v>5</v>
      </c>
      <c r="AK154" s="724"/>
    </row>
    <row r="155" spans="1:37" s="459" customFormat="1">
      <c r="A155" s="461"/>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1"/>
    </row>
    <row r="156" spans="1:37"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7" s="459" customFormat="1" ht="15.75">
      <c r="A157" s="401" t="s">
        <v>544</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7" s="459" customFormat="1">
      <c r="A158" s="132" t="s">
        <v>504</v>
      </c>
      <c r="B158" s="132" t="s">
        <v>543</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500</v>
      </c>
      <c r="AE158"/>
      <c r="AF158" s="451"/>
    </row>
    <row r="159" spans="1:37" s="459" customFormat="1">
      <c r="A159" s="398" t="s">
        <v>370</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570</v>
      </c>
      <c r="AE159"/>
      <c r="AF159" s="451"/>
    </row>
    <row r="160" spans="1:37">
      <c r="A160" s="398" t="s">
        <v>369</v>
      </c>
      <c r="B160" s="443" t="s">
        <v>502</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501</v>
      </c>
      <c r="AE160" s="398"/>
    </row>
    <row r="161" spans="1:31">
      <c r="A161" s="398"/>
      <c r="B161" s="443" t="s">
        <v>503</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501</v>
      </c>
      <c r="AE161" s="398"/>
    </row>
    <row r="162" spans="1:31">
      <c r="A162" s="398"/>
      <c r="B162" s="443" t="s">
        <v>505</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501</v>
      </c>
      <c r="AE162" s="398"/>
    </row>
    <row r="163" spans="1:31">
      <c r="A163" s="398"/>
      <c r="B163" s="443" t="s">
        <v>506</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501</v>
      </c>
      <c r="AE163" s="398"/>
    </row>
    <row r="164" spans="1:31">
      <c r="A164" s="398"/>
      <c r="B164" s="443" t="s">
        <v>507</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501</v>
      </c>
      <c r="AE164" s="398"/>
    </row>
    <row r="165" spans="1:31">
      <c r="A165" s="398"/>
      <c r="B165" s="459" t="s">
        <v>675</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501</v>
      </c>
      <c r="AE165" s="398"/>
    </row>
    <row r="166" spans="1:31">
      <c r="A166" s="398"/>
      <c r="B166" s="443" t="s">
        <v>508</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501</v>
      </c>
      <c r="AE166" s="398"/>
    </row>
    <row r="167" spans="1:31">
      <c r="A167" s="398"/>
      <c r="B167" s="443" t="s">
        <v>509</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501</v>
      </c>
      <c r="AE167" s="398"/>
    </row>
    <row r="168" spans="1:31" s="459" customFormat="1">
      <c r="A168" s="398"/>
      <c r="B168" s="443" t="s">
        <v>510</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501</v>
      </c>
      <c r="AE168"/>
    </row>
    <row r="169" spans="1:31">
      <c r="A169" s="443" t="s">
        <v>589</v>
      </c>
      <c r="B169" s="447" t="s">
        <v>502</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511</v>
      </c>
    </row>
    <row r="170" spans="1:31">
      <c r="A170" s="398"/>
      <c r="B170" s="447" t="s">
        <v>503</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511</v>
      </c>
    </row>
    <row r="171" spans="1:31">
      <c r="A171" s="398"/>
      <c r="B171" s="447" t="s">
        <v>507</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511</v>
      </c>
    </row>
    <row r="172" spans="1:31">
      <c r="A172" s="459" t="s">
        <v>590</v>
      </c>
      <c r="B172" s="447" t="s">
        <v>512</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515</v>
      </c>
    </row>
    <row r="173" spans="1:31">
      <c r="A173" s="459" t="s">
        <v>24</v>
      </c>
      <c r="B173" s="459" t="s">
        <v>635</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638</v>
      </c>
    </row>
    <row r="174" spans="1:31">
      <c r="A174" s="36"/>
      <c r="B174" s="459" t="s">
        <v>636</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639</v>
      </c>
      <c r="AE174" s="459"/>
    </row>
    <row r="175" spans="1:31">
      <c r="A175" s="36"/>
      <c r="B175" s="459" t="s">
        <v>637</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639</v>
      </c>
      <c r="AE175" s="459"/>
    </row>
    <row r="176" spans="1:31">
      <c r="A176" s="459" t="s">
        <v>716</v>
      </c>
      <c r="B176" s="459" t="s">
        <v>759</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624</v>
      </c>
    </row>
    <row r="177" spans="1:49" s="459" customFormat="1">
      <c r="A177"/>
      <c r="B177" s="459" t="s">
        <v>760</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624</v>
      </c>
      <c r="AE177"/>
    </row>
    <row r="178" spans="1:49" s="459" customFormat="1">
      <c r="A178" s="458"/>
      <c r="B178" s="458" t="s">
        <v>637</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488</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489</v>
      </c>
      <c r="B184" s="434" t="s">
        <v>490</v>
      </c>
    </row>
    <row r="185" spans="1:49">
      <c r="A185" s="435" t="s">
        <v>20</v>
      </c>
      <c r="B185" s="436">
        <v>1041376950</v>
      </c>
    </row>
    <row r="186" spans="1:49">
      <c r="A186" s="437" t="s">
        <v>491</v>
      </c>
      <c r="B186" s="436">
        <v>53868503</v>
      </c>
    </row>
    <row r="187" spans="1:49">
      <c r="A187" s="437" t="s">
        <v>19</v>
      </c>
      <c r="B187" s="438">
        <v>3392228806</v>
      </c>
    </row>
    <row r="188" spans="1:49">
      <c r="A188" s="437" t="s">
        <v>492</v>
      </c>
      <c r="B188" s="438">
        <v>162101602</v>
      </c>
    </row>
    <row r="189" spans="1:49">
      <c r="A189" s="439" t="s">
        <v>493</v>
      </c>
      <c r="B189" s="394"/>
    </row>
    <row r="190" spans="1:49">
      <c r="A190" s="394"/>
      <c r="B190" s="394"/>
    </row>
    <row r="191" spans="1:49">
      <c r="A191" s="394"/>
      <c r="B191" s="394"/>
    </row>
    <row r="192" spans="1:49">
      <c r="A192" s="431" t="s">
        <v>494</v>
      </c>
      <c r="B192" s="432"/>
    </row>
    <row r="193" spans="1:2">
      <c r="A193" s="433" t="s">
        <v>489</v>
      </c>
      <c r="B193" s="434" t="s">
        <v>494</v>
      </c>
    </row>
    <row r="194" spans="1:2">
      <c r="A194" s="435" t="s">
        <v>20</v>
      </c>
      <c r="B194" s="436">
        <v>35</v>
      </c>
    </row>
    <row r="195" spans="1:2">
      <c r="A195" s="437" t="s">
        <v>491</v>
      </c>
      <c r="B195" s="436">
        <v>32</v>
      </c>
    </row>
    <row r="196" spans="1:2">
      <c r="A196" s="437" t="s">
        <v>19</v>
      </c>
      <c r="B196" s="438">
        <v>37</v>
      </c>
    </row>
    <row r="197" spans="1:2">
      <c r="A197" s="437" t="s">
        <v>492</v>
      </c>
      <c r="B197" s="438">
        <v>33</v>
      </c>
    </row>
    <row r="198" spans="1:2">
      <c r="A198" s="394"/>
      <c r="B198" s="394"/>
    </row>
    <row r="199" spans="1:2">
      <c r="A199" s="394"/>
      <c r="B199" s="394"/>
    </row>
    <row r="200" spans="1:2">
      <c r="A200" s="431" t="s">
        <v>495</v>
      </c>
      <c r="B200" s="432"/>
    </row>
    <row r="201" spans="1:2">
      <c r="A201" s="433" t="s">
        <v>489</v>
      </c>
      <c r="B201" s="434" t="s">
        <v>496</v>
      </c>
    </row>
    <row r="202" spans="1:2">
      <c r="A202" s="435" t="s">
        <v>20</v>
      </c>
      <c r="B202" s="440">
        <f>(B185*B194)/((B185*B194)+(B186*B195))</f>
        <v>0.9548414346182118</v>
      </c>
    </row>
    <row r="203" spans="1:2">
      <c r="A203" s="437" t="s">
        <v>491</v>
      </c>
      <c r="B203" s="440">
        <f>(B186*B195)/((B185*B194)+(B186*B195))</f>
        <v>4.5158565381788147E-2</v>
      </c>
    </row>
    <row r="204" spans="1:2">
      <c r="A204" s="437" t="s">
        <v>19</v>
      </c>
      <c r="B204" s="440">
        <f>(B187*B196)/((B187*B196)+(B188*B197))</f>
        <v>0.95912212653292017</v>
      </c>
    </row>
    <row r="205" spans="1:2">
      <c r="A205" s="437" t="s">
        <v>492</v>
      </c>
      <c r="B205" s="440">
        <f>(B188*B197)/((B187*B196)+(B188*B197))</f>
        <v>4.087787346707978E-2</v>
      </c>
    </row>
    <row r="216" spans="1:12">
      <c r="A216" s="743" t="s">
        <v>513</v>
      </c>
      <c r="B216" s="743"/>
      <c r="C216" s="743"/>
      <c r="D216" s="743"/>
      <c r="E216" s="743"/>
      <c r="F216" s="744"/>
    </row>
    <row r="217" spans="1:12">
      <c r="A217" s="450" t="s">
        <v>29</v>
      </c>
      <c r="B217" s="450">
        <v>170</v>
      </c>
      <c r="C217" s="450">
        <v>180</v>
      </c>
      <c r="D217" s="450">
        <v>148</v>
      </c>
      <c r="E217" s="450">
        <v>144</v>
      </c>
      <c r="F217" s="450">
        <v>146</v>
      </c>
      <c r="G217" s="391" t="s">
        <v>542</v>
      </c>
    </row>
    <row r="218" spans="1:12">
      <c r="A218" s="449" t="s">
        <v>28</v>
      </c>
      <c r="B218" s="449">
        <v>305</v>
      </c>
      <c r="C218" s="449">
        <v>308</v>
      </c>
      <c r="D218" s="449">
        <v>312</v>
      </c>
      <c r="E218" s="449">
        <v>325</v>
      </c>
      <c r="F218" s="449">
        <v>332</v>
      </c>
      <c r="G218" s="448" t="s">
        <v>541</v>
      </c>
    </row>
    <row r="219" spans="1:12">
      <c r="A219" s="743" t="s">
        <v>514</v>
      </c>
      <c r="B219" s="743"/>
      <c r="C219" s="743"/>
      <c r="D219" s="743"/>
      <c r="E219" s="743"/>
      <c r="F219" s="744"/>
      <c r="G219" s="448"/>
    </row>
    <row r="220" spans="1:12">
      <c r="A220" s="459"/>
      <c r="B220" s="459"/>
      <c r="C220" s="459"/>
      <c r="D220" s="459"/>
      <c r="E220" s="459"/>
      <c r="F220" s="459"/>
      <c r="G220" s="459"/>
      <c r="H220" s="459"/>
      <c r="I220" s="459"/>
      <c r="J220" s="459"/>
      <c r="K220" s="459"/>
      <c r="L220" s="459"/>
    </row>
    <row r="221" spans="1:12">
      <c r="A221" s="452" t="s">
        <v>29</v>
      </c>
      <c r="C221" t="s">
        <v>539</v>
      </c>
      <c r="D221" t="s">
        <v>540</v>
      </c>
    </row>
    <row r="222" spans="1:12">
      <c r="A222" s="451" t="s">
        <v>516</v>
      </c>
      <c r="B222" t="s">
        <v>375</v>
      </c>
      <c r="C222">
        <v>14</v>
      </c>
      <c r="D222" s="5">
        <f t="shared" ref="D222:D231" si="33">C222/$C$232</f>
        <v>0.33333333333333331</v>
      </c>
    </row>
    <row r="223" spans="1:12">
      <c r="A223" s="451" t="s">
        <v>517</v>
      </c>
      <c r="B223" t="s">
        <v>538</v>
      </c>
      <c r="C223">
        <v>1</v>
      </c>
      <c r="D223" s="5">
        <f t="shared" si="33"/>
        <v>2.3809523809523808E-2</v>
      </c>
    </row>
    <row r="224" spans="1:12">
      <c r="A224" s="451" t="s">
        <v>518</v>
      </c>
      <c r="B224" s="448" t="s">
        <v>384</v>
      </c>
      <c r="C224">
        <v>5</v>
      </c>
      <c r="D224" s="5">
        <f t="shared" si="33"/>
        <v>0.11904761904761904</v>
      </c>
    </row>
    <row r="225" spans="1:12">
      <c r="A225" s="451" t="s">
        <v>519</v>
      </c>
      <c r="B225" s="448" t="s">
        <v>387</v>
      </c>
      <c r="C225">
        <v>4</v>
      </c>
      <c r="D225" s="5">
        <f t="shared" si="33"/>
        <v>9.5238095238095233E-2</v>
      </c>
    </row>
    <row r="226" spans="1:12">
      <c r="A226" s="451" t="s">
        <v>520</v>
      </c>
      <c r="B226" s="448" t="s">
        <v>388</v>
      </c>
      <c r="C226">
        <v>2</v>
      </c>
      <c r="D226" s="5">
        <f t="shared" si="33"/>
        <v>4.7619047619047616E-2</v>
      </c>
    </row>
    <row r="227" spans="1:12">
      <c r="A227" s="451" t="s">
        <v>521</v>
      </c>
      <c r="B227" s="448" t="s">
        <v>389</v>
      </c>
      <c r="C227">
        <v>5</v>
      </c>
      <c r="D227" s="5">
        <f t="shared" si="33"/>
        <v>0.11904761904761904</v>
      </c>
    </row>
    <row r="228" spans="1:12">
      <c r="A228" s="451" t="s">
        <v>522</v>
      </c>
      <c r="B228" s="448" t="s">
        <v>391</v>
      </c>
      <c r="C228">
        <v>2</v>
      </c>
      <c r="D228" s="5">
        <f t="shared" si="33"/>
        <v>4.7619047619047616E-2</v>
      </c>
    </row>
    <row r="229" spans="1:12">
      <c r="A229" s="451" t="s">
        <v>523</v>
      </c>
      <c r="B229" s="448" t="s">
        <v>392</v>
      </c>
      <c r="C229">
        <v>6</v>
      </c>
      <c r="D229" s="5">
        <f t="shared" si="33"/>
        <v>0.14285714285714285</v>
      </c>
    </row>
    <row r="230" spans="1:12">
      <c r="A230" s="451" t="s">
        <v>524</v>
      </c>
      <c r="B230" s="448" t="s">
        <v>396</v>
      </c>
      <c r="C230">
        <v>1</v>
      </c>
      <c r="D230" s="5">
        <f t="shared" si="33"/>
        <v>2.3809523809523808E-2</v>
      </c>
    </row>
    <row r="231" spans="1:12">
      <c r="A231" s="451" t="s">
        <v>525</v>
      </c>
      <c r="B231" s="448" t="s">
        <v>398</v>
      </c>
      <c r="C231">
        <v>2</v>
      </c>
      <c r="D231" s="5">
        <f t="shared" si="33"/>
        <v>4.7619047619047616E-2</v>
      </c>
    </row>
    <row r="232" spans="1:12">
      <c r="A232" s="451" t="s">
        <v>526</v>
      </c>
      <c r="C232">
        <f>SUM(C222:C231)</f>
        <v>42</v>
      </c>
    </row>
    <row r="233" spans="1:12">
      <c r="A233" s="451" t="s">
        <v>527</v>
      </c>
    </row>
    <row r="234" spans="1:12">
      <c r="A234" s="451" t="s">
        <v>528</v>
      </c>
      <c r="B234" s="459"/>
      <c r="C234" s="459"/>
      <c r="D234" s="459"/>
      <c r="E234" s="459"/>
      <c r="F234" s="459"/>
      <c r="G234" s="459"/>
      <c r="H234" s="459"/>
      <c r="I234" s="459"/>
      <c r="J234" s="459"/>
      <c r="K234" s="459"/>
      <c r="L234" s="459"/>
    </row>
    <row r="235" spans="1:12">
      <c r="A235" s="451" t="s">
        <v>529</v>
      </c>
      <c r="B235" s="459"/>
      <c r="C235" s="459"/>
      <c r="D235" s="459"/>
      <c r="E235" s="459"/>
      <c r="F235" s="459"/>
      <c r="G235" s="459"/>
      <c r="H235" s="459"/>
      <c r="I235" s="459"/>
      <c r="J235" s="459"/>
      <c r="K235" s="459"/>
      <c r="L235" s="459"/>
    </row>
    <row r="236" spans="1:12">
      <c r="A236" s="451" t="s">
        <v>530</v>
      </c>
      <c r="B236" s="459"/>
      <c r="C236" s="459"/>
      <c r="D236" s="459"/>
      <c r="E236" s="459"/>
      <c r="F236" s="459"/>
      <c r="G236" s="459"/>
      <c r="H236" s="459"/>
      <c r="I236" s="459"/>
      <c r="J236" s="459"/>
      <c r="K236" s="459"/>
      <c r="L236" s="459"/>
    </row>
    <row r="237" spans="1:12">
      <c r="A237" s="451" t="s">
        <v>531</v>
      </c>
    </row>
    <row r="238" spans="1:12">
      <c r="A238" s="451" t="s">
        <v>532</v>
      </c>
    </row>
    <row r="239" spans="1:12">
      <c r="A239" s="451" t="s">
        <v>533</v>
      </c>
    </row>
    <row r="240" spans="1:12">
      <c r="A240" s="451" t="s">
        <v>534</v>
      </c>
    </row>
    <row r="241" spans="1:12">
      <c r="A241" s="451" t="s">
        <v>535</v>
      </c>
      <c r="B241" s="448"/>
      <c r="C241" s="448"/>
      <c r="D241" s="448"/>
      <c r="E241" s="448"/>
      <c r="F241" s="448"/>
      <c r="G241" s="448"/>
      <c r="H241" s="448"/>
      <c r="I241" s="448"/>
      <c r="J241" s="448"/>
      <c r="K241" s="448"/>
      <c r="L241" s="448"/>
    </row>
    <row r="242" spans="1:12">
      <c r="A242" s="451" t="s">
        <v>536</v>
      </c>
      <c r="B242" s="459"/>
      <c r="C242" s="459"/>
      <c r="D242" s="459"/>
      <c r="E242" s="459"/>
      <c r="F242" s="459"/>
      <c r="G242" s="459"/>
      <c r="H242" s="459"/>
      <c r="I242" s="459"/>
      <c r="J242" s="459"/>
      <c r="K242" s="459"/>
      <c r="L242" s="459"/>
    </row>
    <row r="243" spans="1:12">
      <c r="A243" s="451" t="s">
        <v>537</v>
      </c>
      <c r="B243" s="459"/>
      <c r="C243" s="459"/>
      <c r="D243" s="459"/>
      <c r="E243" s="459"/>
      <c r="F243" s="459"/>
      <c r="G243" s="459"/>
      <c r="H243" s="459"/>
      <c r="I243" s="459"/>
      <c r="J243" s="459"/>
      <c r="K243" s="459"/>
      <c r="L243" s="459"/>
    </row>
    <row r="248" spans="1:12">
      <c r="A248" t="s">
        <v>785</v>
      </c>
    </row>
    <row r="249" spans="1:12" ht="25.5">
      <c r="A249" s="749" t="s">
        <v>116</v>
      </c>
      <c r="B249" s="750" t="s">
        <v>117</v>
      </c>
      <c r="C249" s="563" t="s">
        <v>118</v>
      </c>
      <c r="D249" s="563" t="s">
        <v>119</v>
      </c>
      <c r="E249" s="563" t="s">
        <v>120</v>
      </c>
      <c r="F249" s="563" t="s">
        <v>121</v>
      </c>
    </row>
    <row r="250" spans="1:12" ht="38.25">
      <c r="A250" s="749"/>
      <c r="B250" s="750"/>
      <c r="C250" s="564" t="s">
        <v>122</v>
      </c>
      <c r="D250" s="564">
        <v>28</v>
      </c>
      <c r="E250" s="564">
        <v>190</v>
      </c>
      <c r="F250" s="564" t="s">
        <v>123</v>
      </c>
    </row>
    <row r="251" spans="1:12">
      <c r="A251" s="749"/>
      <c r="B251" s="750"/>
      <c r="C251" s="565" t="s">
        <v>124</v>
      </c>
      <c r="D251" s="565">
        <v>25</v>
      </c>
      <c r="E251" s="565">
        <v>262</v>
      </c>
      <c r="F251" s="565" t="s">
        <v>125</v>
      </c>
    </row>
    <row r="252" spans="1:12">
      <c r="A252" s="749"/>
      <c r="B252" s="750"/>
      <c r="C252" s="564" t="s">
        <v>126</v>
      </c>
      <c r="D252" s="564">
        <v>10</v>
      </c>
      <c r="E252" s="564">
        <v>304</v>
      </c>
      <c r="F252" s="564">
        <v>2008</v>
      </c>
    </row>
    <row r="253" spans="1:12">
      <c r="A253" s="749"/>
      <c r="B253" s="751" t="s">
        <v>127</v>
      </c>
      <c r="C253" s="565" t="s">
        <v>128</v>
      </c>
      <c r="D253" s="565">
        <v>5</v>
      </c>
      <c r="E253" s="565" t="s">
        <v>129</v>
      </c>
      <c r="F253" s="565" t="s">
        <v>130</v>
      </c>
    </row>
    <row r="254" spans="1:12">
      <c r="A254" s="749"/>
      <c r="B254" s="751"/>
      <c r="C254" s="564" t="s">
        <v>131</v>
      </c>
      <c r="D254" s="564">
        <v>5</v>
      </c>
      <c r="E254" s="564">
        <v>28</v>
      </c>
      <c r="F254" s="564" t="s">
        <v>130</v>
      </c>
    </row>
    <row r="255" spans="1:12">
      <c r="A255" s="749"/>
      <c r="B255" s="751"/>
      <c r="C255" s="565" t="s">
        <v>132</v>
      </c>
      <c r="D255" s="565">
        <v>5</v>
      </c>
      <c r="E255" s="565">
        <v>44</v>
      </c>
      <c r="F255" s="565" t="s">
        <v>130</v>
      </c>
    </row>
    <row r="256" spans="1:12">
      <c r="A256" s="749"/>
      <c r="B256" s="751"/>
      <c r="C256" s="564" t="s">
        <v>133</v>
      </c>
      <c r="D256" s="564">
        <v>16</v>
      </c>
      <c r="E256" s="564">
        <v>69</v>
      </c>
      <c r="F256" s="564" t="s">
        <v>130</v>
      </c>
    </row>
    <row r="257" spans="1:6">
      <c r="A257" s="749"/>
      <c r="B257" s="751"/>
      <c r="C257" s="565" t="s">
        <v>134</v>
      </c>
      <c r="D257" s="565">
        <v>5</v>
      </c>
      <c r="E257" s="565">
        <v>69</v>
      </c>
      <c r="F257" s="565" t="s">
        <v>130</v>
      </c>
    </row>
    <row r="258" spans="1:6">
      <c r="A258" s="752" t="s">
        <v>135</v>
      </c>
      <c r="B258" s="566" t="s">
        <v>136</v>
      </c>
      <c r="C258" s="564" t="s">
        <v>124</v>
      </c>
      <c r="D258" s="564">
        <v>29</v>
      </c>
      <c r="E258" s="564">
        <v>185</v>
      </c>
      <c r="F258" s="564" t="s">
        <v>139</v>
      </c>
    </row>
    <row r="259" spans="1:6">
      <c r="A259" s="752"/>
      <c r="B259" s="566" t="s">
        <v>137</v>
      </c>
      <c r="C259" s="565" t="s">
        <v>140</v>
      </c>
      <c r="D259" s="565">
        <v>8</v>
      </c>
      <c r="E259" s="565">
        <v>85</v>
      </c>
      <c r="F259" s="565">
        <v>2000</v>
      </c>
    </row>
    <row r="260" spans="1:6">
      <c r="A260" s="752"/>
      <c r="B260" s="566" t="s">
        <v>138</v>
      </c>
      <c r="C260" s="564" t="s">
        <v>140</v>
      </c>
      <c r="D260" s="564">
        <v>8</v>
      </c>
      <c r="E260" s="564">
        <v>130</v>
      </c>
      <c r="F260" s="564">
        <v>1993</v>
      </c>
    </row>
    <row r="261" spans="1:6">
      <c r="A261" s="752" t="s">
        <v>40</v>
      </c>
      <c r="B261" s="750" t="s">
        <v>141</v>
      </c>
      <c r="C261" s="565" t="s">
        <v>143</v>
      </c>
      <c r="D261" s="565">
        <v>8</v>
      </c>
      <c r="E261" s="565">
        <v>160</v>
      </c>
      <c r="F261" s="565" t="s">
        <v>144</v>
      </c>
    </row>
    <row r="262" spans="1:6">
      <c r="A262" s="752"/>
      <c r="B262" s="750"/>
      <c r="C262" s="564" t="s">
        <v>145</v>
      </c>
      <c r="D262" s="564">
        <v>3</v>
      </c>
      <c r="E262" s="564">
        <v>160</v>
      </c>
      <c r="F262" s="564">
        <v>2001</v>
      </c>
    </row>
    <row r="263" spans="1:6">
      <c r="A263" s="752"/>
      <c r="B263" s="750"/>
      <c r="C263" s="565" t="s">
        <v>146</v>
      </c>
      <c r="D263" s="565">
        <v>4</v>
      </c>
      <c r="E263" s="565">
        <v>160</v>
      </c>
      <c r="F263" s="565">
        <v>2000</v>
      </c>
    </row>
    <row r="264" spans="1:6">
      <c r="A264" s="752"/>
      <c r="B264" s="566" t="s">
        <v>142</v>
      </c>
      <c r="C264" s="564" t="s">
        <v>140</v>
      </c>
      <c r="D264" s="564">
        <v>37</v>
      </c>
      <c r="E264" s="564">
        <v>128</v>
      </c>
      <c r="F264" s="564" t="s">
        <v>147</v>
      </c>
    </row>
    <row r="265" spans="1:6">
      <c r="A265" s="385" t="s">
        <v>170</v>
      </c>
      <c r="B265" s="385" t="s">
        <v>171</v>
      </c>
      <c r="D265" s="459"/>
      <c r="E265" s="459"/>
      <c r="F265" s="459"/>
    </row>
    <row r="266" spans="1:6">
      <c r="A266" s="459" t="s">
        <v>355</v>
      </c>
      <c r="B266" s="459"/>
      <c r="D266" s="459"/>
      <c r="E266" s="459"/>
      <c r="F266" s="459"/>
    </row>
    <row r="267" spans="1:6">
      <c r="A267" s="459" t="s">
        <v>354</v>
      </c>
    </row>
    <row r="271" spans="1:6" ht="23.25">
      <c r="A271" s="748" t="s">
        <v>770</v>
      </c>
      <c r="B271" s="748"/>
      <c r="C271" s="748"/>
      <c r="D271" s="748"/>
    </row>
    <row r="272" spans="1:6" ht="15.75" thickBot="1">
      <c r="A272" s="746" t="s">
        <v>163</v>
      </c>
      <c r="B272" s="747"/>
      <c r="C272" s="747"/>
      <c r="D272" s="747"/>
      <c r="E272" s="747"/>
      <c r="F272" s="747"/>
    </row>
    <row r="273" spans="1:31" ht="36.75" thickBot="1">
      <c r="A273" s="562" t="s">
        <v>118</v>
      </c>
      <c r="B273" s="562" t="s">
        <v>164</v>
      </c>
      <c r="C273" s="562" t="s">
        <v>165</v>
      </c>
      <c r="D273" s="562" t="s">
        <v>166</v>
      </c>
      <c r="E273" s="562" t="s">
        <v>169</v>
      </c>
      <c r="F273" s="562" t="s">
        <v>168</v>
      </c>
    </row>
    <row r="274" spans="1:31" ht="24" customHeight="1" thickBot="1">
      <c r="A274" s="558" t="s">
        <v>148</v>
      </c>
      <c r="B274" s="558" t="s">
        <v>149</v>
      </c>
      <c r="C274" s="558" t="s">
        <v>150</v>
      </c>
      <c r="D274" s="558" t="s">
        <v>151</v>
      </c>
      <c r="E274" s="559">
        <v>247</v>
      </c>
      <c r="F274" s="559">
        <f>2*6*52*E274</f>
        <v>154128</v>
      </c>
    </row>
    <row r="275" spans="1:31" ht="26.25" thickBot="1">
      <c r="A275" s="560" t="s">
        <v>152</v>
      </c>
      <c r="B275" s="560" t="s">
        <v>153</v>
      </c>
      <c r="C275" s="560" t="s">
        <v>150</v>
      </c>
      <c r="D275" s="560" t="s">
        <v>154</v>
      </c>
      <c r="E275" s="561">
        <v>317</v>
      </c>
      <c r="F275" s="561">
        <f>2*E275*2*52</f>
        <v>65936</v>
      </c>
    </row>
    <row r="276" spans="1:31" ht="51.75" thickBot="1">
      <c r="A276" s="558" t="s">
        <v>155</v>
      </c>
      <c r="B276" s="558" t="s">
        <v>156</v>
      </c>
      <c r="C276" s="558" t="s">
        <v>157</v>
      </c>
      <c r="D276" s="558" t="s">
        <v>158</v>
      </c>
      <c r="E276" s="559">
        <v>312</v>
      </c>
      <c r="F276" s="559">
        <f>2*E276*3*52</f>
        <v>97344</v>
      </c>
    </row>
    <row r="277" spans="1:31" ht="39" thickBot="1">
      <c r="A277" s="560" t="s">
        <v>159</v>
      </c>
      <c r="B277" s="560" t="s">
        <v>160</v>
      </c>
      <c r="C277" s="560" t="s">
        <v>161</v>
      </c>
      <c r="D277" s="560" t="s">
        <v>162</v>
      </c>
      <c r="E277" s="561">
        <v>64.2</v>
      </c>
      <c r="F277" s="561">
        <f>2*E277*35*52</f>
        <v>233688</v>
      </c>
    </row>
    <row r="278" spans="1:31">
      <c r="A278" t="s">
        <v>771</v>
      </c>
    </row>
    <row r="280" spans="1:31">
      <c r="A280" s="745" t="s">
        <v>776</v>
      </c>
      <c r="B280" s="745"/>
      <c r="C280" s="745" t="s">
        <v>777</v>
      </c>
      <c r="D280" s="745"/>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778</v>
      </c>
      <c r="C281" s="459" t="s">
        <v>23</v>
      </c>
      <c r="D281" s="459" t="s">
        <v>778</v>
      </c>
      <c r="E281" s="411" t="s">
        <v>779</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772</v>
      </c>
      <c r="B282" t="s">
        <v>394</v>
      </c>
      <c r="C282" s="459" t="s">
        <v>773</v>
      </c>
      <c r="D282" s="459" t="s">
        <v>375</v>
      </c>
      <c r="E282" s="39">
        <v>6</v>
      </c>
    </row>
    <row r="283" spans="1:31" s="459" customFormat="1">
      <c r="A283" s="459" t="s">
        <v>772</v>
      </c>
      <c r="B283" s="459" t="s">
        <v>394</v>
      </c>
      <c r="C283" s="459" t="s">
        <v>774</v>
      </c>
      <c r="D283" s="459" t="s">
        <v>391</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772</v>
      </c>
      <c r="B284" s="459" t="s">
        <v>394</v>
      </c>
      <c r="C284" s="459" t="s">
        <v>391</v>
      </c>
      <c r="D284" s="459" t="s">
        <v>391</v>
      </c>
      <c r="E284">
        <v>3</v>
      </c>
      <c r="F284"/>
      <c r="G284"/>
      <c r="H284"/>
      <c r="I284"/>
      <c r="J284"/>
      <c r="K284"/>
      <c r="L284"/>
      <c r="M284"/>
      <c r="N284"/>
      <c r="O284"/>
      <c r="P284"/>
      <c r="Q284"/>
      <c r="R284"/>
      <c r="S284"/>
      <c r="T284"/>
      <c r="U284"/>
      <c r="V284"/>
      <c r="W284"/>
      <c r="X284"/>
      <c r="Y284"/>
      <c r="Z284"/>
      <c r="AA284"/>
      <c r="AB284"/>
      <c r="AC284"/>
      <c r="AD284"/>
      <c r="AE284"/>
    </row>
    <row r="285" spans="1:31">
      <c r="A285" t="s">
        <v>775</v>
      </c>
      <c r="B285" t="s">
        <v>381</v>
      </c>
      <c r="C285" s="459" t="s">
        <v>773</v>
      </c>
      <c r="D285" s="459" t="s">
        <v>375</v>
      </c>
      <c r="E285">
        <v>3</v>
      </c>
    </row>
    <row r="287" spans="1:31">
      <c r="A287" s="3" t="s">
        <v>394</v>
      </c>
      <c r="B287" s="3" t="s">
        <v>375</v>
      </c>
      <c r="C287" s="3" t="s">
        <v>391</v>
      </c>
      <c r="D287" s="3" t="s">
        <v>381</v>
      </c>
      <c r="E287" s="3" t="s">
        <v>780</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34">B288/$E$288</f>
        <v>0.32142857142857145</v>
      </c>
      <c r="C289" s="556">
        <f t="shared" si="34"/>
        <v>0.17857142857142858</v>
      </c>
      <c r="D289" s="556">
        <f t="shared" si="34"/>
        <v>0.10714285714285714</v>
      </c>
      <c r="E289" s="556">
        <f t="shared" si="34"/>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topLeftCell="A7" zoomScale="55" zoomScaleNormal="55" workbookViewId="0">
      <selection activeCell="N54" sqref="N54"/>
    </sheetView>
  </sheetViews>
  <sheetFormatPr defaultRowHeight="15"/>
  <cols>
    <col min="1" max="1" width="28" customWidth="1"/>
    <col min="2" max="2" width="18.85546875" customWidth="1"/>
    <col min="3" max="3" width="17.7109375" customWidth="1"/>
    <col min="4" max="4" width="16.85546875" style="24" customWidth="1"/>
    <col min="5" max="5" width="15.7109375" style="24"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5" t="s">
        <v>1101</v>
      </c>
      <c r="B2" s="94"/>
      <c r="C2" s="94"/>
      <c r="D2" s="94"/>
      <c r="E2" s="94"/>
      <c r="F2" s="94"/>
      <c r="G2" s="94"/>
    </row>
    <row r="3" spans="1:29" ht="15.7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Commodities!B18</f>
        <v>TRAPS</v>
      </c>
      <c r="B4" s="448" t="str">
        <f>Commodities!D18</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Commodities!B19</f>
        <v>TRAPM</v>
      </c>
      <c r="B5" s="459" t="str">
        <f>Commodities!D19</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Commodities!B20</f>
        <v>TRAPL</v>
      </c>
      <c r="B6" s="459" t="str">
        <f>Commodities!D20</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Commodities!B21</f>
        <v>TFGV</v>
      </c>
      <c r="B7" s="459" t="str">
        <f>Commodities!D21</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Commodities!B22</f>
        <v>TFRAIL</v>
      </c>
      <c r="B8" s="724" t="str">
        <f>Commodities!D22</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Commodities!B23</f>
        <v>TTURS</v>
      </c>
      <c r="B9" s="11" t="str">
        <f>Commodities!D23</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Commodities!B24</f>
        <v>TNAV</v>
      </c>
      <c r="B10" s="11" t="str">
        <f>Commodities!D24</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Commodities!B25</f>
        <v>TOTH</v>
      </c>
      <c r="B11" s="11" t="str">
        <f>Commodities!D25</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Commodities!B26</f>
        <v>TAVIDOM</v>
      </c>
      <c r="B12" s="459" t="str">
        <f>Commodities!D26</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Commodities!B27</f>
        <v>TAVIINT</v>
      </c>
      <c r="B13" s="458" t="str">
        <f>Commodities!D27</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09"/>
      <c r="D14" s="402"/>
      <c r="E14" s="709"/>
      <c r="F14" s="709"/>
      <c r="G14" s="709"/>
      <c r="H14" s="709"/>
      <c r="I14" s="709"/>
      <c r="J14" s="709"/>
      <c r="K14" s="709"/>
      <c r="L14" s="709"/>
      <c r="M14" s="709"/>
      <c r="N14" s="709"/>
      <c r="O14" s="709"/>
      <c r="P14" s="709"/>
      <c r="Q14" s="709"/>
      <c r="R14" s="709"/>
      <c r="S14" s="709"/>
      <c r="T14" s="709"/>
      <c r="U14" s="709"/>
      <c r="V14" s="709"/>
      <c r="W14" s="709"/>
      <c r="X14" s="709"/>
      <c r="Y14" s="709"/>
      <c r="Z14" s="709"/>
      <c r="AA14" s="709"/>
      <c r="AB14" s="709"/>
      <c r="AC14" s="709"/>
    </row>
    <row r="15" spans="1:29" s="459" customFormat="1">
      <c r="A15" s="1"/>
      <c r="B15" s="1"/>
      <c r="C15" s="709"/>
      <c r="D15" s="402"/>
      <c r="E15" s="709"/>
      <c r="F15" s="709"/>
      <c r="G15" s="709"/>
      <c r="H15" s="709"/>
      <c r="I15" s="709"/>
      <c r="J15" s="709"/>
      <c r="K15" s="709"/>
      <c r="L15" s="709"/>
      <c r="M15" s="709"/>
      <c r="N15" s="709"/>
      <c r="O15" s="709"/>
      <c r="P15" s="709"/>
      <c r="Q15" s="709"/>
      <c r="R15" s="709"/>
      <c r="S15" s="709"/>
      <c r="T15" s="709"/>
      <c r="U15" s="709"/>
      <c r="V15" s="709"/>
      <c r="W15" s="709"/>
      <c r="X15" s="709"/>
      <c r="Y15" s="709"/>
      <c r="Z15" s="709"/>
      <c r="AA15" s="709"/>
      <c r="AB15" s="709"/>
      <c r="AC15" s="709"/>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1064</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1067</v>
      </c>
      <c r="B18" s="130" t="s">
        <v>449</v>
      </c>
      <c r="C18" s="728" t="str">
        <f>Regions!C3</f>
        <v>IE</v>
      </c>
      <c r="D18" s="728" t="str">
        <f>Regions!E3</f>
        <v>IE-CW</v>
      </c>
      <c r="E18" s="728" t="str">
        <f>Regions!F3</f>
        <v>IE-D</v>
      </c>
      <c r="F18" s="728" t="str">
        <f>Regions!G3</f>
        <v>IE-KE</v>
      </c>
      <c r="G18" s="728" t="str">
        <f>Regions!H3</f>
        <v>IE-KK</v>
      </c>
      <c r="H18" s="728" t="str">
        <f>Regions!I3</f>
        <v>IE-LS</v>
      </c>
      <c r="I18" s="728" t="str">
        <f>Regions!J3</f>
        <v>IE-LD</v>
      </c>
      <c r="J18" s="728" t="str">
        <f>Regions!K3</f>
        <v>IE-LH</v>
      </c>
      <c r="K18" s="728" t="str">
        <f>Regions!L3</f>
        <v>IE-MH</v>
      </c>
      <c r="L18" s="728" t="str">
        <f>Regions!M3</f>
        <v>IE-OY</v>
      </c>
      <c r="M18" s="728" t="str">
        <f>Regions!N3</f>
        <v>IE-WH</v>
      </c>
      <c r="N18" s="728" t="str">
        <f>Regions!O3</f>
        <v>IE-WX</v>
      </c>
      <c r="O18" s="728" t="str">
        <f>Regions!P3</f>
        <v>IE-WW</v>
      </c>
      <c r="P18" s="728" t="str">
        <f>Regions!Q3</f>
        <v>IE-CE</v>
      </c>
      <c r="Q18" s="728" t="str">
        <f>Regions!R3</f>
        <v>IE-CO</v>
      </c>
      <c r="R18" s="728" t="str">
        <f>Regions!S3</f>
        <v>IE-KY</v>
      </c>
      <c r="S18" s="728" t="str">
        <f>Regions!T3</f>
        <v>IE-LK</v>
      </c>
      <c r="T18" s="728" t="str">
        <f>Regions!U3</f>
        <v>IE-TA</v>
      </c>
      <c r="U18" s="728" t="str">
        <f>Regions!V3</f>
        <v>IE-WD</v>
      </c>
      <c r="V18" s="728" t="str">
        <f>Regions!W3</f>
        <v>IE-G</v>
      </c>
      <c r="W18" s="728" t="str">
        <f>Regions!X3</f>
        <v>IE-LM</v>
      </c>
      <c r="X18" s="728" t="str">
        <f>Regions!Y3</f>
        <v>IE-MO</v>
      </c>
      <c r="Y18" s="728" t="str">
        <f>Regions!Z3</f>
        <v>IE-RN</v>
      </c>
      <c r="Z18" s="728" t="str">
        <f>Regions!AA3</f>
        <v>IE-SO</v>
      </c>
      <c r="AA18" s="728" t="str">
        <f>Regions!AB3</f>
        <v>IE-CN</v>
      </c>
      <c r="AB18" s="728" t="str">
        <f>Regions!AC3</f>
        <v>IE-DL</v>
      </c>
      <c r="AC18" s="728" t="str">
        <f>Regions!AD3</f>
        <v>IE-MN</v>
      </c>
    </row>
    <row r="19" spans="1:29" s="459" customFormat="1">
      <c r="A19" s="459" t="s">
        <v>452</v>
      </c>
      <c r="B19" s="39" t="s">
        <v>1065</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453</v>
      </c>
      <c r="B20" s="39" t="s">
        <v>372</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454</v>
      </c>
      <c r="B21" s="579" t="s">
        <v>1066</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9"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75">
      <c r="A26" s="401" t="s">
        <v>1069</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360</v>
      </c>
      <c r="B27" s="132" t="s">
        <v>361</v>
      </c>
      <c r="C27" s="728" t="str">
        <f>Regions!C3</f>
        <v>IE</v>
      </c>
      <c r="D27" s="728" t="str">
        <f>Regions!E3</f>
        <v>IE-CW</v>
      </c>
      <c r="E27" s="728" t="str">
        <f>Regions!F3</f>
        <v>IE-D</v>
      </c>
      <c r="F27" s="728" t="str">
        <f>Regions!G3</f>
        <v>IE-KE</v>
      </c>
      <c r="G27" s="728" t="str">
        <f>Regions!H3</f>
        <v>IE-KK</v>
      </c>
      <c r="H27" s="728" t="str">
        <f>Regions!I3</f>
        <v>IE-LS</v>
      </c>
      <c r="I27" s="728" t="str">
        <f>Regions!J3</f>
        <v>IE-LD</v>
      </c>
      <c r="J27" s="728" t="str">
        <f>Regions!K3</f>
        <v>IE-LH</v>
      </c>
      <c r="K27" s="728" t="str">
        <f>Regions!L3</f>
        <v>IE-MH</v>
      </c>
      <c r="L27" s="728" t="str">
        <f>Regions!M3</f>
        <v>IE-OY</v>
      </c>
      <c r="M27" s="728" t="str">
        <f>Regions!N3</f>
        <v>IE-WH</v>
      </c>
      <c r="N27" s="728" t="str">
        <f>Regions!O3</f>
        <v>IE-WX</v>
      </c>
      <c r="O27" s="728" t="str">
        <f>Regions!P3</f>
        <v>IE-WW</v>
      </c>
      <c r="P27" s="728" t="str">
        <f>Regions!Q3</f>
        <v>IE-CE</v>
      </c>
      <c r="Q27" s="728" t="str">
        <f>Regions!R3</f>
        <v>IE-CO</v>
      </c>
      <c r="R27" s="728" t="str">
        <f>Regions!S3</f>
        <v>IE-KY</v>
      </c>
      <c r="S27" s="728" t="str">
        <f>Regions!T3</f>
        <v>IE-LK</v>
      </c>
      <c r="T27" s="728" t="str">
        <f>Regions!U3</f>
        <v>IE-TA</v>
      </c>
      <c r="U27" s="728" t="str">
        <f>Regions!V3</f>
        <v>IE-WD</v>
      </c>
      <c r="V27" s="728" t="str">
        <f>Regions!W3</f>
        <v>IE-G</v>
      </c>
      <c r="W27" s="728" t="str">
        <f>Regions!X3</f>
        <v>IE-LM</v>
      </c>
      <c r="X27" s="728" t="str">
        <f>Regions!Y3</f>
        <v>IE-MO</v>
      </c>
      <c r="Y27" s="728" t="str">
        <f>Regions!Z3</f>
        <v>IE-RN</v>
      </c>
      <c r="Z27" s="728" t="str">
        <f>Regions!AA3</f>
        <v>IE-SO</v>
      </c>
      <c r="AA27" s="728" t="str">
        <f>Regions!AB3</f>
        <v>IE-CN</v>
      </c>
      <c r="AB27" s="728" t="str">
        <f>Regions!AC3</f>
        <v>IE-DL</v>
      </c>
      <c r="AC27" s="728" t="str">
        <f>Regions!AD3</f>
        <v>IE-MN</v>
      </c>
    </row>
    <row r="28" spans="1:29" s="459" customFormat="1">
      <c r="A28" s="459" t="s">
        <v>367</v>
      </c>
      <c r="B28" s="459" t="s">
        <v>362</v>
      </c>
      <c r="C28" s="712">
        <f t="shared" ref="C28:D34" si="13">C356/C$364</f>
        <v>0.32377983784854231</v>
      </c>
      <c r="D28" s="712">
        <f t="shared" si="13"/>
        <v>0.29539615700051852</v>
      </c>
      <c r="E28" s="712">
        <f t="shared" ref="E28:AC28" si="14">E356/E$364</f>
        <v>0.34966256439645477</v>
      </c>
      <c r="F28" s="712">
        <f t="shared" si="14"/>
        <v>0.31311359703458036</v>
      </c>
      <c r="G28" s="712">
        <f t="shared" si="14"/>
        <v>0.30099430857485032</v>
      </c>
      <c r="H28" s="712">
        <f t="shared" si="14"/>
        <v>0.32585784427063491</v>
      </c>
      <c r="I28" s="712">
        <f t="shared" si="14"/>
        <v>0.31296089693181006</v>
      </c>
      <c r="J28" s="712">
        <f t="shared" si="14"/>
        <v>0.34414959934244926</v>
      </c>
      <c r="K28" s="712">
        <f t="shared" si="14"/>
        <v>0.31640567871855385</v>
      </c>
      <c r="L28" s="712">
        <f t="shared" si="14"/>
        <v>0.30551897544605799</v>
      </c>
      <c r="M28" s="712">
        <f t="shared" si="14"/>
        <v>0.30690900126975923</v>
      </c>
      <c r="N28" s="712">
        <f t="shared" si="14"/>
        <v>0.29742024558167873</v>
      </c>
      <c r="O28" s="712">
        <f t="shared" si="14"/>
        <v>0.31985079986061538</v>
      </c>
      <c r="P28" s="712">
        <f t="shared" si="14"/>
        <v>0.30317740338092081</v>
      </c>
      <c r="Q28" s="712">
        <f t="shared" si="14"/>
        <v>0.32755819451934742</v>
      </c>
      <c r="R28" s="712">
        <f t="shared" si="14"/>
        <v>0.29108733491927802</v>
      </c>
      <c r="S28" s="712">
        <f t="shared" si="14"/>
        <v>0.32210907481657336</v>
      </c>
      <c r="T28" s="712">
        <f t="shared" si="14"/>
        <v>0.28924149649685427</v>
      </c>
      <c r="U28" s="712">
        <f t="shared" si="14"/>
        <v>0.31716332192128543</v>
      </c>
      <c r="V28" s="712">
        <f t="shared" si="14"/>
        <v>0.31520515014132622</v>
      </c>
      <c r="W28" s="712">
        <f t="shared" si="14"/>
        <v>0.30543827437637427</v>
      </c>
      <c r="X28" s="712">
        <f t="shared" si="14"/>
        <v>0.29765342162432462</v>
      </c>
      <c r="Y28" s="712">
        <f t="shared" si="14"/>
        <v>0.28141024531167946</v>
      </c>
      <c r="Z28" s="712">
        <f t="shared" si="14"/>
        <v>0.32408712009988533</v>
      </c>
      <c r="AA28" s="712">
        <f t="shared" si="14"/>
        <v>0.33773511822059504</v>
      </c>
      <c r="AB28" s="712">
        <f t="shared" si="14"/>
        <v>0.36384480991771728</v>
      </c>
      <c r="AC28" s="712">
        <f t="shared" si="14"/>
        <v>0.29253128431407999</v>
      </c>
    </row>
    <row r="29" spans="1:29" s="459" customFormat="1">
      <c r="B29" s="459" t="s">
        <v>363</v>
      </c>
      <c r="C29" s="712">
        <f t="shared" si="13"/>
        <v>5.3963306308090382E-2</v>
      </c>
      <c r="D29" s="712">
        <f t="shared" si="13"/>
        <v>4.9232692833419758E-2</v>
      </c>
      <c r="E29" s="712">
        <f t="shared" ref="E29:AC29" si="15">E357/E$364</f>
        <v>5.8277094066075792E-2</v>
      </c>
      <c r="F29" s="712">
        <f t="shared" si="15"/>
        <v>5.2185599505763403E-2</v>
      </c>
      <c r="G29" s="712">
        <f t="shared" si="15"/>
        <v>5.016571809580838E-2</v>
      </c>
      <c r="H29" s="712">
        <f t="shared" si="15"/>
        <v>5.4309640711772487E-2</v>
      </c>
      <c r="I29" s="712">
        <f t="shared" si="15"/>
        <v>5.216014948863501E-2</v>
      </c>
      <c r="J29" s="712">
        <f t="shared" si="15"/>
        <v>5.7358266557074891E-2</v>
      </c>
      <c r="K29" s="712">
        <f t="shared" si="15"/>
        <v>5.2734279786425649E-2</v>
      </c>
      <c r="L29" s="712">
        <f t="shared" si="15"/>
        <v>5.0919829241009663E-2</v>
      </c>
      <c r="M29" s="712">
        <f t="shared" si="15"/>
        <v>5.1151500211626538E-2</v>
      </c>
      <c r="N29" s="712">
        <f t="shared" si="15"/>
        <v>4.95700409302798E-2</v>
      </c>
      <c r="O29" s="712">
        <f t="shared" si="15"/>
        <v>5.3308466643435894E-2</v>
      </c>
      <c r="P29" s="712">
        <f t="shared" si="15"/>
        <v>5.052956723015347E-2</v>
      </c>
      <c r="Q29" s="712">
        <f t="shared" si="15"/>
        <v>5.459303241989124E-2</v>
      </c>
      <c r="R29" s="712">
        <f t="shared" si="15"/>
        <v>4.8514555819879672E-2</v>
      </c>
      <c r="S29" s="712">
        <f t="shared" si="15"/>
        <v>5.3684845802762227E-2</v>
      </c>
      <c r="T29" s="712">
        <f t="shared" si="15"/>
        <v>4.8206916082809047E-2</v>
      </c>
      <c r="U29" s="712">
        <f t="shared" si="15"/>
        <v>5.2860553653547575E-2</v>
      </c>
      <c r="V29" s="712">
        <f t="shared" si="15"/>
        <v>5.2534191690221041E-2</v>
      </c>
      <c r="W29" s="712">
        <f t="shared" si="15"/>
        <v>5.0906379062729046E-2</v>
      </c>
      <c r="X29" s="712">
        <f t="shared" si="15"/>
        <v>4.9608903604054101E-2</v>
      </c>
      <c r="Y29" s="712">
        <f t="shared" si="15"/>
        <v>4.690170755194658E-2</v>
      </c>
      <c r="Z29" s="712">
        <f t="shared" si="15"/>
        <v>5.4014520016647569E-2</v>
      </c>
      <c r="AA29" s="712">
        <f t="shared" si="15"/>
        <v>5.6289186370099165E-2</v>
      </c>
      <c r="AB29" s="712">
        <f t="shared" si="15"/>
        <v>6.064080165295288E-2</v>
      </c>
      <c r="AC29" s="712">
        <f t="shared" si="15"/>
        <v>4.8755214052346667E-2</v>
      </c>
    </row>
    <row r="30" spans="1:29" s="459" customFormat="1">
      <c r="A30" s="459" t="s">
        <v>364</v>
      </c>
      <c r="B30" s="459" t="s">
        <v>370</v>
      </c>
      <c r="C30" s="717">
        <f t="shared" si="13"/>
        <v>1.2024577456126329E-3</v>
      </c>
      <c r="D30" s="712">
        <f t="shared" si="13"/>
        <v>8.4181954391599476E-4</v>
      </c>
      <c r="E30" s="712">
        <f t="shared" ref="E30:AC30" si="16">E358/E$364</f>
        <v>1.4736843073167786E-3</v>
      </c>
      <c r="F30" s="712">
        <f t="shared" si="16"/>
        <v>1.3698908311171865E-3</v>
      </c>
      <c r="G30" s="712">
        <f t="shared" si="16"/>
        <v>9.8425388735709995E-4</v>
      </c>
      <c r="H30" s="712">
        <f t="shared" si="16"/>
        <v>6.2421004942624992E-4</v>
      </c>
      <c r="I30" s="712">
        <f t="shared" si="16"/>
        <v>1.2422933671109623E-3</v>
      </c>
      <c r="J30" s="712">
        <f t="shared" si="16"/>
        <v>8.6646068484003841E-4</v>
      </c>
      <c r="K30" s="712">
        <f t="shared" si="16"/>
        <v>1.3159890714686659E-3</v>
      </c>
      <c r="L30" s="712">
        <f t="shared" si="16"/>
        <v>1.2716318220191991E-3</v>
      </c>
      <c r="M30" s="712">
        <f t="shared" si="16"/>
        <v>1.1218737998245681E-3</v>
      </c>
      <c r="N30" s="712">
        <f t="shared" si="16"/>
        <v>1.2891857705150252E-3</v>
      </c>
      <c r="O30" s="712">
        <f t="shared" si="16"/>
        <v>1.4574437703184118E-3</v>
      </c>
      <c r="P30" s="712">
        <f t="shared" si="16"/>
        <v>1.2419671387040388E-3</v>
      </c>
      <c r="Q30" s="712">
        <f t="shared" si="16"/>
        <v>1.4684396048311016E-3</v>
      </c>
      <c r="R30" s="712">
        <f t="shared" si="16"/>
        <v>9.5921086863546602E-4</v>
      </c>
      <c r="S30" s="712">
        <f t="shared" si="16"/>
        <v>1.0725657999581929E-3</v>
      </c>
      <c r="T30" s="712">
        <f t="shared" si="16"/>
        <v>1.1764845294377178E-3</v>
      </c>
      <c r="U30" s="712">
        <f t="shared" si="16"/>
        <v>1.3287962602263445E-3</v>
      </c>
      <c r="V30" s="712">
        <f t="shared" si="16"/>
        <v>7.9269582890742734E-4</v>
      </c>
      <c r="W30" s="712">
        <f t="shared" si="16"/>
        <v>0</v>
      </c>
      <c r="X30" s="712">
        <f t="shared" si="16"/>
        <v>7.4007830335184128E-4</v>
      </c>
      <c r="Y30" s="712">
        <f t="shared" si="16"/>
        <v>7.0738302217035411E-4</v>
      </c>
      <c r="Z30" s="712">
        <f t="shared" si="16"/>
        <v>8.0234115950314402E-4</v>
      </c>
      <c r="AA30" s="712">
        <f t="shared" si="16"/>
        <v>7.1933080869381386E-4</v>
      </c>
      <c r="AB30" s="712">
        <f t="shared" si="16"/>
        <v>7.4164409782466955E-4</v>
      </c>
      <c r="AC30" s="712">
        <f t="shared" si="16"/>
        <v>7.7316749378532367E-4</v>
      </c>
    </row>
    <row r="31" spans="1:29" s="459" customFormat="1">
      <c r="B31" s="459" t="s">
        <v>369</v>
      </c>
      <c r="C31" s="712">
        <f>C359/C$364</f>
        <v>0.51421690231633799</v>
      </c>
      <c r="D31" s="712">
        <f t="shared" si="13"/>
        <v>0.57696936147650701</v>
      </c>
      <c r="E31" s="712">
        <f t="shared" ref="E31:AC31" si="17">E359/E$364</f>
        <v>0.41519891685215071</v>
      </c>
      <c r="F31" s="712">
        <f t="shared" si="17"/>
        <v>0.53837411623785481</v>
      </c>
      <c r="G31" s="712">
        <f t="shared" si="17"/>
        <v>0.5273035898540861</v>
      </c>
      <c r="H31" s="712">
        <f t="shared" si="17"/>
        <v>0.54428190464659498</v>
      </c>
      <c r="I31" s="712">
        <f t="shared" si="17"/>
        <v>0.54724418926165252</v>
      </c>
      <c r="J31" s="712">
        <f t="shared" si="17"/>
        <v>0.50629481396736598</v>
      </c>
      <c r="K31" s="712">
        <f t="shared" si="17"/>
        <v>0.54969956239724382</v>
      </c>
      <c r="L31" s="712">
        <f t="shared" si="17"/>
        <v>0.54286879912927866</v>
      </c>
      <c r="M31" s="712">
        <f t="shared" si="17"/>
        <v>0.57050800443626981</v>
      </c>
      <c r="N31" s="712">
        <f t="shared" si="17"/>
        <v>0.57834017325166753</v>
      </c>
      <c r="O31" s="712">
        <f t="shared" si="17"/>
        <v>0.54807767476728875</v>
      </c>
      <c r="P31" s="712">
        <f t="shared" si="17"/>
        <v>0.57445550608131724</v>
      </c>
      <c r="Q31" s="712">
        <f t="shared" si="17"/>
        <v>0.54514159019281827</v>
      </c>
      <c r="R31" s="712">
        <f t="shared" si="17"/>
        <v>0.52942173322971142</v>
      </c>
      <c r="S31" s="712">
        <f t="shared" si="17"/>
        <v>0.54890743812317566</v>
      </c>
      <c r="T31" s="712">
        <f t="shared" si="17"/>
        <v>0.57655830557717536</v>
      </c>
      <c r="U31" s="712">
        <f t="shared" si="17"/>
        <v>0.56469028513375741</v>
      </c>
      <c r="V31" s="712">
        <f t="shared" si="17"/>
        <v>0.5314898835087899</v>
      </c>
      <c r="W31" s="712">
        <f t="shared" si="17"/>
        <v>0.5710449216561202</v>
      </c>
      <c r="X31" s="712">
        <f t="shared" si="17"/>
        <v>0.54463316447281129</v>
      </c>
      <c r="Y31" s="712">
        <f t="shared" si="17"/>
        <v>0.60580683229929833</v>
      </c>
      <c r="Z31" s="712">
        <f t="shared" si="17"/>
        <v>0.54575340066281097</v>
      </c>
      <c r="AA31" s="712">
        <f t="shared" si="17"/>
        <v>0.57130392959697351</v>
      </c>
      <c r="AB31" s="712">
        <f t="shared" si="17"/>
        <v>0.56067924597798535</v>
      </c>
      <c r="AC31" s="712">
        <f t="shared" si="17"/>
        <v>0.49285227418620653</v>
      </c>
    </row>
    <row r="32" spans="1:29" s="459" customFormat="1">
      <c r="A32" s="459" t="s">
        <v>326</v>
      </c>
      <c r="B32" s="459" t="s">
        <v>366</v>
      </c>
      <c r="C32" s="712">
        <f t="shared" si="13"/>
        <v>1.6399604421517593E-2</v>
      </c>
      <c r="D32" s="712">
        <f t="shared" si="13"/>
        <v>7.4490307781118984E-3</v>
      </c>
      <c r="E32" s="712">
        <f t="shared" ref="E32:AC32" si="18">E360/E$364</f>
        <v>3.2041705931306341E-2</v>
      </c>
      <c r="F32" s="712">
        <f t="shared" si="18"/>
        <v>1.4142087272297982E-2</v>
      </c>
      <c r="G32" s="712">
        <f t="shared" si="18"/>
        <v>7.8384539751406128E-3</v>
      </c>
      <c r="H32" s="712">
        <f t="shared" si="18"/>
        <v>9.942235039347571E-3</v>
      </c>
      <c r="I32" s="712">
        <f t="shared" si="18"/>
        <v>8.7941712391293846E-3</v>
      </c>
      <c r="J32" s="712">
        <f t="shared" si="18"/>
        <v>1.9167683727598969E-2</v>
      </c>
      <c r="K32" s="712">
        <f t="shared" si="18"/>
        <v>1.9563309645198885E-2</v>
      </c>
      <c r="L32" s="712">
        <f t="shared" si="18"/>
        <v>6.7513932047123726E-3</v>
      </c>
      <c r="M32" s="712">
        <f t="shared" si="18"/>
        <v>1.1912585101328303E-2</v>
      </c>
      <c r="N32" s="712">
        <f t="shared" si="18"/>
        <v>6.2742086519266488E-3</v>
      </c>
      <c r="O32" s="712">
        <f t="shared" si="18"/>
        <v>9.0275647633180547E-3</v>
      </c>
      <c r="P32" s="712">
        <f t="shared" si="18"/>
        <v>1.0257172186811273E-2</v>
      </c>
      <c r="Q32" s="712">
        <f t="shared" si="18"/>
        <v>1.2127565539618518E-2</v>
      </c>
      <c r="R32" s="712">
        <f t="shared" si="18"/>
        <v>1.0185353383353699E-2</v>
      </c>
      <c r="S32" s="712">
        <f t="shared" si="18"/>
        <v>1.2812635692286438E-2</v>
      </c>
      <c r="T32" s="712">
        <f t="shared" si="18"/>
        <v>5.2051948265462115E-3</v>
      </c>
      <c r="U32" s="712">
        <f t="shared" si="18"/>
        <v>8.6226466174633056E-3</v>
      </c>
      <c r="V32" s="712">
        <f t="shared" si="18"/>
        <v>1.3327262086971724E-2</v>
      </c>
      <c r="W32" s="712">
        <f t="shared" si="18"/>
        <v>8.2106842864435349E-3</v>
      </c>
      <c r="X32" s="712">
        <f t="shared" si="18"/>
        <v>7.2036254203120672E-3</v>
      </c>
      <c r="Y32" s="712">
        <f t="shared" si="18"/>
        <v>6.2594387860714779E-3</v>
      </c>
      <c r="Z32" s="712">
        <f t="shared" si="18"/>
        <v>8.5196368293601697E-3</v>
      </c>
      <c r="AA32" s="712">
        <f t="shared" si="18"/>
        <v>8.9112260712667282E-3</v>
      </c>
      <c r="AB32" s="712">
        <f t="shared" si="18"/>
        <v>9.8439085033626087E-3</v>
      </c>
      <c r="AC32" s="712">
        <f t="shared" si="18"/>
        <v>4.1049285439853662E-3</v>
      </c>
    </row>
    <row r="33" spans="1:29" s="459" customFormat="1">
      <c r="B33" s="459" t="s">
        <v>617</v>
      </c>
      <c r="C33" s="712">
        <f t="shared" si="13"/>
        <v>8.2740995898888392E-2</v>
      </c>
      <c r="D33" s="712">
        <f t="shared" si="13"/>
        <v>7.0110938367526743E-2</v>
      </c>
      <c r="E33" s="712">
        <f t="shared" ref="E33:AC33" si="19">E361/E$364</f>
        <v>0.1139689510378053</v>
      </c>
      <c r="F33" s="712">
        <f t="shared" si="19"/>
        <v>8.0814709118386313E-2</v>
      </c>
      <c r="G33" s="712">
        <f t="shared" si="19"/>
        <v>0.11271367561275741</v>
      </c>
      <c r="H33" s="712">
        <f t="shared" si="19"/>
        <v>6.4984165282223824E-2</v>
      </c>
      <c r="I33" s="712">
        <f t="shared" si="19"/>
        <v>7.7598299711661989E-2</v>
      </c>
      <c r="J33" s="712">
        <f t="shared" si="19"/>
        <v>7.216317572067088E-2</v>
      </c>
      <c r="K33" s="712">
        <f t="shared" si="19"/>
        <v>6.0281180381109148E-2</v>
      </c>
      <c r="L33" s="712">
        <f t="shared" si="19"/>
        <v>9.2669371156921962E-2</v>
      </c>
      <c r="M33" s="712">
        <f t="shared" si="19"/>
        <v>5.839703518119168E-2</v>
      </c>
      <c r="N33" s="712">
        <f t="shared" si="19"/>
        <v>6.7106145813932178E-2</v>
      </c>
      <c r="O33" s="712">
        <f t="shared" si="19"/>
        <v>6.8278050195023532E-2</v>
      </c>
      <c r="P33" s="712">
        <f t="shared" si="19"/>
        <v>6.0338383982093263E-2</v>
      </c>
      <c r="Q33" s="712">
        <f t="shared" si="19"/>
        <v>5.9111177723493433E-2</v>
      </c>
      <c r="R33" s="712">
        <f t="shared" si="19"/>
        <v>0.11983181177914175</v>
      </c>
      <c r="S33" s="712">
        <f t="shared" si="19"/>
        <v>6.1413439765244195E-2</v>
      </c>
      <c r="T33" s="712">
        <f t="shared" si="19"/>
        <v>7.9611602487177441E-2</v>
      </c>
      <c r="U33" s="712">
        <f t="shared" si="19"/>
        <v>5.5334396413720018E-2</v>
      </c>
      <c r="V33" s="712">
        <f t="shared" si="19"/>
        <v>8.6650816743783748E-2</v>
      </c>
      <c r="W33" s="712">
        <f t="shared" si="19"/>
        <v>6.4399740618333048E-2</v>
      </c>
      <c r="X33" s="712">
        <f t="shared" si="19"/>
        <v>0.10016080657514609</v>
      </c>
      <c r="Y33" s="712">
        <f t="shared" si="19"/>
        <v>5.8914393028833764E-2</v>
      </c>
      <c r="Z33" s="712">
        <f t="shared" si="19"/>
        <v>6.6822981231792783E-2</v>
      </c>
      <c r="AA33" s="712">
        <f t="shared" si="19"/>
        <v>2.5041208932371696E-2</v>
      </c>
      <c r="AB33" s="712">
        <f t="shared" si="19"/>
        <v>4.2495898501573662E-3</v>
      </c>
      <c r="AC33" s="712">
        <f t="shared" si="19"/>
        <v>0.16098313140959611</v>
      </c>
    </row>
    <row r="34" spans="1:29" s="459" customFormat="1">
      <c r="B34" s="459" t="s">
        <v>604</v>
      </c>
      <c r="C34" s="712">
        <f t="shared" si="13"/>
        <v>7.6968954610109105E-3</v>
      </c>
      <c r="D34" s="712">
        <f t="shared" si="13"/>
        <v>0</v>
      </c>
      <c r="E34" s="712">
        <f t="shared" ref="E34:AC34" si="20">E362/E$364</f>
        <v>2.9377083408890298E-2</v>
      </c>
      <c r="F34" s="712">
        <f t="shared" si="20"/>
        <v>0</v>
      </c>
      <c r="G34" s="712">
        <f t="shared" si="20"/>
        <v>0</v>
      </c>
      <c r="H34" s="712">
        <f t="shared" si="20"/>
        <v>0</v>
      </c>
      <c r="I34" s="712">
        <f t="shared" si="20"/>
        <v>0</v>
      </c>
      <c r="J34" s="712">
        <f t="shared" si="20"/>
        <v>0</v>
      </c>
      <c r="K34" s="712">
        <f t="shared" si="20"/>
        <v>0</v>
      </c>
      <c r="L34" s="712">
        <f t="shared" si="20"/>
        <v>0</v>
      </c>
      <c r="M34" s="712">
        <f t="shared" si="20"/>
        <v>0</v>
      </c>
      <c r="N34" s="712">
        <f t="shared" si="20"/>
        <v>0</v>
      </c>
      <c r="O34" s="712">
        <f t="shared" si="20"/>
        <v>0</v>
      </c>
      <c r="P34" s="712">
        <f t="shared" si="20"/>
        <v>0</v>
      </c>
      <c r="Q34" s="712">
        <f t="shared" si="20"/>
        <v>0</v>
      </c>
      <c r="R34" s="712">
        <f t="shared" si="20"/>
        <v>0</v>
      </c>
      <c r="S34" s="712">
        <f t="shared" si="20"/>
        <v>0</v>
      </c>
      <c r="T34" s="712">
        <f t="shared" si="20"/>
        <v>0</v>
      </c>
      <c r="U34" s="712">
        <f t="shared" si="20"/>
        <v>0</v>
      </c>
      <c r="V34" s="712">
        <f t="shared" si="20"/>
        <v>0</v>
      </c>
      <c r="W34" s="712">
        <f t="shared" si="20"/>
        <v>0</v>
      </c>
      <c r="X34" s="712">
        <f t="shared" si="20"/>
        <v>0</v>
      </c>
      <c r="Y34" s="712">
        <f t="shared" si="20"/>
        <v>0</v>
      </c>
      <c r="Z34" s="712">
        <f t="shared" si="20"/>
        <v>0</v>
      </c>
      <c r="AA34" s="712">
        <f t="shared" si="20"/>
        <v>0</v>
      </c>
      <c r="AB34" s="712">
        <f t="shared" si="20"/>
        <v>0</v>
      </c>
      <c r="AC34" s="712">
        <f t="shared" si="20"/>
        <v>0</v>
      </c>
    </row>
    <row r="35" spans="1:29" s="459" customFormat="1">
      <c r="B35" s="459" t="s">
        <v>368</v>
      </c>
      <c r="C35" s="712">
        <v>0</v>
      </c>
      <c r="D35" s="712">
        <v>0</v>
      </c>
      <c r="E35" s="712">
        <v>0</v>
      </c>
      <c r="F35" s="712">
        <v>0</v>
      </c>
      <c r="G35" s="712">
        <v>0</v>
      </c>
      <c r="H35" s="712">
        <v>0</v>
      </c>
      <c r="I35" s="712">
        <v>0</v>
      </c>
      <c r="J35" s="712">
        <v>0</v>
      </c>
      <c r="K35" s="712">
        <v>0</v>
      </c>
      <c r="L35" s="712">
        <v>0</v>
      </c>
      <c r="M35" s="712">
        <v>0</v>
      </c>
      <c r="N35" s="712">
        <v>0</v>
      </c>
      <c r="O35" s="712">
        <v>0</v>
      </c>
      <c r="P35" s="712">
        <v>0</v>
      </c>
      <c r="Q35" s="712">
        <v>0</v>
      </c>
      <c r="R35" s="712">
        <v>0</v>
      </c>
      <c r="S35" s="712">
        <v>0</v>
      </c>
      <c r="T35" s="712">
        <v>0</v>
      </c>
      <c r="U35" s="712">
        <v>0</v>
      </c>
      <c r="V35" s="712">
        <v>0</v>
      </c>
      <c r="W35" s="712">
        <v>0</v>
      </c>
      <c r="X35" s="712">
        <v>0</v>
      </c>
      <c r="Y35" s="712">
        <v>0</v>
      </c>
      <c r="Z35" s="712">
        <v>0</v>
      </c>
      <c r="AA35" s="712">
        <v>0</v>
      </c>
      <c r="AB35" s="712">
        <v>0</v>
      </c>
      <c r="AC35" s="712">
        <v>0</v>
      </c>
    </row>
    <row r="36" spans="1:29" s="459" customFormat="1">
      <c r="A36" s="458"/>
      <c r="B36" s="676"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75">
      <c r="A40" s="401" t="s">
        <v>1073</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360</v>
      </c>
      <c r="B41" s="132" t="s">
        <v>361</v>
      </c>
      <c r="C41" s="728" t="str">
        <f>Regions!C3</f>
        <v>IE</v>
      </c>
      <c r="D41" s="728" t="str">
        <f>Regions!E3</f>
        <v>IE-CW</v>
      </c>
      <c r="E41" s="728" t="str">
        <f>Regions!F3</f>
        <v>IE-D</v>
      </c>
      <c r="F41" s="728" t="str">
        <f>Regions!G3</f>
        <v>IE-KE</v>
      </c>
      <c r="G41" s="728" t="str">
        <f>Regions!H3</f>
        <v>IE-KK</v>
      </c>
      <c r="H41" s="728" t="str">
        <f>Regions!I3</f>
        <v>IE-LS</v>
      </c>
      <c r="I41" s="728" t="str">
        <f>Regions!J3</f>
        <v>IE-LD</v>
      </c>
      <c r="J41" s="728" t="str">
        <f>Regions!K3</f>
        <v>IE-LH</v>
      </c>
      <c r="K41" s="728" t="str">
        <f>Regions!L3</f>
        <v>IE-MH</v>
      </c>
      <c r="L41" s="728" t="str">
        <f>Regions!M3</f>
        <v>IE-OY</v>
      </c>
      <c r="M41" s="728" t="str">
        <f>Regions!N3</f>
        <v>IE-WH</v>
      </c>
      <c r="N41" s="728" t="str">
        <f>Regions!O3</f>
        <v>IE-WX</v>
      </c>
      <c r="O41" s="728" t="str">
        <f>Regions!P3</f>
        <v>IE-WW</v>
      </c>
      <c r="P41" s="728" t="str">
        <f>Regions!Q3</f>
        <v>IE-CE</v>
      </c>
      <c r="Q41" s="728" t="str">
        <f>Regions!R3</f>
        <v>IE-CO</v>
      </c>
      <c r="R41" s="728" t="str">
        <f>Regions!S3</f>
        <v>IE-KY</v>
      </c>
      <c r="S41" s="728" t="str">
        <f>Regions!T3</f>
        <v>IE-LK</v>
      </c>
      <c r="T41" s="728" t="str">
        <f>Regions!U3</f>
        <v>IE-TA</v>
      </c>
      <c r="U41" s="728" t="str">
        <f>Regions!V3</f>
        <v>IE-WD</v>
      </c>
      <c r="V41" s="728" t="str">
        <f>Regions!W3</f>
        <v>IE-G</v>
      </c>
      <c r="W41" s="728" t="str">
        <f>Regions!X3</f>
        <v>IE-LM</v>
      </c>
      <c r="X41" s="728" t="str">
        <f>Regions!Y3</f>
        <v>IE-MO</v>
      </c>
      <c r="Y41" s="728" t="str">
        <f>Regions!Z3</f>
        <v>IE-RN</v>
      </c>
      <c r="Z41" s="728" t="str">
        <f>Regions!AA3</f>
        <v>IE-SO</v>
      </c>
      <c r="AA41" s="728" t="str">
        <f>Regions!AB3</f>
        <v>IE-CN</v>
      </c>
      <c r="AB41" s="728" t="str">
        <f>Regions!AC3</f>
        <v>IE-DL</v>
      </c>
      <c r="AC41" s="728" t="str">
        <f>Regions!AD3</f>
        <v>IE-MN</v>
      </c>
    </row>
    <row r="42" spans="1:29" s="459" customFormat="1">
      <c r="A42" s="459" t="s">
        <v>367</v>
      </c>
      <c r="B42" s="459" t="s">
        <v>362</v>
      </c>
      <c r="C42" s="712">
        <f>C370/C$378</f>
        <v>0</v>
      </c>
      <c r="D42" s="712">
        <f t="shared" ref="D42:AC49" si="22">D370/D$378</f>
        <v>0</v>
      </c>
      <c r="E42" s="712">
        <f t="shared" si="22"/>
        <v>0</v>
      </c>
      <c r="F42" s="712">
        <f t="shared" si="22"/>
        <v>0</v>
      </c>
      <c r="G42" s="712">
        <f t="shared" si="22"/>
        <v>0</v>
      </c>
      <c r="H42" s="712">
        <f t="shared" si="22"/>
        <v>0</v>
      </c>
      <c r="I42" s="712">
        <f t="shared" si="22"/>
        <v>0</v>
      </c>
      <c r="J42" s="712">
        <f t="shared" si="22"/>
        <v>0</v>
      </c>
      <c r="K42" s="712">
        <f t="shared" si="22"/>
        <v>0</v>
      </c>
      <c r="L42" s="712">
        <f t="shared" si="22"/>
        <v>0</v>
      </c>
      <c r="M42" s="712">
        <f t="shared" si="22"/>
        <v>0</v>
      </c>
      <c r="N42" s="712">
        <f t="shared" si="22"/>
        <v>0</v>
      </c>
      <c r="O42" s="712">
        <f t="shared" si="22"/>
        <v>0</v>
      </c>
      <c r="P42" s="712">
        <f t="shared" si="22"/>
        <v>0</v>
      </c>
      <c r="Q42" s="712">
        <f t="shared" si="22"/>
        <v>0</v>
      </c>
      <c r="R42" s="712">
        <f t="shared" si="22"/>
        <v>0</v>
      </c>
      <c r="S42" s="712">
        <f t="shared" si="22"/>
        <v>0</v>
      </c>
      <c r="T42" s="712">
        <f t="shared" si="22"/>
        <v>0</v>
      </c>
      <c r="U42" s="712">
        <f t="shared" si="22"/>
        <v>0</v>
      </c>
      <c r="V42" s="712">
        <f t="shared" si="22"/>
        <v>0</v>
      </c>
      <c r="W42" s="712">
        <f t="shared" si="22"/>
        <v>0</v>
      </c>
      <c r="X42" s="712">
        <f t="shared" si="22"/>
        <v>0</v>
      </c>
      <c r="Y42" s="712">
        <f t="shared" si="22"/>
        <v>0</v>
      </c>
      <c r="Z42" s="712">
        <f t="shared" si="22"/>
        <v>0</v>
      </c>
      <c r="AA42" s="712">
        <f t="shared" si="22"/>
        <v>0</v>
      </c>
      <c r="AB42" s="712">
        <f t="shared" si="22"/>
        <v>0</v>
      </c>
      <c r="AC42" s="712">
        <f t="shared" si="22"/>
        <v>0</v>
      </c>
    </row>
    <row r="43" spans="1:29" s="459" customFormat="1">
      <c r="B43" s="459" t="s">
        <v>363</v>
      </c>
      <c r="C43" s="712">
        <f t="shared" ref="C43:R49" si="23">C371/C$378</f>
        <v>0</v>
      </c>
      <c r="D43" s="712">
        <f t="shared" si="23"/>
        <v>0</v>
      </c>
      <c r="E43" s="712">
        <f t="shared" si="23"/>
        <v>0</v>
      </c>
      <c r="F43" s="712">
        <f t="shared" si="23"/>
        <v>0</v>
      </c>
      <c r="G43" s="712">
        <f t="shared" si="23"/>
        <v>0</v>
      </c>
      <c r="H43" s="712">
        <f t="shared" si="23"/>
        <v>0</v>
      </c>
      <c r="I43" s="712">
        <f t="shared" si="23"/>
        <v>0</v>
      </c>
      <c r="J43" s="712">
        <f t="shared" si="23"/>
        <v>0</v>
      </c>
      <c r="K43" s="712">
        <f t="shared" si="23"/>
        <v>0</v>
      </c>
      <c r="L43" s="712">
        <f t="shared" si="23"/>
        <v>0</v>
      </c>
      <c r="M43" s="712">
        <f t="shared" si="23"/>
        <v>0</v>
      </c>
      <c r="N43" s="712">
        <f t="shared" si="23"/>
        <v>0</v>
      </c>
      <c r="O43" s="712">
        <f t="shared" si="23"/>
        <v>0</v>
      </c>
      <c r="P43" s="712">
        <f t="shared" si="23"/>
        <v>0</v>
      </c>
      <c r="Q43" s="712">
        <f t="shared" si="23"/>
        <v>0</v>
      </c>
      <c r="R43" s="712">
        <f t="shared" si="23"/>
        <v>0</v>
      </c>
      <c r="S43" s="712">
        <f t="shared" si="22"/>
        <v>0</v>
      </c>
      <c r="T43" s="712">
        <f t="shared" si="22"/>
        <v>0</v>
      </c>
      <c r="U43" s="712">
        <f t="shared" si="22"/>
        <v>0</v>
      </c>
      <c r="V43" s="712">
        <f t="shared" si="22"/>
        <v>0</v>
      </c>
      <c r="W43" s="712">
        <f t="shared" si="22"/>
        <v>0</v>
      </c>
      <c r="X43" s="712">
        <f t="shared" si="22"/>
        <v>0</v>
      </c>
      <c r="Y43" s="712">
        <f t="shared" si="22"/>
        <v>0</v>
      </c>
      <c r="Z43" s="712">
        <f t="shared" si="22"/>
        <v>0</v>
      </c>
      <c r="AA43" s="712">
        <f t="shared" si="22"/>
        <v>0</v>
      </c>
      <c r="AB43" s="712">
        <f t="shared" si="22"/>
        <v>0</v>
      </c>
      <c r="AC43" s="712">
        <f t="shared" si="22"/>
        <v>0</v>
      </c>
    </row>
    <row r="44" spans="1:29" s="459" customFormat="1">
      <c r="A44" s="459" t="s">
        <v>364</v>
      </c>
      <c r="B44" s="459" t="s">
        <v>370</v>
      </c>
      <c r="C44" s="717">
        <f t="shared" si="23"/>
        <v>3.2739468688573266E-3</v>
      </c>
      <c r="D44" s="712">
        <f t="shared" si="22"/>
        <v>2.1586268841599747E-3</v>
      </c>
      <c r="E44" s="712">
        <f t="shared" si="22"/>
        <v>4.3137182635283444E-3</v>
      </c>
      <c r="F44" s="712">
        <f t="shared" si="22"/>
        <v>3.6319751739066989E-3</v>
      </c>
      <c r="G44" s="712">
        <f t="shared" si="22"/>
        <v>2.5491869155235955E-3</v>
      </c>
      <c r="H44" s="712">
        <f t="shared" si="22"/>
        <v>1.6941154698507114E-3</v>
      </c>
      <c r="I44" s="712">
        <f t="shared" si="22"/>
        <v>3.2883004760979389E-3</v>
      </c>
      <c r="J44" s="712">
        <f t="shared" si="22"/>
        <v>2.4416088687366478E-3</v>
      </c>
      <c r="K44" s="712">
        <f t="shared" si="22"/>
        <v>3.5159102982178412E-3</v>
      </c>
      <c r="L44" s="712">
        <f t="shared" si="22"/>
        <v>3.3185344885490013E-3</v>
      </c>
      <c r="M44" s="712">
        <f t="shared" si="22"/>
        <v>2.939754742265497E-3</v>
      </c>
      <c r="N44" s="712">
        <f t="shared" si="22"/>
        <v>3.3151523856669103E-3</v>
      </c>
      <c r="O44" s="712">
        <f t="shared" si="22"/>
        <v>3.906666915379246E-3</v>
      </c>
      <c r="P44" s="712">
        <f t="shared" si="22"/>
        <v>3.2306073901205486E-3</v>
      </c>
      <c r="Q44" s="712">
        <f t="shared" si="22"/>
        <v>3.9969766503394092E-3</v>
      </c>
      <c r="R44" s="712">
        <f t="shared" si="22"/>
        <v>2.4423953155841079E-3</v>
      </c>
      <c r="S44" s="712">
        <f t="shared" si="22"/>
        <v>2.8914591982090753E-3</v>
      </c>
      <c r="T44" s="712">
        <f t="shared" si="22"/>
        <v>2.9812499263931389E-3</v>
      </c>
      <c r="U44" s="712">
        <f t="shared" si="22"/>
        <v>3.5441732524901714E-3</v>
      </c>
      <c r="V44" s="712">
        <f t="shared" si="22"/>
        <v>2.1106258862285242E-3</v>
      </c>
      <c r="W44" s="712">
        <f t="shared" si="22"/>
        <v>0</v>
      </c>
      <c r="X44" s="712">
        <f t="shared" si="22"/>
        <v>1.9054783663146626E-3</v>
      </c>
      <c r="Y44" s="712">
        <f t="shared" si="22"/>
        <v>1.7694736792673005E-3</v>
      </c>
      <c r="Z44" s="712">
        <f t="shared" si="22"/>
        <v>2.1690169741061518E-3</v>
      </c>
      <c r="AA44" s="712">
        <f t="shared" si="22"/>
        <v>1.996201699404686E-3</v>
      </c>
      <c r="AB44" s="712">
        <f t="shared" si="22"/>
        <v>2.1678265957034699E-3</v>
      </c>
      <c r="AC44" s="712">
        <f t="shared" si="22"/>
        <v>1.9708873200458749E-3</v>
      </c>
    </row>
    <row r="45" spans="1:29" s="459" customFormat="1">
      <c r="B45" s="459" t="s">
        <v>369</v>
      </c>
      <c r="C45" s="712">
        <f t="shared" si="23"/>
        <v>0.83405572391255312</v>
      </c>
      <c r="D45" s="712">
        <f t="shared" si="22"/>
        <v>0.88136996225712338</v>
      </c>
      <c r="E45" s="712">
        <f t="shared" si="22"/>
        <v>0.7240198055510555</v>
      </c>
      <c r="F45" s="712">
        <f t="shared" si="22"/>
        <v>0.85033097733510543</v>
      </c>
      <c r="G45" s="712">
        <f t="shared" si="22"/>
        <v>0.81358360125192186</v>
      </c>
      <c r="H45" s="712">
        <f t="shared" si="22"/>
        <v>0.88000079438796519</v>
      </c>
      <c r="I45" s="712">
        <f t="shared" si="22"/>
        <v>0.86292967512561713</v>
      </c>
      <c r="J45" s="712">
        <f t="shared" si="22"/>
        <v>0.84991917486050839</v>
      </c>
      <c r="K45" s="712">
        <f t="shared" si="22"/>
        <v>0.87489878054676506</v>
      </c>
      <c r="L45" s="712">
        <f t="shared" si="22"/>
        <v>0.84396948853578213</v>
      </c>
      <c r="M45" s="712">
        <f t="shared" si="22"/>
        <v>0.89058577172865516</v>
      </c>
      <c r="N45" s="712">
        <f t="shared" si="22"/>
        <v>0.88596847722847849</v>
      </c>
      <c r="O45" s="712">
        <f t="shared" si="22"/>
        <v>0.87519253516054751</v>
      </c>
      <c r="P45" s="712">
        <f t="shared" si="22"/>
        <v>0.89017909286971042</v>
      </c>
      <c r="Q45" s="712">
        <f t="shared" si="22"/>
        <v>0.88395825319439558</v>
      </c>
      <c r="R45" s="712">
        <f t="shared" si="22"/>
        <v>0.80306472393989703</v>
      </c>
      <c r="S45" s="712">
        <f t="shared" si="22"/>
        <v>0.88153417928289457</v>
      </c>
      <c r="T45" s="712">
        <f t="shared" si="22"/>
        <v>0.87036679499941227</v>
      </c>
      <c r="U45" s="712">
        <f t="shared" si="22"/>
        <v>0.89725064481847272</v>
      </c>
      <c r="V45" s="712">
        <f t="shared" si="22"/>
        <v>0.84303694258501916</v>
      </c>
      <c r="W45" s="712">
        <f t="shared" si="22"/>
        <v>0.88919219682824724</v>
      </c>
      <c r="X45" s="712">
        <f t="shared" si="22"/>
        <v>0.83536706688667051</v>
      </c>
      <c r="Y45" s="712">
        <f t="shared" si="22"/>
        <v>0.90275636290048633</v>
      </c>
      <c r="Z45" s="712">
        <f t="shared" si="22"/>
        <v>0.87891574758893642</v>
      </c>
      <c r="AA45" s="712">
        <f t="shared" si="22"/>
        <v>0.9444737396739924</v>
      </c>
      <c r="AB45" s="712">
        <f t="shared" si="22"/>
        <v>0.97631596747347482</v>
      </c>
      <c r="AC45" s="712">
        <f t="shared" si="22"/>
        <v>0.7484312106638259</v>
      </c>
    </row>
    <row r="46" spans="1:29" s="459" customFormat="1">
      <c r="A46" s="459" t="s">
        <v>326</v>
      </c>
      <c r="B46" s="459" t="s">
        <v>366</v>
      </c>
      <c r="C46" s="712">
        <f t="shared" si="23"/>
        <v>2.1905905312439161E-2</v>
      </c>
      <c r="D46" s="712">
        <f t="shared" si="22"/>
        <v>9.3709663140288998E-3</v>
      </c>
      <c r="E46" s="712">
        <f t="shared" si="22"/>
        <v>4.6013893098741668E-2</v>
      </c>
      <c r="F46" s="712">
        <f t="shared" si="22"/>
        <v>1.8394858695029128E-2</v>
      </c>
      <c r="G46" s="712">
        <f t="shared" si="22"/>
        <v>9.9598084318994508E-3</v>
      </c>
      <c r="H46" s="712">
        <f t="shared" si="22"/>
        <v>1.3237997918849932E-2</v>
      </c>
      <c r="I46" s="712">
        <f t="shared" si="22"/>
        <v>1.1420057155050359E-2</v>
      </c>
      <c r="J46" s="712">
        <f t="shared" si="22"/>
        <v>2.6498598054231513E-2</v>
      </c>
      <c r="K46" s="712">
        <f t="shared" si="22"/>
        <v>2.5642116158186581E-2</v>
      </c>
      <c r="L46" s="712">
        <f t="shared" si="22"/>
        <v>8.6437934593511252E-3</v>
      </c>
      <c r="M46" s="712">
        <f t="shared" si="22"/>
        <v>1.5314370184172183E-2</v>
      </c>
      <c r="N46" s="712">
        <f t="shared" si="22"/>
        <v>7.9154020817384443E-3</v>
      </c>
      <c r="O46" s="712">
        <f t="shared" si="22"/>
        <v>1.1871653704006174E-2</v>
      </c>
      <c r="P46" s="712">
        <f t="shared" si="22"/>
        <v>1.3089641552029165E-2</v>
      </c>
      <c r="Q46" s="712">
        <f t="shared" si="22"/>
        <v>1.6194784858342321E-2</v>
      </c>
      <c r="R46" s="712">
        <f t="shared" si="22"/>
        <v>1.272342398540301E-2</v>
      </c>
      <c r="S46" s="712">
        <f t="shared" si="22"/>
        <v>1.6945626580446856E-2</v>
      </c>
      <c r="T46" s="712">
        <f t="shared" si="22"/>
        <v>6.4710564013944778E-3</v>
      </c>
      <c r="U46" s="712">
        <f t="shared" si="22"/>
        <v>1.1282963024401618E-2</v>
      </c>
      <c r="V46" s="712">
        <f t="shared" si="22"/>
        <v>1.7408913059663488E-2</v>
      </c>
      <c r="W46" s="712">
        <f t="shared" si="22"/>
        <v>1.0528920260910977E-2</v>
      </c>
      <c r="X46" s="712">
        <f t="shared" si="22"/>
        <v>9.0992061135074936E-3</v>
      </c>
      <c r="Y46" s="712">
        <f t="shared" si="22"/>
        <v>7.6815860877352945E-3</v>
      </c>
      <c r="Z46" s="712">
        <f t="shared" si="22"/>
        <v>1.129928575321087E-2</v>
      </c>
      <c r="AA46" s="712">
        <f t="shared" si="22"/>
        <v>1.2132191360051241E-2</v>
      </c>
      <c r="AB46" s="712">
        <f t="shared" si="22"/>
        <v>1.4116355738962196E-2</v>
      </c>
      <c r="AC46" s="712">
        <f t="shared" si="22"/>
        <v>5.1335741680296381E-3</v>
      </c>
    </row>
    <row r="47" spans="1:29" s="459" customFormat="1">
      <c r="B47" s="459" t="s">
        <v>617</v>
      </c>
      <c r="C47" s="712">
        <f t="shared" si="23"/>
        <v>0.13420523697456904</v>
      </c>
      <c r="D47" s="712">
        <f t="shared" si="22"/>
        <v>0.10710044454468777</v>
      </c>
      <c r="E47" s="712">
        <f t="shared" si="22"/>
        <v>0.19873794082808949</v>
      </c>
      <c r="F47" s="712">
        <f t="shared" si="22"/>
        <v>0.12764218879595873</v>
      </c>
      <c r="G47" s="712">
        <f t="shared" si="22"/>
        <v>0.17390740340065505</v>
      </c>
      <c r="H47" s="712">
        <f t="shared" si="22"/>
        <v>0.10506709222333424</v>
      </c>
      <c r="I47" s="712">
        <f t="shared" si="22"/>
        <v>0.12236196724323453</v>
      </c>
      <c r="J47" s="712">
        <f t="shared" si="22"/>
        <v>0.12114061821652349</v>
      </c>
      <c r="K47" s="712">
        <f t="shared" si="22"/>
        <v>9.5943192996830379E-2</v>
      </c>
      <c r="L47" s="712">
        <f t="shared" si="22"/>
        <v>0.14406818351631784</v>
      </c>
      <c r="M47" s="712">
        <f t="shared" si="22"/>
        <v>9.1160103344907026E-2</v>
      </c>
      <c r="N47" s="712">
        <f t="shared" si="22"/>
        <v>0.10280096830411618</v>
      </c>
      <c r="O47" s="712">
        <f t="shared" si="22"/>
        <v>0.1090291442200671</v>
      </c>
      <c r="P47" s="712">
        <f t="shared" si="22"/>
        <v>9.3500658188139713E-2</v>
      </c>
      <c r="Q47" s="712">
        <f t="shared" si="22"/>
        <v>9.5849985296922749E-2</v>
      </c>
      <c r="R47" s="712">
        <f t="shared" si="22"/>
        <v>0.18176945675911579</v>
      </c>
      <c r="S47" s="712">
        <f t="shared" si="22"/>
        <v>9.8628734938449439E-2</v>
      </c>
      <c r="T47" s="712">
        <f t="shared" si="22"/>
        <v>0.1201808986728002</v>
      </c>
      <c r="U47" s="712">
        <f t="shared" si="22"/>
        <v>8.7922218904635543E-2</v>
      </c>
      <c r="V47" s="712">
        <f t="shared" si="22"/>
        <v>0.13744351846908884</v>
      </c>
      <c r="W47" s="712">
        <f t="shared" si="22"/>
        <v>0.10027888291084175</v>
      </c>
      <c r="X47" s="712">
        <f t="shared" si="22"/>
        <v>0.15362824863350735</v>
      </c>
      <c r="Y47" s="712">
        <f t="shared" si="22"/>
        <v>8.779257733251114E-2</v>
      </c>
      <c r="Z47" s="712">
        <f t="shared" si="22"/>
        <v>0.10761594968374652</v>
      </c>
      <c r="AA47" s="712">
        <f t="shared" si="22"/>
        <v>4.1397867266551647E-2</v>
      </c>
      <c r="AB47" s="712">
        <f t="shared" si="22"/>
        <v>7.3998501918595234E-3</v>
      </c>
      <c r="AC47" s="712">
        <f t="shared" si="22"/>
        <v>0.24446432784809863</v>
      </c>
    </row>
    <row r="48" spans="1:29" s="459" customFormat="1">
      <c r="B48" s="459" t="s">
        <v>604</v>
      </c>
      <c r="C48" s="712">
        <f t="shared" si="23"/>
        <v>6.559186931581344E-3</v>
      </c>
      <c r="D48" s="712">
        <f t="shared" si="22"/>
        <v>0</v>
      </c>
      <c r="E48" s="712">
        <f t="shared" si="22"/>
        <v>2.6914642258584892E-2</v>
      </c>
      <c r="F48" s="712">
        <f t="shared" si="22"/>
        <v>0</v>
      </c>
      <c r="G48" s="712">
        <f t="shared" si="22"/>
        <v>0</v>
      </c>
      <c r="H48" s="712">
        <f t="shared" si="22"/>
        <v>0</v>
      </c>
      <c r="I48" s="712">
        <f t="shared" si="22"/>
        <v>0</v>
      </c>
      <c r="J48" s="712">
        <f t="shared" si="22"/>
        <v>0</v>
      </c>
      <c r="K48" s="712">
        <f t="shared" si="22"/>
        <v>0</v>
      </c>
      <c r="L48" s="712">
        <f t="shared" si="22"/>
        <v>0</v>
      </c>
      <c r="M48" s="712">
        <f t="shared" si="22"/>
        <v>0</v>
      </c>
      <c r="N48" s="712">
        <f t="shared" si="22"/>
        <v>0</v>
      </c>
      <c r="O48" s="712">
        <f t="shared" si="22"/>
        <v>0</v>
      </c>
      <c r="P48" s="712">
        <f t="shared" si="22"/>
        <v>0</v>
      </c>
      <c r="Q48" s="712">
        <f t="shared" si="22"/>
        <v>0</v>
      </c>
      <c r="R48" s="712">
        <f t="shared" si="22"/>
        <v>0</v>
      </c>
      <c r="S48" s="712">
        <f t="shared" si="22"/>
        <v>0</v>
      </c>
      <c r="T48" s="712">
        <f t="shared" si="22"/>
        <v>0</v>
      </c>
      <c r="U48" s="712">
        <f t="shared" si="22"/>
        <v>0</v>
      </c>
      <c r="V48" s="712">
        <f t="shared" si="22"/>
        <v>0</v>
      </c>
      <c r="W48" s="712">
        <f t="shared" si="22"/>
        <v>0</v>
      </c>
      <c r="X48" s="712">
        <f t="shared" si="22"/>
        <v>0</v>
      </c>
      <c r="Y48" s="712">
        <f t="shared" si="22"/>
        <v>0</v>
      </c>
      <c r="Z48" s="712">
        <f t="shared" si="22"/>
        <v>0</v>
      </c>
      <c r="AA48" s="712">
        <f t="shared" si="22"/>
        <v>0</v>
      </c>
      <c r="AB48" s="712">
        <f t="shared" si="22"/>
        <v>0</v>
      </c>
      <c r="AC48" s="712">
        <f t="shared" si="22"/>
        <v>0</v>
      </c>
    </row>
    <row r="49" spans="1:29" s="459" customFormat="1">
      <c r="B49" s="459" t="s">
        <v>368</v>
      </c>
      <c r="C49" s="712">
        <f t="shared" si="23"/>
        <v>0</v>
      </c>
      <c r="D49" s="712">
        <f t="shared" si="22"/>
        <v>0</v>
      </c>
      <c r="E49" s="712">
        <f t="shared" si="22"/>
        <v>0</v>
      </c>
      <c r="F49" s="712">
        <f t="shared" si="22"/>
        <v>0</v>
      </c>
      <c r="G49" s="712">
        <f t="shared" si="22"/>
        <v>0</v>
      </c>
      <c r="H49" s="712">
        <f t="shared" si="22"/>
        <v>0</v>
      </c>
      <c r="I49" s="712">
        <f t="shared" si="22"/>
        <v>0</v>
      </c>
      <c r="J49" s="712">
        <f t="shared" si="22"/>
        <v>0</v>
      </c>
      <c r="K49" s="712">
        <f t="shared" si="22"/>
        <v>0</v>
      </c>
      <c r="L49" s="712">
        <f t="shared" si="22"/>
        <v>0</v>
      </c>
      <c r="M49" s="712">
        <f t="shared" si="22"/>
        <v>0</v>
      </c>
      <c r="N49" s="712">
        <f t="shared" si="22"/>
        <v>0</v>
      </c>
      <c r="O49" s="712">
        <f t="shared" si="22"/>
        <v>0</v>
      </c>
      <c r="P49" s="712">
        <f t="shared" si="22"/>
        <v>0</v>
      </c>
      <c r="Q49" s="712">
        <f t="shared" si="22"/>
        <v>0</v>
      </c>
      <c r="R49" s="712">
        <f t="shared" si="22"/>
        <v>0</v>
      </c>
      <c r="S49" s="712">
        <f t="shared" si="22"/>
        <v>0</v>
      </c>
      <c r="T49" s="712">
        <f t="shared" si="22"/>
        <v>0</v>
      </c>
      <c r="U49" s="712">
        <f t="shared" si="22"/>
        <v>0</v>
      </c>
      <c r="V49" s="712">
        <f t="shared" si="22"/>
        <v>0</v>
      </c>
      <c r="W49" s="712">
        <f t="shared" si="22"/>
        <v>0</v>
      </c>
      <c r="X49" s="712">
        <f t="shared" si="22"/>
        <v>0</v>
      </c>
      <c r="Y49" s="712">
        <f t="shared" si="22"/>
        <v>0</v>
      </c>
      <c r="Z49" s="712">
        <f t="shared" si="22"/>
        <v>0</v>
      </c>
      <c r="AA49" s="712">
        <f t="shared" si="22"/>
        <v>0</v>
      </c>
      <c r="AB49" s="712">
        <f t="shared" si="22"/>
        <v>0</v>
      </c>
      <c r="AC49" s="712">
        <f t="shared" si="22"/>
        <v>0</v>
      </c>
    </row>
    <row r="50" spans="1:29" s="459" customFormat="1">
      <c r="A50" s="458"/>
      <c r="B50" s="676"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75">
      <c r="A54" s="401" t="s">
        <v>1072</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360</v>
      </c>
      <c r="B55" s="132" t="s">
        <v>361</v>
      </c>
      <c r="C55" s="728" t="str">
        <f>Regions!C3</f>
        <v>IE</v>
      </c>
      <c r="D55" s="728" t="str">
        <f>Regions!E3</f>
        <v>IE-CW</v>
      </c>
      <c r="E55" s="728" t="str">
        <f>Regions!F3</f>
        <v>IE-D</v>
      </c>
      <c r="F55" s="728" t="str">
        <f>Regions!G3</f>
        <v>IE-KE</v>
      </c>
      <c r="G55" s="728" t="str">
        <f>Regions!H3</f>
        <v>IE-KK</v>
      </c>
      <c r="H55" s="728" t="str">
        <f>Regions!I3</f>
        <v>IE-LS</v>
      </c>
      <c r="I55" s="728" t="str">
        <f>Regions!J3</f>
        <v>IE-LD</v>
      </c>
      <c r="J55" s="728" t="str">
        <f>Regions!K3</f>
        <v>IE-LH</v>
      </c>
      <c r="K55" s="728" t="str">
        <f>Regions!L3</f>
        <v>IE-MH</v>
      </c>
      <c r="L55" s="728" t="str">
        <f>Regions!M3</f>
        <v>IE-OY</v>
      </c>
      <c r="M55" s="728" t="str">
        <f>Regions!N3</f>
        <v>IE-WH</v>
      </c>
      <c r="N55" s="728" t="str">
        <f>Regions!O3</f>
        <v>IE-WX</v>
      </c>
      <c r="O55" s="728" t="str">
        <f>Regions!P3</f>
        <v>IE-WW</v>
      </c>
      <c r="P55" s="728" t="str">
        <f>Regions!Q3</f>
        <v>IE-CE</v>
      </c>
      <c r="Q55" s="728" t="str">
        <f>Regions!R3</f>
        <v>IE-CO</v>
      </c>
      <c r="R55" s="728" t="str">
        <f>Regions!S3</f>
        <v>IE-KY</v>
      </c>
      <c r="S55" s="728" t="str">
        <f>Regions!T3</f>
        <v>IE-LK</v>
      </c>
      <c r="T55" s="728" t="str">
        <f>Regions!U3</f>
        <v>IE-TA</v>
      </c>
      <c r="U55" s="728" t="str">
        <f>Regions!V3</f>
        <v>IE-WD</v>
      </c>
      <c r="V55" s="728" t="str">
        <f>Regions!W3</f>
        <v>IE-G</v>
      </c>
      <c r="W55" s="728" t="str">
        <f>Regions!X3</f>
        <v>IE-LM</v>
      </c>
      <c r="X55" s="728" t="str">
        <f>Regions!Y3</f>
        <v>IE-MO</v>
      </c>
      <c r="Y55" s="728" t="str">
        <f>Regions!Z3</f>
        <v>IE-RN</v>
      </c>
      <c r="Z55" s="728" t="str">
        <f>Regions!AA3</f>
        <v>IE-SO</v>
      </c>
      <c r="AA55" s="728" t="str">
        <f>Regions!AB3</f>
        <v>IE-CN</v>
      </c>
      <c r="AB55" s="728" t="str">
        <f>Regions!AC3</f>
        <v>IE-DL</v>
      </c>
      <c r="AC55" s="728" t="str">
        <f>Regions!AD3</f>
        <v>IE-MN</v>
      </c>
    </row>
    <row r="56" spans="1:29" s="459" customFormat="1">
      <c r="A56" s="459" t="s">
        <v>367</v>
      </c>
      <c r="B56" s="459" t="s">
        <v>362</v>
      </c>
      <c r="C56" s="712">
        <f>C384/C$392</f>
        <v>0</v>
      </c>
      <c r="D56" s="712">
        <f t="shared" ref="D56:AC63" si="49">D384/D$392</f>
        <v>0</v>
      </c>
      <c r="E56" s="712">
        <f t="shared" si="49"/>
        <v>0</v>
      </c>
      <c r="F56" s="712">
        <f t="shared" si="49"/>
        <v>0</v>
      </c>
      <c r="G56" s="712">
        <f t="shared" si="49"/>
        <v>0</v>
      </c>
      <c r="H56" s="712">
        <f t="shared" si="49"/>
        <v>0</v>
      </c>
      <c r="I56" s="712">
        <f t="shared" si="49"/>
        <v>0</v>
      </c>
      <c r="J56" s="712">
        <f t="shared" si="49"/>
        <v>0</v>
      </c>
      <c r="K56" s="712">
        <f t="shared" si="49"/>
        <v>0</v>
      </c>
      <c r="L56" s="712">
        <f t="shared" si="49"/>
        <v>0</v>
      </c>
      <c r="M56" s="712">
        <f t="shared" si="49"/>
        <v>0</v>
      </c>
      <c r="N56" s="712">
        <f t="shared" si="49"/>
        <v>0</v>
      </c>
      <c r="O56" s="712">
        <f t="shared" si="49"/>
        <v>0</v>
      </c>
      <c r="P56" s="712">
        <f t="shared" si="49"/>
        <v>0</v>
      </c>
      <c r="Q56" s="712">
        <f t="shared" si="49"/>
        <v>0</v>
      </c>
      <c r="R56" s="712">
        <f t="shared" si="49"/>
        <v>0</v>
      </c>
      <c r="S56" s="712">
        <f t="shared" si="49"/>
        <v>0</v>
      </c>
      <c r="T56" s="712">
        <f t="shared" si="49"/>
        <v>0</v>
      </c>
      <c r="U56" s="712">
        <f t="shared" si="49"/>
        <v>0</v>
      </c>
      <c r="V56" s="712">
        <f t="shared" si="49"/>
        <v>0</v>
      </c>
      <c r="W56" s="712">
        <f t="shared" si="49"/>
        <v>0</v>
      </c>
      <c r="X56" s="712">
        <f t="shared" si="49"/>
        <v>0</v>
      </c>
      <c r="Y56" s="712">
        <f t="shared" si="49"/>
        <v>0</v>
      </c>
      <c r="Z56" s="712">
        <f t="shared" si="49"/>
        <v>0</v>
      </c>
      <c r="AA56" s="712">
        <f t="shared" si="49"/>
        <v>0</v>
      </c>
      <c r="AB56" s="712">
        <f t="shared" si="49"/>
        <v>0</v>
      </c>
      <c r="AC56" s="712">
        <f t="shared" si="49"/>
        <v>0</v>
      </c>
    </row>
    <row r="57" spans="1:29" s="459" customFormat="1">
      <c r="B57" s="459" t="s">
        <v>363</v>
      </c>
      <c r="C57" s="712">
        <f t="shared" ref="C57:R63" si="50">C385/C$392</f>
        <v>0</v>
      </c>
      <c r="D57" s="712">
        <f t="shared" si="50"/>
        <v>0</v>
      </c>
      <c r="E57" s="712">
        <f t="shared" si="50"/>
        <v>0</v>
      </c>
      <c r="F57" s="712">
        <f t="shared" si="50"/>
        <v>0</v>
      </c>
      <c r="G57" s="712">
        <f t="shared" si="50"/>
        <v>0</v>
      </c>
      <c r="H57" s="712">
        <f t="shared" si="50"/>
        <v>0</v>
      </c>
      <c r="I57" s="712">
        <f t="shared" si="50"/>
        <v>0</v>
      </c>
      <c r="J57" s="712">
        <f t="shared" si="50"/>
        <v>0</v>
      </c>
      <c r="K57" s="712">
        <f t="shared" si="50"/>
        <v>0</v>
      </c>
      <c r="L57" s="712">
        <f t="shared" si="50"/>
        <v>0</v>
      </c>
      <c r="M57" s="712">
        <f t="shared" si="50"/>
        <v>0</v>
      </c>
      <c r="N57" s="712">
        <f t="shared" si="50"/>
        <v>0</v>
      </c>
      <c r="O57" s="712">
        <f t="shared" si="50"/>
        <v>0</v>
      </c>
      <c r="P57" s="712">
        <f t="shared" si="50"/>
        <v>0</v>
      </c>
      <c r="Q57" s="712">
        <f t="shared" si="50"/>
        <v>0</v>
      </c>
      <c r="R57" s="712">
        <f t="shared" si="50"/>
        <v>0</v>
      </c>
      <c r="S57" s="712">
        <f t="shared" si="49"/>
        <v>0</v>
      </c>
      <c r="T57" s="712">
        <f t="shared" si="49"/>
        <v>0</v>
      </c>
      <c r="U57" s="712">
        <f t="shared" si="49"/>
        <v>0</v>
      </c>
      <c r="V57" s="712">
        <f t="shared" si="49"/>
        <v>0</v>
      </c>
      <c r="W57" s="712">
        <f t="shared" si="49"/>
        <v>0</v>
      </c>
      <c r="X57" s="712">
        <f t="shared" si="49"/>
        <v>0</v>
      </c>
      <c r="Y57" s="712">
        <f t="shared" si="49"/>
        <v>0</v>
      </c>
      <c r="Z57" s="712">
        <f t="shared" si="49"/>
        <v>0</v>
      </c>
      <c r="AA57" s="712">
        <f t="shared" si="49"/>
        <v>0</v>
      </c>
      <c r="AB57" s="712">
        <f t="shared" si="49"/>
        <v>0</v>
      </c>
      <c r="AC57" s="712">
        <f t="shared" si="49"/>
        <v>0</v>
      </c>
    </row>
    <row r="58" spans="1:29" s="459" customFormat="1">
      <c r="A58" s="459" t="s">
        <v>364</v>
      </c>
      <c r="B58" s="459" t="s">
        <v>370</v>
      </c>
      <c r="C58" s="718">
        <f t="shared" si="50"/>
        <v>0</v>
      </c>
      <c r="D58" s="712">
        <f t="shared" si="49"/>
        <v>0</v>
      </c>
      <c r="E58" s="712">
        <f t="shared" si="49"/>
        <v>0</v>
      </c>
      <c r="F58" s="712">
        <f t="shared" si="49"/>
        <v>0</v>
      </c>
      <c r="G58" s="712">
        <f t="shared" si="49"/>
        <v>0</v>
      </c>
      <c r="H58" s="712">
        <f t="shared" si="49"/>
        <v>0</v>
      </c>
      <c r="I58" s="712">
        <f t="shared" si="49"/>
        <v>0</v>
      </c>
      <c r="J58" s="712">
        <f t="shared" si="49"/>
        <v>0</v>
      </c>
      <c r="K58" s="712">
        <f t="shared" si="49"/>
        <v>0</v>
      </c>
      <c r="L58" s="712">
        <f t="shared" si="49"/>
        <v>0</v>
      </c>
      <c r="M58" s="712">
        <f t="shared" si="49"/>
        <v>0</v>
      </c>
      <c r="N58" s="712">
        <f t="shared" si="49"/>
        <v>0</v>
      </c>
      <c r="O58" s="712">
        <f t="shared" si="49"/>
        <v>0</v>
      </c>
      <c r="P58" s="712">
        <f t="shared" si="49"/>
        <v>0</v>
      </c>
      <c r="Q58" s="712">
        <f t="shared" si="49"/>
        <v>0</v>
      </c>
      <c r="R58" s="712">
        <f t="shared" si="49"/>
        <v>0</v>
      </c>
      <c r="S58" s="712">
        <f t="shared" si="49"/>
        <v>0</v>
      </c>
      <c r="T58" s="712">
        <f t="shared" si="49"/>
        <v>0</v>
      </c>
      <c r="U58" s="712">
        <f t="shared" si="49"/>
        <v>0</v>
      </c>
      <c r="V58" s="712">
        <f t="shared" si="49"/>
        <v>0</v>
      </c>
      <c r="W58" s="712">
        <f t="shared" si="49"/>
        <v>0</v>
      </c>
      <c r="X58" s="712">
        <f t="shared" si="49"/>
        <v>0</v>
      </c>
      <c r="Y58" s="712">
        <f t="shared" si="49"/>
        <v>0</v>
      </c>
      <c r="Z58" s="712">
        <f t="shared" si="49"/>
        <v>0</v>
      </c>
      <c r="AA58" s="712">
        <f t="shared" si="49"/>
        <v>0</v>
      </c>
      <c r="AB58" s="712">
        <f t="shared" si="49"/>
        <v>0</v>
      </c>
      <c r="AC58" s="712">
        <f t="shared" si="49"/>
        <v>0</v>
      </c>
    </row>
    <row r="59" spans="1:29" s="459" customFormat="1">
      <c r="B59" s="459" t="s">
        <v>369</v>
      </c>
      <c r="C59" s="712">
        <f t="shared" si="50"/>
        <v>0.74108639947108168</v>
      </c>
      <c r="D59" s="712">
        <f t="shared" si="49"/>
        <v>0.79071880912169545</v>
      </c>
      <c r="E59" s="712">
        <f t="shared" si="49"/>
        <v>0.6386131571238467</v>
      </c>
      <c r="F59" s="712">
        <f t="shared" si="49"/>
        <v>0.75580744416441215</v>
      </c>
      <c r="G59" s="712">
        <f t="shared" si="49"/>
        <v>0.71320246300225565</v>
      </c>
      <c r="H59" s="712">
        <f t="shared" si="49"/>
        <v>0.78115676031065473</v>
      </c>
      <c r="I59" s="712">
        <f t="shared" si="49"/>
        <v>0.76642349622098382</v>
      </c>
      <c r="J59" s="712">
        <f t="shared" si="49"/>
        <v>0.74828496387185417</v>
      </c>
      <c r="K59" s="712">
        <f t="shared" si="49"/>
        <v>0.78640329755658556</v>
      </c>
      <c r="L59" s="712">
        <f t="shared" si="49"/>
        <v>0.74588309703681677</v>
      </c>
      <c r="M59" s="712">
        <f t="shared" si="49"/>
        <v>0.80172469534468704</v>
      </c>
      <c r="N59" s="712">
        <f t="shared" si="49"/>
        <v>0.79583426304303684</v>
      </c>
      <c r="O59" s="712">
        <f t="shared" si="49"/>
        <v>0.77907090765006382</v>
      </c>
      <c r="P59" s="712">
        <f t="shared" si="49"/>
        <v>0.80155723993574601</v>
      </c>
      <c r="Q59" s="712">
        <f t="shared" si="49"/>
        <v>0.78887154985237196</v>
      </c>
      <c r="R59" s="712">
        <f t="shared" si="49"/>
        <v>0.70533422841274862</v>
      </c>
      <c r="S59" s="712">
        <f t="shared" si="49"/>
        <v>0.78717070970762593</v>
      </c>
      <c r="T59" s="712">
        <f t="shared" si="49"/>
        <v>0.77916775606401434</v>
      </c>
      <c r="U59" s="712">
        <f t="shared" si="49"/>
        <v>0.80467495581567261</v>
      </c>
      <c r="V59" s="712">
        <f t="shared" si="49"/>
        <v>0.74505854970828844</v>
      </c>
      <c r="W59" s="712">
        <f t="shared" si="49"/>
        <v>0.79514890678426453</v>
      </c>
      <c r="X59" s="712">
        <f t="shared" si="49"/>
        <v>0.73736495113760858</v>
      </c>
      <c r="Y59" s="712">
        <f t="shared" si="49"/>
        <v>0.81853938082108479</v>
      </c>
      <c r="Z59" s="712">
        <f t="shared" si="49"/>
        <v>0.77998817627338324</v>
      </c>
      <c r="AA59" s="712">
        <f t="shared" si="49"/>
        <v>0.85154985463859412</v>
      </c>
      <c r="AB59" s="712">
        <f t="shared" si="49"/>
        <v>0.88006272796227247</v>
      </c>
      <c r="AC59" s="712">
        <f t="shared" si="49"/>
        <v>0.64231184378282558</v>
      </c>
    </row>
    <row r="60" spans="1:29" s="459" customFormat="1">
      <c r="A60" s="459" t="s">
        <v>326</v>
      </c>
      <c r="B60" s="459" t="s">
        <v>366</v>
      </c>
      <c r="C60" s="712">
        <f t="shared" si="50"/>
        <v>1.214216695359136E-2</v>
      </c>
      <c r="D60" s="712">
        <f t="shared" si="49"/>
        <v>5.244564356444866E-3</v>
      </c>
      <c r="E60" s="712">
        <f t="shared" si="49"/>
        <v>2.5318479036608464E-2</v>
      </c>
      <c r="F60" s="712">
        <f t="shared" si="49"/>
        <v>1.0199545943263343E-2</v>
      </c>
      <c r="G60" s="712">
        <f t="shared" si="49"/>
        <v>5.4465670112681473E-3</v>
      </c>
      <c r="H60" s="712">
        <f t="shared" si="49"/>
        <v>7.3305854058422536E-3</v>
      </c>
      <c r="I60" s="712">
        <f t="shared" si="49"/>
        <v>6.327365203104513E-3</v>
      </c>
      <c r="J60" s="712">
        <f t="shared" si="49"/>
        <v>1.4553702960433654E-2</v>
      </c>
      <c r="K60" s="712">
        <f t="shared" si="49"/>
        <v>1.4378136289327563E-2</v>
      </c>
      <c r="L60" s="712">
        <f t="shared" si="49"/>
        <v>4.7655125577413509E-3</v>
      </c>
      <c r="M60" s="712">
        <f t="shared" si="49"/>
        <v>8.6002260738130814E-3</v>
      </c>
      <c r="N60" s="712">
        <f t="shared" si="49"/>
        <v>4.4354589246647135E-3</v>
      </c>
      <c r="O60" s="712">
        <f t="shared" si="49"/>
        <v>6.592434448494537E-3</v>
      </c>
      <c r="P60" s="712">
        <f t="shared" si="49"/>
        <v>7.3526877521562662E-3</v>
      </c>
      <c r="Q60" s="712">
        <f t="shared" si="49"/>
        <v>9.0159384819168999E-3</v>
      </c>
      <c r="R60" s="712">
        <f t="shared" si="49"/>
        <v>6.9712334769449829E-3</v>
      </c>
      <c r="S60" s="712">
        <f t="shared" si="49"/>
        <v>9.4394919428535985E-3</v>
      </c>
      <c r="T60" s="712">
        <f t="shared" si="49"/>
        <v>3.6138078846859318E-3</v>
      </c>
      <c r="U60" s="712">
        <f t="shared" si="49"/>
        <v>6.3123502546919919E-3</v>
      </c>
      <c r="V60" s="712">
        <f t="shared" si="49"/>
        <v>9.5979099500525071E-3</v>
      </c>
      <c r="W60" s="712">
        <f t="shared" si="49"/>
        <v>5.8735122381989901E-3</v>
      </c>
      <c r="X60" s="712">
        <f t="shared" si="49"/>
        <v>5.0103707288089395E-3</v>
      </c>
      <c r="Y60" s="712">
        <f t="shared" si="49"/>
        <v>4.3449135578945168E-3</v>
      </c>
      <c r="Z60" s="712">
        <f t="shared" si="49"/>
        <v>6.2553697184935773E-3</v>
      </c>
      <c r="AA60" s="712">
        <f t="shared" si="49"/>
        <v>6.8237115745591239E-3</v>
      </c>
      <c r="AB60" s="712">
        <f t="shared" si="49"/>
        <v>7.9379260453763534E-3</v>
      </c>
      <c r="AC60" s="712">
        <f t="shared" si="49"/>
        <v>2.7483693665086213E-3</v>
      </c>
    </row>
    <row r="61" spans="1:29" s="459" customFormat="1">
      <c r="B61" s="459" t="s">
        <v>617</v>
      </c>
      <c r="C61" s="712">
        <f t="shared" si="50"/>
        <v>0.1626965950818042</v>
      </c>
      <c r="D61" s="712">
        <f t="shared" si="49"/>
        <v>0.13109626623170204</v>
      </c>
      <c r="E61" s="712">
        <f t="shared" si="49"/>
        <v>0.23916819504950479</v>
      </c>
      <c r="F61" s="712">
        <f t="shared" si="49"/>
        <v>0.15479346868381608</v>
      </c>
      <c r="G61" s="712">
        <f t="shared" si="49"/>
        <v>0.20800029152740038</v>
      </c>
      <c r="H61" s="712">
        <f t="shared" si="49"/>
        <v>0.12724978858051844</v>
      </c>
      <c r="I61" s="712">
        <f t="shared" si="49"/>
        <v>0.14827744084788594</v>
      </c>
      <c r="J61" s="712">
        <f t="shared" si="49"/>
        <v>0.14551722418000443</v>
      </c>
      <c r="K61" s="712">
        <f t="shared" si="49"/>
        <v>0.11766218454461841</v>
      </c>
      <c r="L61" s="712">
        <f t="shared" si="49"/>
        <v>0.17371900154534914</v>
      </c>
      <c r="M61" s="712">
        <f t="shared" si="49"/>
        <v>0.11196687123703571</v>
      </c>
      <c r="N61" s="712">
        <f t="shared" si="49"/>
        <v>0.12599020808803368</v>
      </c>
      <c r="O61" s="712">
        <f t="shared" si="49"/>
        <v>0.13241927644257739</v>
      </c>
      <c r="P61" s="712">
        <f t="shared" si="49"/>
        <v>0.11487011188674058</v>
      </c>
      <c r="Q61" s="712">
        <f t="shared" si="49"/>
        <v>0.11670831913312733</v>
      </c>
      <c r="R61" s="712">
        <f t="shared" si="49"/>
        <v>0.2178213998684824</v>
      </c>
      <c r="S61" s="712">
        <f t="shared" si="49"/>
        <v>0.12016236232976817</v>
      </c>
      <c r="T61" s="712">
        <f t="shared" si="49"/>
        <v>0.14679096653005977</v>
      </c>
      <c r="U61" s="712">
        <f t="shared" si="49"/>
        <v>0.10758223700696061</v>
      </c>
      <c r="V61" s="712">
        <f t="shared" si="49"/>
        <v>0.1657308225029282</v>
      </c>
      <c r="W61" s="712">
        <f t="shared" si="49"/>
        <v>0.12234818626194599</v>
      </c>
      <c r="X61" s="712">
        <f t="shared" si="49"/>
        <v>0.18501691930313938</v>
      </c>
      <c r="Y61" s="712">
        <f t="shared" si="49"/>
        <v>0.10860805699514527</v>
      </c>
      <c r="Z61" s="712">
        <f t="shared" si="49"/>
        <v>0.13030246782805119</v>
      </c>
      <c r="AA61" s="712">
        <f t="shared" si="49"/>
        <v>5.0925275195199252E-2</v>
      </c>
      <c r="AB61" s="712">
        <f t="shared" si="49"/>
        <v>9.1008381034736394E-3</v>
      </c>
      <c r="AC61" s="712">
        <f t="shared" si="49"/>
        <v>0.28624951607603277</v>
      </c>
    </row>
    <row r="62" spans="1:29" s="459" customFormat="1">
      <c r="B62" s="459" t="s">
        <v>604</v>
      </c>
      <c r="C62" s="712">
        <f t="shared" si="50"/>
        <v>0</v>
      </c>
      <c r="D62" s="712">
        <f t="shared" si="49"/>
        <v>0</v>
      </c>
      <c r="E62" s="712">
        <f t="shared" si="49"/>
        <v>0</v>
      </c>
      <c r="F62" s="712">
        <f t="shared" si="49"/>
        <v>0</v>
      </c>
      <c r="G62" s="712">
        <f t="shared" si="49"/>
        <v>0</v>
      </c>
      <c r="H62" s="712">
        <f t="shared" si="49"/>
        <v>0</v>
      </c>
      <c r="I62" s="712">
        <f t="shared" si="49"/>
        <v>0</v>
      </c>
      <c r="J62" s="712">
        <f t="shared" si="49"/>
        <v>0</v>
      </c>
      <c r="K62" s="712">
        <f t="shared" si="49"/>
        <v>0</v>
      </c>
      <c r="L62" s="712">
        <f t="shared" si="49"/>
        <v>0</v>
      </c>
      <c r="M62" s="712">
        <f t="shared" si="49"/>
        <v>0</v>
      </c>
      <c r="N62" s="712">
        <f t="shared" si="49"/>
        <v>0</v>
      </c>
      <c r="O62" s="712">
        <f t="shared" si="49"/>
        <v>0</v>
      </c>
      <c r="P62" s="712">
        <f t="shared" si="49"/>
        <v>0</v>
      </c>
      <c r="Q62" s="712">
        <f t="shared" si="49"/>
        <v>0</v>
      </c>
      <c r="R62" s="712">
        <f t="shared" si="49"/>
        <v>0</v>
      </c>
      <c r="S62" s="712">
        <f t="shared" si="49"/>
        <v>0</v>
      </c>
      <c r="T62" s="712">
        <f t="shared" si="49"/>
        <v>0</v>
      </c>
      <c r="U62" s="712">
        <f t="shared" si="49"/>
        <v>0</v>
      </c>
      <c r="V62" s="712">
        <f t="shared" si="49"/>
        <v>0</v>
      </c>
      <c r="W62" s="712">
        <f t="shared" si="49"/>
        <v>0</v>
      </c>
      <c r="X62" s="712">
        <f t="shared" si="49"/>
        <v>0</v>
      </c>
      <c r="Y62" s="712">
        <f t="shared" si="49"/>
        <v>0</v>
      </c>
      <c r="Z62" s="712">
        <f t="shared" si="49"/>
        <v>0</v>
      </c>
      <c r="AA62" s="712">
        <f t="shared" si="49"/>
        <v>0</v>
      </c>
      <c r="AB62" s="712">
        <f t="shared" si="49"/>
        <v>0</v>
      </c>
      <c r="AC62" s="712">
        <f t="shared" si="49"/>
        <v>0</v>
      </c>
    </row>
    <row r="63" spans="1:29" s="459" customFormat="1">
      <c r="B63" s="459" t="s">
        <v>368</v>
      </c>
      <c r="C63" s="712">
        <f t="shared" si="50"/>
        <v>8.4074838493522847E-2</v>
      </c>
      <c r="D63" s="712">
        <f t="shared" si="49"/>
        <v>7.2940360290157685E-2</v>
      </c>
      <c r="E63" s="712">
        <f t="shared" si="49"/>
        <v>9.6900168790040125E-2</v>
      </c>
      <c r="F63" s="712">
        <f t="shared" si="49"/>
        <v>7.91995412085085E-2</v>
      </c>
      <c r="G63" s="712">
        <f t="shared" si="49"/>
        <v>7.3350678459075919E-2</v>
      </c>
      <c r="H63" s="712">
        <f t="shared" si="49"/>
        <v>8.426286570298451E-2</v>
      </c>
      <c r="I63" s="712">
        <f t="shared" si="49"/>
        <v>7.8971697728025606E-2</v>
      </c>
      <c r="J63" s="712">
        <f t="shared" si="49"/>
        <v>9.1644108987707917E-2</v>
      </c>
      <c r="K63" s="712">
        <f t="shared" si="49"/>
        <v>8.1556381609468237E-2</v>
      </c>
      <c r="L63" s="712">
        <f t="shared" si="49"/>
        <v>7.5632388860092645E-2</v>
      </c>
      <c r="M63" s="712">
        <f t="shared" si="49"/>
        <v>7.7708207344464181E-2</v>
      </c>
      <c r="N63" s="712">
        <f t="shared" si="49"/>
        <v>7.3740069944264783E-2</v>
      </c>
      <c r="O63" s="712">
        <f t="shared" si="49"/>
        <v>8.1917381458864319E-2</v>
      </c>
      <c r="P63" s="712">
        <f t="shared" si="49"/>
        <v>7.6219960425357156E-2</v>
      </c>
      <c r="Q63" s="712">
        <f t="shared" si="49"/>
        <v>8.5404192532583911E-2</v>
      </c>
      <c r="R63" s="712">
        <f t="shared" si="49"/>
        <v>6.987313824182402E-2</v>
      </c>
      <c r="S63" s="712">
        <f t="shared" si="49"/>
        <v>8.3227436019752521E-2</v>
      </c>
      <c r="T63" s="712">
        <f t="shared" si="49"/>
        <v>7.0427469521239974E-2</v>
      </c>
      <c r="U63" s="712">
        <f t="shared" si="49"/>
        <v>8.1430456922674907E-2</v>
      </c>
      <c r="V63" s="712">
        <f t="shared" si="49"/>
        <v>7.9612717838730945E-2</v>
      </c>
      <c r="W63" s="712">
        <f t="shared" si="49"/>
        <v>7.6629394715590618E-2</v>
      </c>
      <c r="X63" s="712">
        <f t="shared" si="49"/>
        <v>7.2607758830443E-2</v>
      </c>
      <c r="Y63" s="712">
        <f t="shared" si="49"/>
        <v>6.8507648625875522E-2</v>
      </c>
      <c r="Z63" s="712">
        <f t="shared" si="49"/>
        <v>8.3453986180072076E-2</v>
      </c>
      <c r="AA63" s="712">
        <f t="shared" si="49"/>
        <v>9.070115859164736E-2</v>
      </c>
      <c r="AB63" s="712">
        <f t="shared" si="49"/>
        <v>0.10289850788887757</v>
      </c>
      <c r="AC63" s="712">
        <f t="shared" si="49"/>
        <v>6.8690270774633036E-2</v>
      </c>
    </row>
    <row r="64" spans="1:29" s="459" customFormat="1">
      <c r="A64" s="458"/>
      <c r="B64" s="676"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9"/>
      <c r="D66" s="402"/>
      <c r="E66" s="709"/>
      <c r="F66" s="709"/>
      <c r="G66" s="709"/>
      <c r="H66" s="709"/>
      <c r="I66" s="709"/>
      <c r="J66" s="709"/>
      <c r="K66" s="709"/>
      <c r="L66" s="709"/>
      <c r="M66" s="709"/>
      <c r="N66" s="709"/>
      <c r="O66" s="709"/>
      <c r="P66" s="709"/>
      <c r="Q66" s="709"/>
      <c r="R66" s="709"/>
      <c r="S66" s="709"/>
      <c r="T66" s="709"/>
      <c r="U66" s="709"/>
      <c r="V66" s="709"/>
      <c r="W66" s="709"/>
      <c r="X66" s="709"/>
      <c r="Y66" s="709"/>
      <c r="Z66" s="709"/>
      <c r="AA66" s="709"/>
      <c r="AB66" s="709"/>
      <c r="AC66" s="709"/>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848</v>
      </c>
      <c r="B68" s="765" t="s">
        <v>849</v>
      </c>
      <c r="C68" s="765"/>
      <c r="D68" s="471"/>
      <c r="E68" s="9"/>
      <c r="F68" s="9"/>
      <c r="G68" s="9"/>
      <c r="H68" s="9"/>
      <c r="I68" s="9"/>
      <c r="J68" s="517"/>
      <c r="K68" s="9"/>
      <c r="L68" s="9"/>
      <c r="M68" s="9"/>
      <c r="T68" s="9"/>
      <c r="U68" s="9"/>
      <c r="V68" s="9"/>
      <c r="W68" s="9"/>
      <c r="X68" s="9"/>
      <c r="Y68" s="9"/>
      <c r="Z68" s="9"/>
      <c r="AA68" s="9"/>
      <c r="AB68" s="9"/>
    </row>
    <row r="69" spans="1:29" s="459" customFormat="1">
      <c r="A69" s="588"/>
      <c r="B69" s="600" t="s">
        <v>837</v>
      </c>
      <c r="C69" s="600" t="s">
        <v>588</v>
      </c>
      <c r="D69" s="589" t="s">
        <v>217</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715.45174473747215</v>
      </c>
      <c r="C70" s="764">
        <f>'EB2018'!AM48</f>
        <v>2058.4846677479868</v>
      </c>
      <c r="D70" s="769">
        <f>(B79-C70)/C70</f>
        <v>0.61685993423901242</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2555.3635308100274</v>
      </c>
      <c r="C71" s="764"/>
      <c r="D71" s="770"/>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0.12420562725231331</v>
      </c>
      <c r="C72" s="764"/>
      <c r="D72" s="770"/>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13.199611098786692</v>
      </c>
      <c r="C73" s="764"/>
      <c r="D73" s="770"/>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37.441185628019035</v>
      </c>
      <c r="C74" s="764"/>
      <c r="D74" s="770"/>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1.5456033682576185</v>
      </c>
      <c r="C75" s="764"/>
      <c r="D75" s="770"/>
      <c r="E75" s="9"/>
      <c r="F75" s="9"/>
      <c r="G75" s="9"/>
      <c r="H75" s="9"/>
      <c r="I75" s="9"/>
      <c r="J75" s="9"/>
      <c r="K75" s="9"/>
    </row>
    <row r="76" spans="1:29" s="459" customFormat="1">
      <c r="A76" s="596" t="str">
        <f>Commodities!K19</f>
        <v>TCAR_PHEV_GSL_00</v>
      </c>
      <c r="B76" s="607">
        <f>Stock!E58*AF!D13/Efficiency!D14/0.041868</f>
        <v>2.6369174228843795</v>
      </c>
      <c r="C76" s="764"/>
      <c r="D76" s="770"/>
      <c r="E76" s="9"/>
      <c r="F76" s="9"/>
      <c r="G76" s="9"/>
      <c r="H76" s="9"/>
      <c r="I76" s="9"/>
      <c r="J76" s="9"/>
      <c r="K76" s="9"/>
    </row>
    <row r="77" spans="1:29" s="459" customFormat="1">
      <c r="A77" s="596" t="str">
        <f>Commodities!K20</f>
        <v>TCAR_PHEV_DST_00</v>
      </c>
      <c r="B77" s="607">
        <f>Stock!E59*AF!D14/Efficiency!D15/0.041868</f>
        <v>3.8927884790744695E-2</v>
      </c>
      <c r="C77" s="764"/>
      <c r="D77" s="770"/>
      <c r="E77" s="9"/>
      <c r="F77" s="9"/>
      <c r="G77" s="9"/>
      <c r="H77" s="9"/>
      <c r="I77" s="9"/>
      <c r="J77" s="9"/>
      <c r="K77" s="9"/>
    </row>
    <row r="78" spans="1:29" s="459" customFormat="1">
      <c r="A78" s="596" t="str">
        <f>Commodities!K21</f>
        <v>TCAR_BEV_00</v>
      </c>
      <c r="B78" s="607">
        <f>Stock!E60*AF!D15/Efficiency!D16/0.041868</f>
        <v>2.4796579495354787</v>
      </c>
      <c r="C78" s="764"/>
      <c r="D78" s="770"/>
      <c r="E78" s="9"/>
      <c r="F78" s="9"/>
      <c r="G78" s="9"/>
      <c r="H78" s="9"/>
      <c r="I78" s="9"/>
      <c r="J78" s="9"/>
      <c r="K78" s="9"/>
    </row>
    <row r="79" spans="1:29" s="459" customFormat="1" ht="15.75">
      <c r="A79" s="592" t="s">
        <v>836</v>
      </c>
      <c r="B79" s="605">
        <f>SUM(B70:B78)</f>
        <v>3328.2813845270252</v>
      </c>
      <c r="C79" s="764"/>
      <c r="D79" s="771"/>
      <c r="E79" s="9"/>
      <c r="F79" s="9"/>
      <c r="G79" s="9"/>
      <c r="H79" s="9"/>
      <c r="I79" s="9"/>
      <c r="J79" s="9"/>
      <c r="K79" s="9"/>
    </row>
    <row r="80" spans="1:29" s="459" customFormat="1">
      <c r="A80" s="459" t="s">
        <v>850</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851</v>
      </c>
      <c r="B84" s="765" t="s">
        <v>849</v>
      </c>
      <c r="C84" s="765"/>
      <c r="D84" s="471"/>
      <c r="F84" s="9"/>
      <c r="G84" s="9"/>
      <c r="H84" s="9"/>
      <c r="I84" s="9"/>
      <c r="J84" s="9"/>
      <c r="K84" s="9"/>
    </row>
    <row r="85" spans="1:17" s="459" customFormat="1">
      <c r="A85" s="588"/>
      <c r="B85" s="601" t="s">
        <v>837</v>
      </c>
      <c r="C85" s="600" t="s">
        <v>588</v>
      </c>
      <c r="D85" s="600" t="s">
        <v>217</v>
      </c>
      <c r="F85" s="9"/>
      <c r="G85" s="9"/>
      <c r="H85" s="9"/>
      <c r="I85" s="9"/>
      <c r="J85" s="9"/>
      <c r="K85" s="9"/>
    </row>
    <row r="86" spans="1:17" s="459" customFormat="1">
      <c r="A86" s="591" t="str">
        <f>Commodities!K34</f>
        <v>TFGV_GSL_00</v>
      </c>
      <c r="B86" s="608">
        <f>(Stock!E72*AF!D23/1000)/Efficiency!D24/0.041868</f>
        <v>1.9880091975482701E-3</v>
      </c>
      <c r="C86" s="766">
        <f>'EB2018'!AM46+'EB2018'!AM47</f>
        <v>1058.3361520244771</v>
      </c>
      <c r="D86" s="769">
        <f>(B89-C86)/C86</f>
        <v>-0.99889636390369041</v>
      </c>
      <c r="F86" s="9"/>
      <c r="G86" s="9"/>
      <c r="H86" s="9"/>
      <c r="I86" s="9"/>
      <c r="J86" s="9"/>
      <c r="K86" s="9"/>
    </row>
    <row r="87" spans="1:17" s="459" customFormat="1">
      <c r="A87" s="590" t="str">
        <f>Commodities!K35</f>
        <v>TFGV_DST_00</v>
      </c>
      <c r="B87" s="609">
        <f>(Stock!E73*AF!D24/1000)/Efficiency!D25/0.041868</f>
        <v>1.1632360774994921</v>
      </c>
      <c r="C87" s="767"/>
      <c r="D87" s="770"/>
      <c r="F87" s="9"/>
      <c r="G87" s="9"/>
      <c r="H87" s="9"/>
      <c r="I87" s="9"/>
      <c r="J87" s="9"/>
      <c r="K87" s="9"/>
    </row>
    <row r="88" spans="1:17" s="459" customFormat="1">
      <c r="A88" s="590" t="str">
        <f>Commodities!K36</f>
        <v>TFRAIL_DST_00</v>
      </c>
      <c r="B88" s="609">
        <f>(Stock!E74*AF!D25/1000)/Efficiency!D26/0.041868</f>
        <v>2.7938927066507233E-3</v>
      </c>
      <c r="C88" s="767"/>
      <c r="D88" s="770"/>
      <c r="F88" s="9"/>
      <c r="G88" s="9"/>
      <c r="H88" s="9"/>
      <c r="I88" s="9"/>
      <c r="J88" s="9"/>
      <c r="K88" s="9"/>
    </row>
    <row r="89" spans="1:17" s="459" customFormat="1" ht="15.75">
      <c r="A89" s="592" t="s">
        <v>852</v>
      </c>
      <c r="B89" s="605">
        <f>SUM(B86:B88)</f>
        <v>1.1680179794036911</v>
      </c>
      <c r="C89" s="768"/>
      <c r="D89" s="771"/>
      <c r="G89" s="9"/>
      <c r="H89" s="9"/>
      <c r="I89" s="9"/>
      <c r="J89" s="9"/>
      <c r="K89" s="9"/>
      <c r="L89" s="9"/>
    </row>
    <row r="90" spans="1:17" s="459" customFormat="1">
      <c r="A90" s="459" t="s">
        <v>853</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860</v>
      </c>
      <c r="B94" s="765" t="s">
        <v>849</v>
      </c>
      <c r="C94" s="765"/>
      <c r="D94" s="471"/>
      <c r="Q94" s="135"/>
    </row>
    <row r="95" spans="1:17" s="459" customFormat="1">
      <c r="A95" s="588"/>
      <c r="B95" s="600" t="s">
        <v>837</v>
      </c>
      <c r="C95" s="600" t="s">
        <v>588</v>
      </c>
      <c r="D95" s="600" t="s">
        <v>217</v>
      </c>
      <c r="Q95" s="135"/>
    </row>
    <row r="96" spans="1:17" s="459" customFormat="1">
      <c r="A96" s="597" t="str">
        <f>Commodities!K23</f>
        <v>TTAXI_ICE_GSL_00</v>
      </c>
      <c r="B96" s="611">
        <f>(Stock!E62*AF!D16)/Efficiency!D17/0.041868</f>
        <v>11.18525404842603</v>
      </c>
      <c r="C96" s="766">
        <f>'EB2018'!AM49</f>
        <v>139.18657889221006</v>
      </c>
      <c r="D96" s="769">
        <f>(B100-C96)/C96</f>
        <v>1.0373443794281367</v>
      </c>
      <c r="Q96" s="135"/>
    </row>
    <row r="97" spans="1:17" s="459" customFormat="1">
      <c r="A97" s="599" t="str">
        <f>Commodities!K24</f>
        <v>TTAXI_ICE_DST_00</v>
      </c>
      <c r="B97" s="611">
        <f>(Stock!E63*AF!D17)/Efficiency!D18/0.041868</f>
        <v>79.630703819975736</v>
      </c>
      <c r="C97" s="767"/>
      <c r="D97" s="770"/>
      <c r="Q97" s="135"/>
    </row>
    <row r="98" spans="1:17" s="459" customFormat="1">
      <c r="A98" s="599" t="str">
        <f>Commodities!K25</f>
        <v>TTAXI_HEV_GSL_00</v>
      </c>
      <c r="B98" s="611">
        <f>(Stock!E64*AF!D18)/Efficiency!D19/0.041868</f>
        <v>5.3884024712342438</v>
      </c>
      <c r="C98" s="767"/>
      <c r="D98" s="770"/>
      <c r="Q98" s="135"/>
    </row>
    <row r="99" spans="1:17" s="459" customFormat="1">
      <c r="A99" s="599" t="str">
        <f>Commodities!K27</f>
        <v>TBUS_ICE_DST_00</v>
      </c>
      <c r="B99" s="611">
        <f>(Stock!E66*AF!D19)/Efficiency!D20/0.041868</f>
        <v>187.36663385823908</v>
      </c>
      <c r="C99" s="767"/>
      <c r="D99" s="770"/>
      <c r="Q99" s="135"/>
    </row>
    <row r="100" spans="1:17" s="459" customFormat="1" ht="15.75">
      <c r="A100" s="598" t="s">
        <v>948</v>
      </c>
      <c r="B100" s="610">
        <f>SUM(B96:B99)</f>
        <v>283.57099419787511</v>
      </c>
      <c r="C100" s="768"/>
      <c r="D100" s="771"/>
      <c r="Q100" s="135"/>
    </row>
    <row r="101" spans="1:17" s="459" customFormat="1">
      <c r="A101" s="459" t="s">
        <v>949</v>
      </c>
      <c r="Q101" s="135"/>
    </row>
    <row r="102" spans="1:17" s="459" customFormat="1">
      <c r="Q102" s="135"/>
    </row>
    <row r="103" spans="1:17" s="459" customFormat="1">
      <c r="Q103" s="135"/>
    </row>
    <row r="104" spans="1:17" s="459" customFormat="1"/>
    <row r="105" spans="1:17" s="459" customFormat="1">
      <c r="A105" s="595" t="s">
        <v>862</v>
      </c>
      <c r="B105" s="765" t="s">
        <v>849</v>
      </c>
      <c r="C105" s="765"/>
      <c r="D105" s="471"/>
    </row>
    <row r="106" spans="1:17" s="459" customFormat="1">
      <c r="A106" s="588"/>
      <c r="B106" s="600" t="s">
        <v>837</v>
      </c>
      <c r="C106" s="600" t="s">
        <v>588</v>
      </c>
      <c r="D106" s="600" t="s">
        <v>217</v>
      </c>
    </row>
    <row r="107" spans="1:17" s="459" customFormat="1">
      <c r="A107" s="597" t="str">
        <f>Commodities!K29</f>
        <v>TLRAIL_ELC_00</v>
      </c>
      <c r="B107" s="611">
        <f>C129/Efficiency!D21/0.041868</f>
        <v>2.4094862952239589</v>
      </c>
      <c r="C107" s="766">
        <f>'EB2018'!AM50</f>
        <v>42.228937759939136</v>
      </c>
      <c r="D107" s="769" t="e">
        <f>(B111-C107)/C107</f>
        <v>#REF!</v>
      </c>
    </row>
    <row r="108" spans="1:17" s="459" customFormat="1">
      <c r="A108" s="599" t="str">
        <f>Commodities!K30</f>
        <v>THRAIL_ELC_00</v>
      </c>
      <c r="B108" s="611">
        <f>B107</f>
        <v>2.4094862952239589</v>
      </c>
      <c r="C108" s="767"/>
      <c r="D108" s="770"/>
    </row>
    <row r="109" spans="1:17" s="459" customFormat="1">
      <c r="A109" s="599" t="str">
        <f>Commodities!K31</f>
        <v>THRAIL_DST_00</v>
      </c>
      <c r="B109" s="611" t="e">
        <f>#REF!/ACT2FLO!D26/Efficiency!D23/0.041868</f>
        <v>#REF!</v>
      </c>
      <c r="C109" s="767"/>
      <c r="D109" s="770"/>
    </row>
    <row r="110" spans="1:17" s="459" customFormat="1">
      <c r="A110" s="599" t="str">
        <f>Commodities!K36</f>
        <v>TFRAIL_DST_00</v>
      </c>
      <c r="B110" s="611">
        <f>C8/ACT2FLO!D30/Efficiency!D26/0.041868</f>
        <v>2.7235217590091064E-3</v>
      </c>
      <c r="C110" s="767"/>
      <c r="D110" s="770"/>
    </row>
    <row r="111" spans="1:17" s="459" customFormat="1" ht="15.75">
      <c r="A111" s="598" t="s">
        <v>852</v>
      </c>
      <c r="B111" s="610" t="e">
        <f>SUM(B107:B110)</f>
        <v>#REF!</v>
      </c>
      <c r="C111" s="768"/>
      <c r="D111" s="771"/>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75">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75">
      <c r="A119" s="425" t="s">
        <v>463</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566</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591</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592</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589</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592</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590</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863</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58" t="s">
        <v>16</v>
      </c>
      <c r="B130" s="758"/>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593</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75">
      <c r="A135" s="425" t="s">
        <v>594</v>
      </c>
      <c r="B135" s="11"/>
      <c r="C135" s="11"/>
    </row>
    <row r="136" spans="1:88" s="459" customFormat="1">
      <c r="A136" s="131" t="s">
        <v>596</v>
      </c>
      <c r="B136" s="131" t="s">
        <v>597</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7.25">
      <c r="A137" s="459" t="s">
        <v>607</v>
      </c>
      <c r="B137" s="459" t="s">
        <v>362</v>
      </c>
      <c r="C137" s="463">
        <f>C130*B235*I235/H235</f>
        <v>4713.1209901287639</v>
      </c>
      <c r="D137" s="463">
        <f t="shared" ref="D137:AC137" si="78">$C$137*C180</f>
        <v>56.349225400134316</v>
      </c>
      <c r="E137" s="463">
        <f t="shared" si="78"/>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363</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7.25">
      <c r="A139" s="459" t="s">
        <v>608</v>
      </c>
      <c r="B139" s="459" t="s">
        <v>595</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7.25">
      <c r="A140" s="411" t="s">
        <v>609</v>
      </c>
      <c r="B140" s="411" t="s">
        <v>598</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599</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600</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615</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7.25">
      <c r="A144" s="411" t="s">
        <v>610</v>
      </c>
      <c r="B144" s="411" t="s">
        <v>601</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602</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603</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616</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7.25">
      <c r="A148" s="411" t="s">
        <v>590</v>
      </c>
      <c r="B148" s="411" t="s">
        <v>612</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7.25">
      <c r="A149" s="411"/>
      <c r="B149" s="411" t="s">
        <v>613</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7.25">
      <c r="A150" s="411"/>
      <c r="B150" s="500" t="s">
        <v>646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57" t="s">
        <v>16</v>
      </c>
      <c r="B151" s="757"/>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606</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611</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614</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75">
      <c r="A159" s="401" t="s">
        <v>338</v>
      </c>
      <c r="B159" s="401"/>
      <c r="C159" s="401"/>
      <c r="D159" s="445"/>
      <c r="E159" s="445"/>
      <c r="F159" s="445"/>
      <c r="G159" s="401" t="s">
        <v>605</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582</v>
      </c>
      <c r="B161" s="478" t="s">
        <v>581</v>
      </c>
      <c r="C161" s="479" t="s">
        <v>580</v>
      </c>
      <c r="D161" s="445"/>
      <c r="E161" s="445"/>
      <c r="F161" s="445"/>
      <c r="G161" s="480" t="s">
        <v>21</v>
      </c>
      <c r="H161" s="474"/>
      <c r="I161" s="474"/>
      <c r="J161" s="474"/>
      <c r="K161" s="474"/>
      <c r="Z161" s="445"/>
      <c r="AA161" s="445"/>
      <c r="AB161" s="445"/>
    </row>
    <row r="162" spans="1:30" s="133" customFormat="1">
      <c r="A162" s="128" t="s">
        <v>579</v>
      </c>
      <c r="B162" s="479" t="s">
        <v>578</v>
      </c>
      <c r="C162" s="479" t="s">
        <v>577</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576</v>
      </c>
      <c r="B164" s="479" t="s">
        <v>575</v>
      </c>
      <c r="C164" s="479" t="s">
        <v>574</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573</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864</v>
      </c>
      <c r="H170" s="493"/>
      <c r="I170" s="494"/>
      <c r="J170" s="494"/>
      <c r="Z170" s="445"/>
      <c r="AA170" s="445"/>
      <c r="AB170" s="445"/>
    </row>
    <row r="171" spans="1:30" s="133" customFormat="1">
      <c r="A171" s="128" t="s">
        <v>36</v>
      </c>
      <c r="B171" s="479">
        <v>7</v>
      </c>
      <c r="C171" s="479">
        <v>7</v>
      </c>
      <c r="D171" s="445"/>
      <c r="E171" s="445"/>
      <c r="F171" s="445"/>
      <c r="G171" s="759"/>
      <c r="H171" s="759"/>
      <c r="I171" s="495"/>
      <c r="J171" s="495"/>
      <c r="Z171" s="445"/>
      <c r="AA171" s="445"/>
      <c r="AB171" s="445"/>
    </row>
    <row r="172" spans="1:30" s="133" customFormat="1">
      <c r="A172" s="496" t="s">
        <v>37</v>
      </c>
      <c r="B172" s="497">
        <v>0.97050000000000003</v>
      </c>
      <c r="C172" s="497">
        <v>0.97640000000000005</v>
      </c>
      <c r="D172" s="445"/>
      <c r="E172" s="445"/>
      <c r="F172" s="445"/>
      <c r="G172" s="759"/>
      <c r="H172" s="759"/>
      <c r="I172" s="495"/>
      <c r="J172" s="495"/>
      <c r="Z172" s="445"/>
      <c r="AA172" s="445"/>
      <c r="AB172" s="445"/>
    </row>
    <row r="173" spans="1:30" s="133" customFormat="1">
      <c r="A173" s="498" t="s">
        <v>644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75">
      <c r="A177" s="401" t="s">
        <v>434</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402</v>
      </c>
      <c r="AD178" s="459"/>
    </row>
    <row r="179" spans="1:30">
      <c r="A179" s="406" t="s">
        <v>400</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403</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404</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75">
      <c r="A185" s="401" t="s">
        <v>421</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418</v>
      </c>
      <c r="B186" s="130" t="s">
        <v>365</v>
      </c>
      <c r="C186" s="130" t="s">
        <v>362</v>
      </c>
      <c r="D186" s="130" t="s">
        <v>408</v>
      </c>
      <c r="E186" s="130" t="s">
        <v>409</v>
      </c>
      <c r="F186" s="130" t="s">
        <v>24</v>
      </c>
      <c r="G186" s="130" t="s">
        <v>410</v>
      </c>
      <c r="H186" s="130" t="s">
        <v>13</v>
      </c>
      <c r="I186" s="130" t="s">
        <v>1</v>
      </c>
      <c r="K186" s="409" t="s">
        <v>444</v>
      </c>
      <c r="L186" s="34"/>
      <c r="M186" s="408" t="s">
        <v>443</v>
      </c>
      <c r="O186" s="34"/>
      <c r="P186" s="34"/>
      <c r="Q186" s="34"/>
      <c r="R186" s="34"/>
      <c r="S186" s="34"/>
      <c r="T186" s="34"/>
      <c r="U186" s="34"/>
      <c r="V186" s="34"/>
      <c r="W186" s="34"/>
      <c r="X186" s="34"/>
      <c r="Y186" s="34"/>
      <c r="Z186" s="34"/>
      <c r="AA186" s="34"/>
      <c r="AB186" s="402"/>
    </row>
    <row r="187" spans="1:30" s="391" customFormat="1">
      <c r="A187" s="391" t="s">
        <v>401</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420</v>
      </c>
      <c r="O187" s="34"/>
      <c r="P187" s="34"/>
      <c r="Q187" s="34"/>
      <c r="R187" s="34"/>
      <c r="S187" s="34"/>
      <c r="T187" s="34"/>
      <c r="U187" s="34"/>
      <c r="V187" s="34"/>
      <c r="W187" s="34"/>
      <c r="X187" s="34"/>
      <c r="Y187" s="34"/>
      <c r="Z187" s="34"/>
      <c r="AA187" s="34"/>
      <c r="AB187" s="402"/>
    </row>
    <row r="188" spans="1:30" s="391" customFormat="1">
      <c r="A188" s="391" t="s">
        <v>405</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412</v>
      </c>
      <c r="O188" s="34"/>
      <c r="P188" s="34"/>
      <c r="Q188" s="34"/>
      <c r="R188" s="34"/>
      <c r="S188" s="34"/>
      <c r="T188" s="34"/>
      <c r="U188" s="34"/>
      <c r="V188" s="34"/>
      <c r="W188" s="34"/>
      <c r="X188" s="34"/>
      <c r="Y188" s="34"/>
      <c r="Z188" s="34"/>
      <c r="AA188" s="34"/>
      <c r="AB188" s="402"/>
    </row>
    <row r="189" spans="1:30" s="391" customFormat="1">
      <c r="A189" s="391" t="s">
        <v>411</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413</v>
      </c>
      <c r="O189" s="34"/>
      <c r="P189" s="34"/>
      <c r="Q189" s="34"/>
      <c r="R189" s="34"/>
      <c r="S189" s="34"/>
      <c r="T189" s="34"/>
      <c r="U189" s="34"/>
      <c r="V189" s="34"/>
      <c r="W189" s="34"/>
      <c r="X189" s="34"/>
      <c r="Y189" s="34"/>
      <c r="Z189" s="34"/>
      <c r="AA189" s="34"/>
      <c r="AB189" s="402"/>
    </row>
    <row r="190" spans="1:30" s="391" customFormat="1">
      <c r="A190" s="391" t="s">
        <v>406</v>
      </c>
      <c r="B190" s="4">
        <v>0.62</v>
      </c>
      <c r="C190" s="4">
        <v>0.27</v>
      </c>
      <c r="D190" s="4">
        <v>0.05</v>
      </c>
      <c r="E190" s="4">
        <v>0.05</v>
      </c>
      <c r="F190" s="4">
        <v>0</v>
      </c>
      <c r="G190" s="4">
        <v>8.9999999999999993E-3</v>
      </c>
      <c r="H190" s="4">
        <v>1E-3</v>
      </c>
      <c r="I190" s="404">
        <f t="shared" si="88"/>
        <v>1</v>
      </c>
      <c r="K190" s="388">
        <f>(S201+V201+X201+Y201)/$B$200</f>
        <v>7.9993447945290341E-2</v>
      </c>
      <c r="L190" s="34"/>
      <c r="M190" s="391" t="s">
        <v>414</v>
      </c>
      <c r="O190" s="34"/>
      <c r="P190" s="34"/>
      <c r="Q190" s="34"/>
      <c r="R190" s="34"/>
      <c r="S190" s="34"/>
      <c r="T190" s="34"/>
      <c r="U190" s="34"/>
      <c r="V190" s="34"/>
      <c r="W190" s="34"/>
      <c r="X190" s="34"/>
      <c r="Y190" s="34"/>
      <c r="Z190" s="34"/>
      <c r="AA190" s="34"/>
      <c r="AB190" s="402"/>
    </row>
    <row r="191" spans="1:30" s="391" customFormat="1">
      <c r="A191" s="391" t="s">
        <v>407</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422</v>
      </c>
      <c r="O191" s="34"/>
      <c r="P191" s="34"/>
      <c r="Q191" s="34"/>
      <c r="R191" s="34"/>
      <c r="S191" s="34"/>
      <c r="T191" s="34"/>
      <c r="U191" s="34"/>
      <c r="V191" s="34"/>
      <c r="W191" s="34"/>
      <c r="X191" s="34"/>
      <c r="Y191" s="34"/>
      <c r="Z191" s="34"/>
      <c r="AA191" s="34"/>
      <c r="AB191" s="402"/>
    </row>
    <row r="192" spans="1:30" s="391" customFormat="1">
      <c r="A192" s="391" t="s">
        <v>417</v>
      </c>
      <c r="B192" s="4">
        <v>0.64</v>
      </c>
      <c r="C192" s="4">
        <v>0.28999999999999998</v>
      </c>
      <c r="D192" s="4">
        <v>0.03</v>
      </c>
      <c r="E192" s="4">
        <v>0.02</v>
      </c>
      <c r="F192" s="4">
        <v>0</v>
      </c>
      <c r="G192" s="4">
        <v>0.01</v>
      </c>
      <c r="H192" s="4">
        <v>0.01</v>
      </c>
      <c r="I192" s="404">
        <f t="shared" si="88"/>
        <v>1</v>
      </c>
      <c r="K192" s="391">
        <v>0</v>
      </c>
      <c r="L192" s="34"/>
      <c r="M192" s="391" t="s">
        <v>415</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416</v>
      </c>
      <c r="O193" s="34"/>
      <c r="P193" s="34"/>
      <c r="Q193" s="34"/>
      <c r="R193" s="34"/>
      <c r="S193" s="34"/>
      <c r="T193" s="34"/>
      <c r="U193" s="34"/>
      <c r="V193" s="34"/>
      <c r="W193" s="34"/>
      <c r="X193" s="34"/>
      <c r="Y193" s="34"/>
      <c r="Z193" s="34"/>
      <c r="AA193" s="34"/>
      <c r="AB193" s="402"/>
    </row>
    <row r="194" spans="1:33" s="391" customFormat="1">
      <c r="A194" s="391" t="s">
        <v>419</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75">
      <c r="A198" s="401" t="s">
        <v>435</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401</v>
      </c>
      <c r="C199" s="132" t="s">
        <v>374</v>
      </c>
      <c r="D199" s="132" t="s">
        <v>423</v>
      </c>
      <c r="E199" s="132" t="s">
        <v>424</v>
      </c>
      <c r="F199" s="132" t="s">
        <v>425</v>
      </c>
      <c r="G199" s="132" t="s">
        <v>426</v>
      </c>
      <c r="H199" s="132" t="s">
        <v>376</v>
      </c>
      <c r="I199" s="132" t="s">
        <v>377</v>
      </c>
      <c r="J199" s="132" t="s">
        <v>378</v>
      </c>
      <c r="K199" s="132" t="s">
        <v>379</v>
      </c>
      <c r="L199" s="132" t="s">
        <v>380</v>
      </c>
      <c r="M199" s="132" t="s">
        <v>381</v>
      </c>
      <c r="N199" s="132" t="s">
        <v>382</v>
      </c>
      <c r="O199" s="132" t="s">
        <v>383</v>
      </c>
      <c r="P199" s="132" t="s">
        <v>384</v>
      </c>
      <c r="Q199" s="132" t="s">
        <v>385</v>
      </c>
      <c r="R199" s="132" t="s">
        <v>386</v>
      </c>
      <c r="S199" s="132" t="s">
        <v>427</v>
      </c>
      <c r="T199" s="132" t="s">
        <v>428</v>
      </c>
      <c r="U199" s="132" t="s">
        <v>388</v>
      </c>
      <c r="V199" s="132" t="s">
        <v>429</v>
      </c>
      <c r="W199" s="132" t="s">
        <v>390</v>
      </c>
      <c r="X199" s="132" t="s">
        <v>430</v>
      </c>
      <c r="Y199" s="132" t="s">
        <v>431</v>
      </c>
      <c r="Z199" s="132" t="s">
        <v>432</v>
      </c>
      <c r="AA199" s="132" t="s">
        <v>393</v>
      </c>
      <c r="AB199" s="132" t="s">
        <v>394</v>
      </c>
      <c r="AC199" s="132" t="s">
        <v>395</v>
      </c>
      <c r="AD199" s="132" t="s">
        <v>396</v>
      </c>
      <c r="AE199" s="132" t="s">
        <v>397</v>
      </c>
      <c r="AF199" s="132" t="s">
        <v>398</v>
      </c>
      <c r="AG199" s="132" t="s">
        <v>399</v>
      </c>
    </row>
    <row r="200" spans="1:33">
      <c r="A200" s="391" t="s">
        <v>433</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436</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437</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438</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439</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440</v>
      </c>
    </row>
    <row r="207" spans="1:33" s="391" customFormat="1">
      <c r="A207" s="133"/>
    </row>
    <row r="208" spans="1:33" s="459" customFormat="1">
      <c r="A208" s="133"/>
    </row>
    <row r="209" spans="1:30" s="391" customFormat="1">
      <c r="A209" s="133"/>
    </row>
    <row r="210" spans="1:30" s="391" customFormat="1" ht="15.75">
      <c r="A210" s="401" t="s">
        <v>441</v>
      </c>
      <c r="B210" s="401"/>
      <c r="C210" s="401"/>
    </row>
    <row r="211" spans="1:30" s="391" customFormat="1">
      <c r="A211" s="132" t="s">
        <v>418</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442</v>
      </c>
    </row>
    <row r="216" spans="1:30" s="391" customFormat="1">
      <c r="A216" s="133"/>
    </row>
    <row r="217" spans="1:30" s="391" customFormat="1"/>
    <row r="218" spans="1:30" s="391" customFormat="1">
      <c r="C218" s="459"/>
      <c r="AD218" s="5"/>
    </row>
    <row r="219" spans="1:30" s="391" customFormat="1">
      <c r="A219" s="391" t="s">
        <v>451</v>
      </c>
      <c r="C219" s="459"/>
      <c r="AD219" s="5"/>
    </row>
    <row r="220" spans="1:30" s="391" customFormat="1">
      <c r="A220" s="132" t="s">
        <v>450</v>
      </c>
      <c r="B220" s="132" t="s">
        <v>449</v>
      </c>
      <c r="C220" s="459"/>
      <c r="AD220" s="5"/>
    </row>
    <row r="221" spans="1:30" s="391" customFormat="1">
      <c r="A221" s="391" t="s">
        <v>452</v>
      </c>
      <c r="B221" s="391" t="s">
        <v>371</v>
      </c>
      <c r="C221" s="459"/>
      <c r="AD221" s="5"/>
    </row>
    <row r="222" spans="1:30" s="391" customFormat="1">
      <c r="A222" s="391" t="s">
        <v>453</v>
      </c>
      <c r="B222" s="391" t="s">
        <v>372</v>
      </c>
      <c r="C222" s="459"/>
      <c r="AD222" s="5"/>
    </row>
    <row r="223" spans="1:30" s="391" customFormat="1">
      <c r="A223" s="392" t="s">
        <v>454</v>
      </c>
      <c r="B223" s="392" t="s">
        <v>373</v>
      </c>
      <c r="C223" s="459"/>
      <c r="AD223" s="5"/>
    </row>
    <row r="224" spans="1:30" s="391" customFormat="1">
      <c r="A224" s="133" t="s">
        <v>466</v>
      </c>
      <c r="B224" s="1"/>
      <c r="C224" s="459"/>
      <c r="AD224" s="5"/>
    </row>
    <row r="225" spans="1:30" s="391" customFormat="1">
      <c r="A225" s="20" t="s">
        <v>467</v>
      </c>
      <c r="B225" s="1"/>
      <c r="AD225" s="5"/>
    </row>
    <row r="226" spans="1:30" s="391" customFormat="1">
      <c r="A226" s="20" t="s">
        <v>465</v>
      </c>
      <c r="B226" s="1"/>
      <c r="AD226" s="5"/>
    </row>
    <row r="227" spans="1:30" s="391" customFormat="1">
      <c r="A227" s="20" t="s">
        <v>468</v>
      </c>
      <c r="B227" s="1"/>
      <c r="AD227" s="5"/>
    </row>
    <row r="228" spans="1:30" s="391" customFormat="1">
      <c r="A228" s="20" t="s">
        <v>464</v>
      </c>
      <c r="B228" s="1"/>
      <c r="AD228" s="5"/>
    </row>
    <row r="229" spans="1:30" s="391" customFormat="1">
      <c r="A229" s="20" t="s">
        <v>572</v>
      </c>
      <c r="B229" s="1"/>
      <c r="AD229" s="5"/>
    </row>
    <row r="231" spans="1:30" s="391" customFormat="1">
      <c r="A231" s="1"/>
      <c r="B231" s="1"/>
      <c r="AD231" s="5"/>
    </row>
    <row r="233" spans="1:30" ht="15.75">
      <c r="A233" s="401" t="s">
        <v>445</v>
      </c>
      <c r="B233" s="401"/>
      <c r="C233" s="34"/>
      <c r="D233" s="34"/>
      <c r="G233" s="401" t="s">
        <v>421</v>
      </c>
      <c r="H233" s="401"/>
      <c r="I233" s="34"/>
      <c r="J233" s="34"/>
      <c r="K233" s="34"/>
      <c r="L233" s="34"/>
      <c r="M233" s="34"/>
      <c r="N233" s="34"/>
      <c r="O233" s="34"/>
    </row>
    <row r="234" spans="1:30">
      <c r="A234" s="132" t="s">
        <v>418</v>
      </c>
      <c r="B234" s="130" t="s">
        <v>446</v>
      </c>
      <c r="C234" s="130" t="s">
        <v>447</v>
      </c>
      <c r="D234" s="130" t="s">
        <v>448</v>
      </c>
      <c r="E234" s="130" t="s">
        <v>16</v>
      </c>
      <c r="G234" s="132" t="s">
        <v>418</v>
      </c>
      <c r="H234" s="130" t="s">
        <v>365</v>
      </c>
      <c r="I234" s="130" t="s">
        <v>362</v>
      </c>
      <c r="J234" s="130" t="s">
        <v>408</v>
      </c>
      <c r="K234" s="130" t="s">
        <v>409</v>
      </c>
      <c r="L234" s="130" t="s">
        <v>24</v>
      </c>
      <c r="M234" s="130" t="s">
        <v>410</v>
      </c>
      <c r="N234" s="130" t="s">
        <v>13</v>
      </c>
      <c r="O234" s="130" t="s">
        <v>1</v>
      </c>
    </row>
    <row r="235" spans="1:30">
      <c r="A235" s="391" t="s">
        <v>401</v>
      </c>
      <c r="B235" s="357">
        <v>0.5</v>
      </c>
      <c r="C235" s="357">
        <v>0.41</v>
      </c>
      <c r="D235" s="357">
        <v>0.09</v>
      </c>
      <c r="E235" s="357">
        <f>SUM(B235:D235)</f>
        <v>0.99999999999999989</v>
      </c>
      <c r="G235" s="391" t="s">
        <v>401</v>
      </c>
      <c r="H235" s="357">
        <v>0.71</v>
      </c>
      <c r="I235" s="357">
        <v>0.18</v>
      </c>
      <c r="J235" s="357">
        <v>0.05</v>
      </c>
      <c r="K235" s="357">
        <v>0.03</v>
      </c>
      <c r="L235" s="357">
        <v>0.01</v>
      </c>
      <c r="M235" s="357">
        <v>1.7999999999999999E-2</v>
      </c>
      <c r="N235" s="357">
        <v>4.0000000000000001E-3</v>
      </c>
      <c r="O235" s="4">
        <f>SUM(H235:N235)</f>
        <v>1.002</v>
      </c>
    </row>
    <row r="236" spans="1:30">
      <c r="A236" s="391" t="s">
        <v>405</v>
      </c>
      <c r="B236" s="4">
        <v>0.61</v>
      </c>
      <c r="C236" s="4">
        <v>0.35</v>
      </c>
      <c r="D236" s="4">
        <v>0.04</v>
      </c>
      <c r="E236" s="4">
        <f>SUM(B236:D236)</f>
        <v>1</v>
      </c>
      <c r="G236" s="391" t="s">
        <v>405</v>
      </c>
      <c r="H236" s="4">
        <v>0.42</v>
      </c>
      <c r="I236" s="4">
        <v>0.28999999999999998</v>
      </c>
      <c r="J236" s="4">
        <v>0.16</v>
      </c>
      <c r="K236" s="4">
        <v>0.09</v>
      </c>
      <c r="L236" s="4">
        <v>0.02</v>
      </c>
      <c r="M236" s="4">
        <v>0.01</v>
      </c>
      <c r="N236" s="4">
        <v>6.0000000000000001E-3</v>
      </c>
      <c r="O236" s="4">
        <f>SUM(H236:N236)</f>
        <v>0.996</v>
      </c>
    </row>
    <row r="237" spans="1:30">
      <c r="A237" s="391" t="s">
        <v>411</v>
      </c>
      <c r="B237" s="4">
        <v>0.52</v>
      </c>
      <c r="C237" s="4">
        <v>0.4</v>
      </c>
      <c r="D237" s="4">
        <v>0.08</v>
      </c>
      <c r="E237" s="4">
        <f>SUM(B237:D237)</f>
        <v>1</v>
      </c>
      <c r="G237" s="391" t="s">
        <v>411</v>
      </c>
      <c r="H237" s="4">
        <v>0.63</v>
      </c>
      <c r="I237" s="4">
        <v>0.2</v>
      </c>
      <c r="J237" s="4">
        <v>0.09</v>
      </c>
      <c r="K237" s="4">
        <v>0.05</v>
      </c>
      <c r="L237" s="4">
        <v>0.02</v>
      </c>
      <c r="M237" s="4">
        <v>8.9999999999999993E-3</v>
      </c>
      <c r="N237" s="4">
        <v>1E-3</v>
      </c>
      <c r="O237" s="4">
        <f t="shared" ref="O237:O240" si="108">SUM(H237:N237)</f>
        <v>1</v>
      </c>
    </row>
    <row r="238" spans="1:30">
      <c r="A238" s="391" t="s">
        <v>406</v>
      </c>
      <c r="B238" s="4">
        <v>0.71</v>
      </c>
      <c r="C238" s="4">
        <v>0.25</v>
      </c>
      <c r="D238" s="4">
        <v>0.04</v>
      </c>
      <c r="E238" s="4">
        <f t="shared" ref="E238:E241" si="109">SUM(B238:D238)</f>
        <v>1</v>
      </c>
      <c r="G238" s="391" t="s">
        <v>406</v>
      </c>
      <c r="H238" s="4">
        <v>0.62</v>
      </c>
      <c r="I238" s="4">
        <v>0.27</v>
      </c>
      <c r="J238" s="4">
        <v>0.05</v>
      </c>
      <c r="K238" s="4">
        <v>0.05</v>
      </c>
      <c r="L238" s="4">
        <v>0</v>
      </c>
      <c r="M238" s="4">
        <v>8.9999999999999993E-3</v>
      </c>
      <c r="N238" s="4">
        <v>1E-3</v>
      </c>
      <c r="O238" s="404">
        <f t="shared" si="108"/>
        <v>1</v>
      </c>
    </row>
    <row r="239" spans="1:30">
      <c r="A239" s="391" t="s">
        <v>407</v>
      </c>
      <c r="B239" s="4">
        <v>0.56000000000000005</v>
      </c>
      <c r="C239" s="4">
        <v>0.35</v>
      </c>
      <c r="D239" s="4">
        <v>0.09</v>
      </c>
      <c r="E239" s="4">
        <f t="shared" si="109"/>
        <v>1</v>
      </c>
      <c r="G239" s="391" t="s">
        <v>407</v>
      </c>
      <c r="H239" s="4">
        <v>0.76</v>
      </c>
      <c r="I239" s="4">
        <v>0.18</v>
      </c>
      <c r="J239" s="4">
        <v>0.03</v>
      </c>
      <c r="K239" s="4">
        <v>0.01</v>
      </c>
      <c r="L239" s="4">
        <v>0</v>
      </c>
      <c r="M239" s="4">
        <v>0.01</v>
      </c>
      <c r="N239" s="4">
        <v>0.01</v>
      </c>
      <c r="O239" s="404">
        <f t="shared" si="108"/>
        <v>1</v>
      </c>
    </row>
    <row r="240" spans="1:30">
      <c r="A240" s="1" t="s">
        <v>417</v>
      </c>
      <c r="B240" s="4">
        <v>0.7</v>
      </c>
      <c r="C240" s="4">
        <v>0.21</v>
      </c>
      <c r="D240" s="4">
        <v>0.09</v>
      </c>
      <c r="E240" s="4">
        <f t="shared" si="109"/>
        <v>0.99999999999999989</v>
      </c>
      <c r="G240" s="1" t="s">
        <v>417</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419</v>
      </c>
      <c r="B242" s="34"/>
      <c r="C242" s="34"/>
      <c r="D242" s="34"/>
      <c r="G242" s="459" t="s">
        <v>419</v>
      </c>
      <c r="L242" s="34"/>
      <c r="M242" s="34"/>
      <c r="N242" s="34"/>
      <c r="O242" s="34"/>
    </row>
    <row r="243" spans="1:28">
      <c r="A243" s="391" t="s">
        <v>647</v>
      </c>
    </row>
    <row r="244" spans="1:28" s="459" customFormat="1"/>
    <row r="245" spans="1:28" s="459" customFormat="1"/>
    <row r="246" spans="1:28" s="459" customFormat="1"/>
    <row r="247" spans="1:28" s="459" customFormat="1" ht="15.75">
      <c r="A247" s="401" t="s">
        <v>1044</v>
      </c>
      <c r="B247" s="686"/>
      <c r="C247" s="686"/>
      <c r="I247" s="760" t="s">
        <v>1039</v>
      </c>
      <c r="J247" s="760"/>
      <c r="K247" s="760"/>
      <c r="L247" s="760"/>
      <c r="M247" s="760"/>
      <c r="N247" s="760"/>
      <c r="O247" s="760"/>
      <c r="P247" s="760"/>
      <c r="Q247" s="760"/>
      <c r="R247" s="760"/>
      <c r="S247" s="760"/>
      <c r="T247" s="760"/>
      <c r="U247" s="760"/>
      <c r="V247" s="760"/>
      <c r="W247" s="760"/>
      <c r="X247" s="760"/>
      <c r="Y247" s="760"/>
      <c r="Z247" s="760"/>
      <c r="AA247" s="760"/>
      <c r="AB247" s="760"/>
    </row>
    <row r="248" spans="1:28" s="459" customFormat="1">
      <c r="A248" s="132" t="s">
        <v>1007</v>
      </c>
      <c r="B248" s="132" t="s">
        <v>449</v>
      </c>
      <c r="C248" s="132" t="s">
        <v>1008</v>
      </c>
      <c r="I248" s="761" t="s">
        <v>1030</v>
      </c>
      <c r="J248" s="763" t="s">
        <v>322</v>
      </c>
      <c r="K248" s="763"/>
      <c r="L248" s="763"/>
      <c r="M248" s="13"/>
      <c r="N248" s="763" t="s">
        <v>716</v>
      </c>
      <c r="O248" s="763"/>
      <c r="P248" s="763"/>
      <c r="Q248" s="13"/>
      <c r="R248" s="763" t="s">
        <v>324</v>
      </c>
      <c r="S248" s="763"/>
      <c r="T248" s="763"/>
      <c r="U248" s="13"/>
      <c r="V248" s="763" t="s">
        <v>1031</v>
      </c>
      <c r="W248" s="763"/>
      <c r="X248" s="763"/>
      <c r="Y248" s="13"/>
      <c r="Z248" s="763" t="s">
        <v>589</v>
      </c>
      <c r="AA248" s="763"/>
      <c r="AB248" s="763"/>
    </row>
    <row r="249" spans="1:28" s="459" customFormat="1" ht="23.25">
      <c r="A249" s="683"/>
      <c r="B249" s="687" t="s">
        <v>1068</v>
      </c>
      <c r="C249" s="687" t="s">
        <v>1009</v>
      </c>
      <c r="I249" s="762"/>
      <c r="J249" s="690" t="s">
        <v>1032</v>
      </c>
      <c r="K249" s="691" t="s">
        <v>1033</v>
      </c>
      <c r="L249" s="691" t="s">
        <v>1034</v>
      </c>
      <c r="M249" s="692"/>
      <c r="N249" s="690" t="s">
        <v>1032</v>
      </c>
      <c r="O249" s="691" t="s">
        <v>1033</v>
      </c>
      <c r="P249" s="691" t="s">
        <v>1034</v>
      </c>
      <c r="Q249" s="692"/>
      <c r="R249" s="690" t="s">
        <v>1032</v>
      </c>
      <c r="S249" s="691" t="s">
        <v>1033</v>
      </c>
      <c r="T249" s="691" t="s">
        <v>1034</v>
      </c>
      <c r="U249" s="692"/>
      <c r="V249" s="690" t="s">
        <v>1032</v>
      </c>
      <c r="W249" s="691" t="s">
        <v>1033</v>
      </c>
      <c r="X249" s="691" t="s">
        <v>1034</v>
      </c>
      <c r="Y249" s="693"/>
      <c r="Z249" s="690" t="s">
        <v>1032</v>
      </c>
      <c r="AA249" s="691" t="s">
        <v>1033</v>
      </c>
      <c r="AB249" s="691" t="s">
        <v>1034</v>
      </c>
    </row>
    <row r="250" spans="1:28" s="459" customFormat="1">
      <c r="A250" s="459" t="s">
        <v>1010</v>
      </c>
      <c r="B250" s="687">
        <v>13.6</v>
      </c>
      <c r="C250" s="687">
        <v>20.7</v>
      </c>
      <c r="I250" s="694" t="s">
        <v>374</v>
      </c>
      <c r="J250" s="695">
        <v>28512</v>
      </c>
      <c r="K250" s="695">
        <v>529</v>
      </c>
      <c r="L250" s="695">
        <v>18540</v>
      </c>
      <c r="M250" s="696"/>
      <c r="N250" s="695">
        <v>5809</v>
      </c>
      <c r="O250" s="695">
        <v>129</v>
      </c>
      <c r="P250" s="695">
        <v>22282</v>
      </c>
      <c r="Q250" s="696"/>
      <c r="R250" s="695">
        <v>563</v>
      </c>
      <c r="S250" s="695">
        <v>1</v>
      </c>
      <c r="T250" s="695">
        <v>2637</v>
      </c>
      <c r="U250" s="696"/>
      <c r="V250" s="695">
        <v>1948</v>
      </c>
      <c r="W250" s="695">
        <v>31</v>
      </c>
      <c r="X250" s="695">
        <v>16162</v>
      </c>
      <c r="Y250" s="696"/>
      <c r="Z250" s="695">
        <v>161</v>
      </c>
      <c r="AA250" s="695">
        <v>6</v>
      </c>
      <c r="AB250" s="695">
        <v>35951</v>
      </c>
    </row>
    <row r="251" spans="1:28" s="459" customFormat="1">
      <c r="A251" s="459" t="s">
        <v>1011</v>
      </c>
      <c r="B251" s="687">
        <v>20.5</v>
      </c>
      <c r="C251" s="687">
        <v>26.5</v>
      </c>
      <c r="I251" s="694" t="s">
        <v>397</v>
      </c>
      <c r="J251" s="695">
        <v>31849</v>
      </c>
      <c r="K251" s="695">
        <v>613</v>
      </c>
      <c r="L251" s="695">
        <v>19246</v>
      </c>
      <c r="M251" s="696"/>
      <c r="N251" s="695">
        <v>8050</v>
      </c>
      <c r="O251" s="695">
        <v>178</v>
      </c>
      <c r="P251" s="695">
        <v>22174</v>
      </c>
      <c r="Q251" s="696"/>
      <c r="R251" s="695">
        <v>448</v>
      </c>
      <c r="S251" s="695">
        <v>1</v>
      </c>
      <c r="T251" s="695">
        <v>2711</v>
      </c>
      <c r="U251" s="696"/>
      <c r="V251" s="695">
        <v>2762</v>
      </c>
      <c r="W251" s="695">
        <v>47</v>
      </c>
      <c r="X251" s="695">
        <v>17159</v>
      </c>
      <c r="Y251" s="696"/>
      <c r="Z251" s="695">
        <v>166</v>
      </c>
      <c r="AA251" s="695">
        <v>7</v>
      </c>
      <c r="AB251" s="695">
        <v>43668</v>
      </c>
    </row>
    <row r="252" spans="1:28" s="459" customFormat="1">
      <c r="A252" s="459" t="s">
        <v>362</v>
      </c>
      <c r="B252" s="687">
        <v>2.7</v>
      </c>
      <c r="C252" s="687">
        <v>19.8</v>
      </c>
      <c r="I252" s="694" t="s">
        <v>386</v>
      </c>
      <c r="J252" s="695">
        <v>57429</v>
      </c>
      <c r="K252" s="695">
        <v>1070</v>
      </c>
      <c r="L252" s="695">
        <v>18635</v>
      </c>
      <c r="M252" s="696"/>
      <c r="N252" s="695">
        <v>9436</v>
      </c>
      <c r="O252" s="695">
        <v>198</v>
      </c>
      <c r="P252" s="695">
        <v>20976</v>
      </c>
      <c r="Q252" s="696"/>
      <c r="R252" s="695">
        <v>924</v>
      </c>
      <c r="S252" s="695">
        <v>3</v>
      </c>
      <c r="T252" s="695">
        <v>2726</v>
      </c>
      <c r="U252" s="696"/>
      <c r="V252" s="695">
        <v>3308</v>
      </c>
      <c r="W252" s="695">
        <v>60</v>
      </c>
      <c r="X252" s="695">
        <v>18027</v>
      </c>
      <c r="Y252" s="696"/>
      <c r="Z252" s="695">
        <v>353</v>
      </c>
      <c r="AA252" s="695">
        <v>14</v>
      </c>
      <c r="AB252" s="695">
        <v>39666</v>
      </c>
    </row>
    <row r="253" spans="1:28" s="459" customFormat="1">
      <c r="A253" s="459" t="s">
        <v>1012</v>
      </c>
      <c r="B253" s="687">
        <v>16.3</v>
      </c>
      <c r="C253" s="687">
        <v>40</v>
      </c>
      <c r="I253" s="694" t="s">
        <v>387</v>
      </c>
      <c r="J253" s="695">
        <v>257933</v>
      </c>
      <c r="K253" s="695">
        <v>4298</v>
      </c>
      <c r="L253" s="695">
        <v>16665</v>
      </c>
      <c r="M253" s="696"/>
      <c r="N253" s="695">
        <v>41521</v>
      </c>
      <c r="O253" s="695">
        <v>879</v>
      </c>
      <c r="P253" s="695">
        <v>21168</v>
      </c>
      <c r="Q253" s="696"/>
      <c r="R253" s="695">
        <v>5452</v>
      </c>
      <c r="S253" s="695">
        <v>15</v>
      </c>
      <c r="T253" s="695">
        <v>2688</v>
      </c>
      <c r="U253" s="696"/>
      <c r="V253" s="695">
        <v>11801</v>
      </c>
      <c r="W253" s="695">
        <v>201</v>
      </c>
      <c r="X253" s="695">
        <v>16990</v>
      </c>
      <c r="Y253" s="696"/>
      <c r="Z253" s="695">
        <v>1752</v>
      </c>
      <c r="AA253" s="695">
        <v>70</v>
      </c>
      <c r="AB253" s="695">
        <v>39919</v>
      </c>
    </row>
    <row r="254" spans="1:28" s="459" customFormat="1">
      <c r="A254" s="459" t="s">
        <v>409</v>
      </c>
      <c r="B254" s="687">
        <v>5.7</v>
      </c>
      <c r="C254" s="687">
        <v>24.7</v>
      </c>
      <c r="I254" s="694" t="s">
        <v>398</v>
      </c>
      <c r="J254" s="695">
        <v>64284</v>
      </c>
      <c r="K254" s="695">
        <v>1167</v>
      </c>
      <c r="L254" s="695">
        <v>18151</v>
      </c>
      <c r="M254" s="696"/>
      <c r="N254" s="695">
        <v>14635</v>
      </c>
      <c r="O254" s="695">
        <v>289</v>
      </c>
      <c r="P254" s="695">
        <v>19749</v>
      </c>
      <c r="Q254" s="696"/>
      <c r="R254" s="695">
        <v>736</v>
      </c>
      <c r="S254" s="695">
        <v>2</v>
      </c>
      <c r="T254" s="695">
        <v>2793</v>
      </c>
      <c r="U254" s="696"/>
      <c r="V254" s="695">
        <v>3377</v>
      </c>
      <c r="W254" s="695">
        <v>64</v>
      </c>
      <c r="X254" s="695">
        <v>18812</v>
      </c>
      <c r="Y254" s="696"/>
      <c r="Z254" s="695">
        <v>365</v>
      </c>
      <c r="AA254" s="695">
        <v>15</v>
      </c>
      <c r="AB254" s="695">
        <v>40451</v>
      </c>
    </row>
    <row r="255" spans="1:28" s="459" customFormat="1">
      <c r="A255" s="459" t="s">
        <v>1013</v>
      </c>
      <c r="B255" s="687">
        <v>32.299999999999997</v>
      </c>
      <c r="C255" s="687">
        <v>49.4</v>
      </c>
      <c r="I255" s="694" t="s">
        <v>375</v>
      </c>
      <c r="J255" s="695">
        <v>542534</v>
      </c>
      <c r="K255" s="695">
        <v>7610</v>
      </c>
      <c r="L255" s="695">
        <v>14027</v>
      </c>
      <c r="M255" s="696"/>
      <c r="N255" s="695">
        <v>74522</v>
      </c>
      <c r="O255" s="695">
        <v>1769</v>
      </c>
      <c r="P255" s="695">
        <v>23744</v>
      </c>
      <c r="Q255" s="696"/>
      <c r="R255" s="695">
        <v>12616</v>
      </c>
      <c r="S255" s="695">
        <v>35</v>
      </c>
      <c r="T255" s="695">
        <v>2798</v>
      </c>
      <c r="U255" s="696"/>
      <c r="V255" s="695">
        <v>1868</v>
      </c>
      <c r="W255" s="695">
        <v>30</v>
      </c>
      <c r="X255" s="695">
        <v>16155</v>
      </c>
      <c r="Y255" s="696"/>
      <c r="Z255" s="695">
        <v>11149</v>
      </c>
      <c r="AA255" s="695">
        <v>430</v>
      </c>
      <c r="AB255" s="695">
        <v>38571</v>
      </c>
    </row>
    <row r="256" spans="1:28" s="459" customFormat="1">
      <c r="A256" s="459" t="s">
        <v>1014</v>
      </c>
      <c r="B256" s="687">
        <v>10.5</v>
      </c>
      <c r="C256" s="687">
        <v>17.8</v>
      </c>
      <c r="I256" s="694" t="s">
        <v>392</v>
      </c>
      <c r="J256" s="695">
        <v>114292</v>
      </c>
      <c r="K256" s="695">
        <v>2070</v>
      </c>
      <c r="L256" s="695">
        <v>18109</v>
      </c>
      <c r="M256" s="696"/>
      <c r="N256" s="695">
        <v>20357</v>
      </c>
      <c r="O256" s="695">
        <v>429</v>
      </c>
      <c r="P256" s="695">
        <v>21076</v>
      </c>
      <c r="Q256" s="696"/>
      <c r="R256" s="695">
        <v>1458</v>
      </c>
      <c r="S256" s="695">
        <v>4</v>
      </c>
      <c r="T256" s="695">
        <v>2701</v>
      </c>
      <c r="U256" s="696"/>
      <c r="V256" s="695">
        <v>5556</v>
      </c>
      <c r="W256" s="695">
        <v>99</v>
      </c>
      <c r="X256" s="695">
        <v>17765</v>
      </c>
      <c r="Y256" s="696"/>
      <c r="Z256" s="695">
        <v>962</v>
      </c>
      <c r="AA256" s="695">
        <v>39</v>
      </c>
      <c r="AB256" s="695">
        <v>40203</v>
      </c>
    </row>
    <row r="257" spans="1:28" s="459" customFormat="1">
      <c r="A257" s="459" t="s">
        <v>1015</v>
      </c>
      <c r="B257" s="687">
        <v>13.7</v>
      </c>
      <c r="C257" s="687">
        <v>33.1</v>
      </c>
      <c r="I257" s="694" t="s">
        <v>388</v>
      </c>
      <c r="J257" s="695">
        <v>71897</v>
      </c>
      <c r="K257" s="695">
        <v>1277</v>
      </c>
      <c r="L257" s="695">
        <v>17764</v>
      </c>
      <c r="M257" s="696"/>
      <c r="N257" s="695">
        <v>11920</v>
      </c>
      <c r="O257" s="695">
        <v>245</v>
      </c>
      <c r="P257" s="695">
        <v>20525</v>
      </c>
      <c r="Q257" s="696"/>
      <c r="R257" s="695">
        <v>1062</v>
      </c>
      <c r="S257" s="695">
        <v>3</v>
      </c>
      <c r="T257" s="695">
        <v>2680</v>
      </c>
      <c r="U257" s="696"/>
      <c r="V257" s="695">
        <v>4371</v>
      </c>
      <c r="W257" s="695">
        <v>75</v>
      </c>
      <c r="X257" s="695">
        <v>17133</v>
      </c>
      <c r="Y257" s="696"/>
      <c r="Z257" s="695">
        <v>468</v>
      </c>
      <c r="AA257" s="695">
        <v>18</v>
      </c>
      <c r="AB257" s="695">
        <v>38700</v>
      </c>
    </row>
    <row r="258" spans="1:28" s="459" customFormat="1">
      <c r="A258" s="136" t="s">
        <v>1016</v>
      </c>
      <c r="B258" s="136">
        <v>13.7</v>
      </c>
      <c r="C258" s="136">
        <v>23.3</v>
      </c>
      <c r="I258" s="694" t="s">
        <v>376</v>
      </c>
      <c r="J258" s="695">
        <v>103517</v>
      </c>
      <c r="K258" s="695">
        <v>1821</v>
      </c>
      <c r="L258" s="695">
        <v>17589</v>
      </c>
      <c r="M258" s="696"/>
      <c r="N258" s="695">
        <v>16092</v>
      </c>
      <c r="O258" s="695">
        <v>378</v>
      </c>
      <c r="P258" s="695">
        <v>23471</v>
      </c>
      <c r="Q258" s="696"/>
      <c r="R258" s="695">
        <v>2168</v>
      </c>
      <c r="S258" s="695">
        <v>6</v>
      </c>
      <c r="T258" s="695">
        <v>2728</v>
      </c>
      <c r="U258" s="696"/>
      <c r="V258" s="695">
        <v>2584</v>
      </c>
      <c r="W258" s="695">
        <v>43</v>
      </c>
      <c r="X258" s="695">
        <v>16821</v>
      </c>
      <c r="Y258" s="696"/>
      <c r="Z258" s="695">
        <v>824</v>
      </c>
      <c r="AA258" s="695">
        <v>35</v>
      </c>
      <c r="AB258" s="695">
        <v>42400</v>
      </c>
    </row>
    <row r="259" spans="1:28" s="459" customFormat="1">
      <c r="A259" s="685" t="s">
        <v>1029</v>
      </c>
      <c r="I259" s="694" t="s">
        <v>377</v>
      </c>
      <c r="J259" s="695">
        <v>44549</v>
      </c>
      <c r="K259" s="695">
        <v>827</v>
      </c>
      <c r="L259" s="695">
        <v>18553</v>
      </c>
      <c r="M259" s="696"/>
      <c r="N259" s="695">
        <v>8221</v>
      </c>
      <c r="O259" s="695">
        <v>189</v>
      </c>
      <c r="P259" s="695">
        <v>23000</v>
      </c>
      <c r="Q259" s="696"/>
      <c r="R259" s="695">
        <v>872</v>
      </c>
      <c r="S259" s="695">
        <v>2</v>
      </c>
      <c r="T259" s="695">
        <v>2652</v>
      </c>
      <c r="U259" s="696"/>
      <c r="V259" s="695">
        <v>3877</v>
      </c>
      <c r="W259" s="695">
        <v>66</v>
      </c>
      <c r="X259" s="695">
        <v>16990</v>
      </c>
      <c r="Y259" s="696"/>
      <c r="Z259" s="695">
        <v>216</v>
      </c>
      <c r="AA259" s="695">
        <v>9</v>
      </c>
      <c r="AB259" s="695">
        <v>41699</v>
      </c>
    </row>
    <row r="260" spans="1:28" s="459" customFormat="1">
      <c r="I260" s="694" t="s">
        <v>378</v>
      </c>
      <c r="J260" s="695">
        <v>34880</v>
      </c>
      <c r="K260" s="695">
        <v>673</v>
      </c>
      <c r="L260" s="695">
        <v>19285</v>
      </c>
      <c r="M260" s="696"/>
      <c r="N260" s="695">
        <v>6035</v>
      </c>
      <c r="O260" s="695">
        <v>140</v>
      </c>
      <c r="P260" s="695">
        <v>23257</v>
      </c>
      <c r="Q260" s="696"/>
      <c r="R260" s="695">
        <v>513</v>
      </c>
      <c r="S260" s="695">
        <v>1</v>
      </c>
      <c r="T260" s="695">
        <v>2710</v>
      </c>
      <c r="U260" s="696"/>
      <c r="V260" s="695">
        <v>3011</v>
      </c>
      <c r="W260" s="695">
        <v>49</v>
      </c>
      <c r="X260" s="695">
        <v>16425</v>
      </c>
      <c r="Y260" s="696"/>
      <c r="Z260" s="695">
        <v>228</v>
      </c>
      <c r="AA260" s="695">
        <v>9</v>
      </c>
      <c r="AB260" s="695">
        <v>41149</v>
      </c>
    </row>
    <row r="261" spans="1:28" s="459" customFormat="1">
      <c r="I261" s="694" t="s">
        <v>393</v>
      </c>
      <c r="J261" s="695">
        <v>14548</v>
      </c>
      <c r="K261" s="695">
        <v>285</v>
      </c>
      <c r="L261" s="695">
        <v>19581</v>
      </c>
      <c r="M261" s="696"/>
      <c r="N261" s="695">
        <v>3403</v>
      </c>
      <c r="O261" s="695">
        <v>70</v>
      </c>
      <c r="P261" s="695">
        <v>20646</v>
      </c>
      <c r="Q261" s="696"/>
      <c r="R261" s="695">
        <v>160</v>
      </c>
      <c r="S261" s="695">
        <v>0</v>
      </c>
      <c r="T261" s="695">
        <v>2725</v>
      </c>
      <c r="U261" s="696"/>
      <c r="V261" s="695">
        <v>1007</v>
      </c>
      <c r="W261" s="695">
        <v>18</v>
      </c>
      <c r="X261" s="695">
        <v>18237</v>
      </c>
      <c r="Y261" s="696"/>
      <c r="Z261" s="695">
        <v>65</v>
      </c>
      <c r="AA261" s="695">
        <v>3</v>
      </c>
      <c r="AB261" s="695">
        <v>42878</v>
      </c>
    </row>
    <row r="262" spans="1:28" s="459" customFormat="1">
      <c r="I262" s="694" t="s">
        <v>389</v>
      </c>
      <c r="J262" s="695">
        <v>89182</v>
      </c>
      <c r="K262" s="695">
        <v>1580</v>
      </c>
      <c r="L262" s="695">
        <v>17715</v>
      </c>
      <c r="M262" s="696"/>
      <c r="N262" s="695">
        <v>13649</v>
      </c>
      <c r="O262" s="695">
        <v>322</v>
      </c>
      <c r="P262" s="695">
        <v>23592</v>
      </c>
      <c r="Q262" s="696"/>
      <c r="R262" s="695">
        <v>1489</v>
      </c>
      <c r="S262" s="695">
        <v>4</v>
      </c>
      <c r="T262" s="695">
        <v>2700</v>
      </c>
      <c r="U262" s="696"/>
      <c r="V262" s="695">
        <v>3915</v>
      </c>
      <c r="W262" s="695">
        <v>67</v>
      </c>
      <c r="X262" s="695">
        <v>17096</v>
      </c>
      <c r="Y262" s="696"/>
      <c r="Z262" s="695">
        <v>654</v>
      </c>
      <c r="AA262" s="695">
        <v>26</v>
      </c>
      <c r="AB262" s="695">
        <v>39988</v>
      </c>
    </row>
    <row r="263" spans="1:28" s="459" customFormat="1" ht="15.75">
      <c r="A263" s="401" t="s">
        <v>1043</v>
      </c>
      <c r="B263" s="684"/>
      <c r="C263" s="684"/>
      <c r="D263" s="684"/>
      <c r="E263" s="684"/>
      <c r="F263" s="684"/>
      <c r="G263" s="684"/>
      <c r="I263" s="694" t="s">
        <v>379</v>
      </c>
      <c r="J263" s="695">
        <v>17299</v>
      </c>
      <c r="K263" s="695">
        <v>341</v>
      </c>
      <c r="L263" s="695">
        <v>19691</v>
      </c>
      <c r="M263" s="696"/>
      <c r="N263" s="695">
        <v>3939</v>
      </c>
      <c r="O263" s="695">
        <v>88</v>
      </c>
      <c r="P263" s="695">
        <v>22266</v>
      </c>
      <c r="Q263" s="696"/>
      <c r="R263" s="695">
        <v>213</v>
      </c>
      <c r="S263" s="695">
        <v>1</v>
      </c>
      <c r="T263" s="695">
        <v>2669</v>
      </c>
      <c r="U263" s="696"/>
      <c r="V263" s="695">
        <v>1329</v>
      </c>
      <c r="W263" s="695">
        <v>23</v>
      </c>
      <c r="X263" s="695">
        <v>17369</v>
      </c>
      <c r="Y263" s="696"/>
      <c r="Z263" s="695">
        <v>88</v>
      </c>
      <c r="AA263" s="695">
        <v>4</v>
      </c>
      <c r="AB263" s="695">
        <v>45372</v>
      </c>
    </row>
    <row r="264" spans="1:28" s="459" customFormat="1">
      <c r="A264" s="132" t="s">
        <v>1007</v>
      </c>
      <c r="B264" s="132" t="s">
        <v>1017</v>
      </c>
      <c r="C264" s="132" t="s">
        <v>1018</v>
      </c>
      <c r="D264" s="132" t="s">
        <v>1019</v>
      </c>
      <c r="E264" s="132" t="s">
        <v>1020</v>
      </c>
      <c r="F264" s="132" t="s">
        <v>1021</v>
      </c>
      <c r="G264" s="132" t="s">
        <v>1</v>
      </c>
      <c r="I264" s="694" t="s">
        <v>380</v>
      </c>
      <c r="J264" s="695">
        <v>51526</v>
      </c>
      <c r="K264" s="695">
        <v>902</v>
      </c>
      <c r="L264" s="695">
        <v>17505</v>
      </c>
      <c r="M264" s="696"/>
      <c r="N264" s="695">
        <v>8143</v>
      </c>
      <c r="O264" s="695">
        <v>188</v>
      </c>
      <c r="P264" s="695">
        <v>23094</v>
      </c>
      <c r="Q264" s="696"/>
      <c r="R264" s="695">
        <v>855</v>
      </c>
      <c r="S264" s="695">
        <v>2</v>
      </c>
      <c r="T264" s="695">
        <v>2758</v>
      </c>
      <c r="U264" s="696"/>
      <c r="V264" s="695">
        <v>1202</v>
      </c>
      <c r="W264" s="695">
        <v>21</v>
      </c>
      <c r="X264" s="695">
        <v>17116</v>
      </c>
      <c r="Y264" s="696"/>
      <c r="Z264" s="695">
        <v>580</v>
      </c>
      <c r="AA264" s="695">
        <v>24</v>
      </c>
      <c r="AB264" s="695">
        <v>42174</v>
      </c>
    </row>
    <row r="265" spans="1:28" s="459" customFormat="1">
      <c r="A265" s="459" t="s">
        <v>1010</v>
      </c>
      <c r="B265" s="688">
        <v>51.5</v>
      </c>
      <c r="C265" s="688">
        <v>66.099999999999994</v>
      </c>
      <c r="D265" s="688">
        <v>70.5</v>
      </c>
      <c r="E265" s="688">
        <v>70.599999999999994</v>
      </c>
      <c r="F265" s="688">
        <v>71.900000000000006</v>
      </c>
      <c r="G265" s="688">
        <v>64.900000000000006</v>
      </c>
      <c r="I265" s="694" t="s">
        <v>394</v>
      </c>
      <c r="J265" s="695">
        <v>60960</v>
      </c>
      <c r="K265" s="695">
        <v>1136</v>
      </c>
      <c r="L265" s="695">
        <v>18636</v>
      </c>
      <c r="M265" s="696"/>
      <c r="N265" s="695">
        <v>13362</v>
      </c>
      <c r="O265" s="695">
        <v>271</v>
      </c>
      <c r="P265" s="695">
        <v>20262</v>
      </c>
      <c r="Q265" s="696"/>
      <c r="R265" s="695">
        <v>605</v>
      </c>
      <c r="S265" s="695">
        <v>2</v>
      </c>
      <c r="T265" s="695">
        <v>2718</v>
      </c>
      <c r="U265" s="696"/>
      <c r="V265" s="695">
        <v>5011</v>
      </c>
      <c r="W265" s="695">
        <v>87</v>
      </c>
      <c r="X265" s="695">
        <v>17458</v>
      </c>
      <c r="Y265" s="696"/>
      <c r="Z265" s="695">
        <v>293</v>
      </c>
      <c r="AA265" s="695">
        <v>11</v>
      </c>
      <c r="AB265" s="695">
        <v>38084</v>
      </c>
    </row>
    <row r="266" spans="1:28" s="459" customFormat="1">
      <c r="A266" s="459" t="s">
        <v>1011</v>
      </c>
      <c r="B266" s="688">
        <v>5.4</v>
      </c>
      <c r="C266" s="688">
        <v>6.5</v>
      </c>
      <c r="D266" s="688">
        <v>8.5</v>
      </c>
      <c r="E266" s="688">
        <v>7</v>
      </c>
      <c r="F266" s="688">
        <v>12.7</v>
      </c>
      <c r="G266" s="688">
        <v>8.8000000000000007</v>
      </c>
      <c r="I266" s="694" t="s">
        <v>381</v>
      </c>
      <c r="J266" s="695">
        <v>88359</v>
      </c>
      <c r="K266" s="695">
        <v>1612</v>
      </c>
      <c r="L266" s="695">
        <v>18249</v>
      </c>
      <c r="M266" s="696"/>
      <c r="N266" s="695">
        <v>14783</v>
      </c>
      <c r="O266" s="695">
        <v>357</v>
      </c>
      <c r="P266" s="695">
        <v>24156</v>
      </c>
      <c r="Q266" s="696"/>
      <c r="R266" s="695">
        <v>1684</v>
      </c>
      <c r="S266" s="695">
        <v>5</v>
      </c>
      <c r="T266" s="695">
        <v>2722</v>
      </c>
      <c r="U266" s="696"/>
      <c r="V266" s="695">
        <v>3068</v>
      </c>
      <c r="W266" s="695">
        <v>53</v>
      </c>
      <c r="X266" s="695">
        <v>17195</v>
      </c>
      <c r="Y266" s="696"/>
      <c r="Z266" s="695">
        <v>978</v>
      </c>
      <c r="AA266" s="695">
        <v>42</v>
      </c>
      <c r="AB266" s="695">
        <v>43398</v>
      </c>
    </row>
    <row r="267" spans="1:28" s="459" customFormat="1">
      <c r="A267" s="459" t="s">
        <v>362</v>
      </c>
      <c r="B267" s="688">
        <v>36.1</v>
      </c>
      <c r="C267" s="688">
        <v>12.6</v>
      </c>
      <c r="D267" s="688">
        <v>5.5</v>
      </c>
      <c r="E267" s="688">
        <v>4.9000000000000004</v>
      </c>
      <c r="F267" s="688">
        <v>0.7</v>
      </c>
      <c r="G267" s="688">
        <v>13.5</v>
      </c>
      <c r="I267" s="694" t="s">
        <v>399</v>
      </c>
      <c r="J267" s="695">
        <v>25718</v>
      </c>
      <c r="K267" s="695">
        <v>492</v>
      </c>
      <c r="L267" s="695">
        <v>19132</v>
      </c>
      <c r="M267" s="696"/>
      <c r="N267" s="695">
        <v>7968</v>
      </c>
      <c r="O267" s="695">
        <v>199</v>
      </c>
      <c r="P267" s="695">
        <v>25034</v>
      </c>
      <c r="Q267" s="696"/>
      <c r="R267" s="695">
        <v>301</v>
      </c>
      <c r="S267" s="695">
        <v>1</v>
      </c>
      <c r="T267" s="695">
        <v>2780</v>
      </c>
      <c r="U267" s="696"/>
      <c r="V267" s="695">
        <v>1890</v>
      </c>
      <c r="W267" s="695">
        <v>34</v>
      </c>
      <c r="X267" s="695">
        <v>18227</v>
      </c>
      <c r="Y267" s="696"/>
      <c r="Z267" s="695">
        <v>79</v>
      </c>
      <c r="AA267" s="695">
        <v>3</v>
      </c>
      <c r="AB267" s="695">
        <v>41055</v>
      </c>
    </row>
    <row r="268" spans="1:28" s="459" customFormat="1">
      <c r="A268" s="459" t="s">
        <v>1012</v>
      </c>
      <c r="B268" s="688">
        <v>1.7</v>
      </c>
      <c r="C268" s="688">
        <v>8.1</v>
      </c>
      <c r="D268" s="688">
        <v>6.7</v>
      </c>
      <c r="E268" s="688">
        <v>7.8</v>
      </c>
      <c r="F268" s="688">
        <v>4.7</v>
      </c>
      <c r="G268" s="688">
        <v>4.8</v>
      </c>
      <c r="I268" s="694" t="s">
        <v>382</v>
      </c>
      <c r="J268" s="695">
        <v>34485</v>
      </c>
      <c r="K268" s="695">
        <v>660</v>
      </c>
      <c r="L268" s="695">
        <v>19141</v>
      </c>
      <c r="M268" s="696"/>
      <c r="N268" s="695">
        <v>6525</v>
      </c>
      <c r="O268" s="695">
        <v>139</v>
      </c>
      <c r="P268" s="695">
        <v>21360</v>
      </c>
      <c r="Q268" s="696"/>
      <c r="R268" s="695">
        <v>669</v>
      </c>
      <c r="S268" s="695">
        <v>2</v>
      </c>
      <c r="T268" s="695">
        <v>2656</v>
      </c>
      <c r="U268" s="696"/>
      <c r="V268" s="695">
        <v>2620</v>
      </c>
      <c r="W268" s="695">
        <v>47</v>
      </c>
      <c r="X268" s="695">
        <v>17800</v>
      </c>
      <c r="Y268" s="696"/>
      <c r="Z268" s="695">
        <v>167</v>
      </c>
      <c r="AA268" s="695">
        <v>6</v>
      </c>
      <c r="AB268" s="695">
        <v>37758</v>
      </c>
    </row>
    <row r="269" spans="1:28" s="459" customFormat="1">
      <c r="A269" s="459" t="s">
        <v>409</v>
      </c>
      <c r="B269" s="688">
        <v>2</v>
      </c>
      <c r="C269" s="688">
        <v>2.2999999999999998</v>
      </c>
      <c r="D269" s="688">
        <v>1.6</v>
      </c>
      <c r="E269" s="688">
        <v>2.2999999999999998</v>
      </c>
      <c r="F269" s="688">
        <v>0.7</v>
      </c>
      <c r="G269" s="688">
        <v>1.5</v>
      </c>
      <c r="I269" s="694" t="s">
        <v>395</v>
      </c>
      <c r="J269" s="695">
        <v>32566</v>
      </c>
      <c r="K269" s="695">
        <v>661</v>
      </c>
      <c r="L269" s="695">
        <v>20301</v>
      </c>
      <c r="M269" s="696"/>
      <c r="N269" s="695">
        <v>6384</v>
      </c>
      <c r="O269" s="695">
        <v>138</v>
      </c>
      <c r="P269" s="695">
        <v>21565</v>
      </c>
      <c r="Q269" s="696"/>
      <c r="R269" s="695">
        <v>295</v>
      </c>
      <c r="S269" s="695">
        <v>1</v>
      </c>
      <c r="T269" s="695">
        <v>2729</v>
      </c>
      <c r="U269" s="696"/>
      <c r="V269" s="695">
        <v>2509</v>
      </c>
      <c r="W269" s="695">
        <v>45</v>
      </c>
      <c r="X269" s="695">
        <v>18122</v>
      </c>
      <c r="Y269" s="696"/>
      <c r="Z269" s="695">
        <v>132</v>
      </c>
      <c r="AA269" s="695">
        <v>5</v>
      </c>
      <c r="AB269" s="695">
        <v>38818</v>
      </c>
    </row>
    <row r="270" spans="1:28" s="459" customFormat="1">
      <c r="A270" s="459" t="s">
        <v>1013</v>
      </c>
      <c r="B270" s="688">
        <v>0.2</v>
      </c>
      <c r="C270" s="688">
        <v>1.2</v>
      </c>
      <c r="D270" s="688">
        <v>2.1</v>
      </c>
      <c r="E270" s="688">
        <v>3.3</v>
      </c>
      <c r="F270" s="688">
        <v>2.9</v>
      </c>
      <c r="G270" s="688">
        <v>1.8</v>
      </c>
      <c r="I270" s="694" t="s">
        <v>396</v>
      </c>
      <c r="J270" s="695">
        <v>29107</v>
      </c>
      <c r="K270" s="695">
        <v>525</v>
      </c>
      <c r="L270" s="695">
        <v>18042</v>
      </c>
      <c r="M270" s="696"/>
      <c r="N270" s="695">
        <v>6045</v>
      </c>
      <c r="O270" s="695">
        <v>121</v>
      </c>
      <c r="P270" s="695">
        <v>20073</v>
      </c>
      <c r="Q270" s="696"/>
      <c r="R270" s="695">
        <v>400</v>
      </c>
      <c r="S270" s="695">
        <v>1</v>
      </c>
      <c r="T270" s="695">
        <v>2648</v>
      </c>
      <c r="U270" s="696"/>
      <c r="V270" s="695">
        <v>1706</v>
      </c>
      <c r="W270" s="695">
        <v>30</v>
      </c>
      <c r="X270" s="695">
        <v>17755</v>
      </c>
      <c r="Y270" s="696"/>
      <c r="Z270" s="695">
        <v>169</v>
      </c>
      <c r="AA270" s="695">
        <v>7</v>
      </c>
      <c r="AB270" s="695">
        <v>39241</v>
      </c>
    </row>
    <row r="271" spans="1:28" s="459" customFormat="1">
      <c r="A271" s="459" t="s">
        <v>1022</v>
      </c>
      <c r="B271" s="688">
        <v>0</v>
      </c>
      <c r="C271" s="688">
        <v>0.1</v>
      </c>
      <c r="D271" s="688">
        <v>0.4</v>
      </c>
      <c r="E271" s="688">
        <v>0.8</v>
      </c>
      <c r="F271" s="688">
        <v>1.6</v>
      </c>
      <c r="G271" s="688">
        <v>0.7</v>
      </c>
      <c r="I271" s="694" t="s">
        <v>1035</v>
      </c>
      <c r="J271" s="695">
        <v>79392</v>
      </c>
      <c r="K271" s="695">
        <v>1513</v>
      </c>
      <c r="L271" s="695">
        <v>19060</v>
      </c>
      <c r="M271" s="696"/>
      <c r="N271" s="695">
        <v>13961</v>
      </c>
      <c r="O271" s="695">
        <v>302</v>
      </c>
      <c r="P271" s="695">
        <v>21661</v>
      </c>
      <c r="Q271" s="696"/>
      <c r="R271" s="695">
        <v>1412</v>
      </c>
      <c r="S271" s="695">
        <v>4</v>
      </c>
      <c r="T271" s="695">
        <v>2694</v>
      </c>
      <c r="U271" s="696"/>
      <c r="V271" s="695">
        <v>5782</v>
      </c>
      <c r="W271" s="695">
        <v>101</v>
      </c>
      <c r="X271" s="695">
        <v>17386</v>
      </c>
      <c r="Y271" s="696"/>
      <c r="Z271" s="695">
        <v>256</v>
      </c>
      <c r="AA271" s="695">
        <v>10</v>
      </c>
      <c r="AB271" s="695">
        <v>39967</v>
      </c>
    </row>
    <row r="272" spans="1:28" s="459" customFormat="1">
      <c r="A272" s="459" t="s">
        <v>1023</v>
      </c>
      <c r="B272" s="688">
        <v>0.2</v>
      </c>
      <c r="C272" s="688">
        <v>1.1000000000000001</v>
      </c>
      <c r="D272" s="688">
        <v>1.7</v>
      </c>
      <c r="E272" s="688">
        <v>2.5</v>
      </c>
      <c r="F272" s="688">
        <v>1.3</v>
      </c>
      <c r="G272" s="688">
        <v>1.1000000000000001</v>
      </c>
      <c r="I272" s="694" t="s">
        <v>391</v>
      </c>
      <c r="J272" s="695">
        <v>57594</v>
      </c>
      <c r="K272" s="695">
        <v>984</v>
      </c>
      <c r="L272" s="695">
        <v>17082</v>
      </c>
      <c r="M272" s="696"/>
      <c r="N272" s="695">
        <v>8161</v>
      </c>
      <c r="O272" s="695">
        <v>163</v>
      </c>
      <c r="P272" s="695">
        <v>19962</v>
      </c>
      <c r="Q272" s="696"/>
      <c r="R272" s="695">
        <v>1293</v>
      </c>
      <c r="S272" s="695">
        <v>3</v>
      </c>
      <c r="T272" s="695">
        <v>2648</v>
      </c>
      <c r="U272" s="696"/>
      <c r="V272" s="695">
        <v>2474</v>
      </c>
      <c r="W272" s="695">
        <v>42</v>
      </c>
      <c r="X272" s="695">
        <v>16991</v>
      </c>
      <c r="Y272" s="696"/>
      <c r="Z272" s="695">
        <v>308</v>
      </c>
      <c r="AA272" s="695">
        <v>12</v>
      </c>
      <c r="AB272" s="695">
        <v>38377</v>
      </c>
    </row>
    <row r="273" spans="1:28" s="459" customFormat="1">
      <c r="A273" s="459" t="s">
        <v>1014</v>
      </c>
      <c r="B273" s="688">
        <v>0.8</v>
      </c>
      <c r="C273" s="688">
        <v>1.7</v>
      </c>
      <c r="D273" s="688">
        <v>1.4</v>
      </c>
      <c r="E273" s="688">
        <v>1.4</v>
      </c>
      <c r="F273" s="688">
        <v>0.5</v>
      </c>
      <c r="G273" s="688">
        <v>0.9</v>
      </c>
      <c r="I273" s="694" t="s">
        <v>383</v>
      </c>
      <c r="J273" s="695">
        <v>41252</v>
      </c>
      <c r="K273" s="695">
        <v>786</v>
      </c>
      <c r="L273" s="695">
        <v>19053</v>
      </c>
      <c r="M273" s="696"/>
      <c r="N273" s="695">
        <v>8110</v>
      </c>
      <c r="O273" s="695">
        <v>174</v>
      </c>
      <c r="P273" s="695">
        <v>21429</v>
      </c>
      <c r="Q273" s="696"/>
      <c r="R273" s="695">
        <v>604</v>
      </c>
      <c r="S273" s="695">
        <v>2</v>
      </c>
      <c r="T273" s="695">
        <v>2706</v>
      </c>
      <c r="U273" s="696"/>
      <c r="V273" s="695">
        <v>2353</v>
      </c>
      <c r="W273" s="695">
        <v>41</v>
      </c>
      <c r="X273" s="695">
        <v>17421</v>
      </c>
      <c r="Y273" s="696"/>
      <c r="Z273" s="695">
        <v>280</v>
      </c>
      <c r="AA273" s="695">
        <v>12</v>
      </c>
      <c r="AB273" s="695">
        <v>42203</v>
      </c>
    </row>
    <row r="274" spans="1:28" s="459" customFormat="1">
      <c r="A274" s="459" t="s">
        <v>1024</v>
      </c>
      <c r="B274" s="688">
        <v>2.4</v>
      </c>
      <c r="C274" s="688">
        <v>1.6</v>
      </c>
      <c r="D274" s="688">
        <v>3.5</v>
      </c>
      <c r="E274" s="688">
        <v>2.7</v>
      </c>
      <c r="F274" s="688">
        <v>6</v>
      </c>
      <c r="G274" s="688">
        <v>3.7</v>
      </c>
      <c r="I274" s="694" t="s">
        <v>384</v>
      </c>
      <c r="J274" s="695">
        <v>75184</v>
      </c>
      <c r="K274" s="695">
        <v>1384</v>
      </c>
      <c r="L274" s="695">
        <v>18409</v>
      </c>
      <c r="M274" s="696"/>
      <c r="N274" s="695">
        <v>13989</v>
      </c>
      <c r="O274" s="695">
        <v>334</v>
      </c>
      <c r="P274" s="695">
        <v>23897</v>
      </c>
      <c r="Q274" s="696"/>
      <c r="R274" s="695">
        <v>1506</v>
      </c>
      <c r="S274" s="695">
        <v>4</v>
      </c>
      <c r="T274" s="695">
        <v>2657</v>
      </c>
      <c r="U274" s="696"/>
      <c r="V274" s="695">
        <v>4572</v>
      </c>
      <c r="W274" s="695">
        <v>78</v>
      </c>
      <c r="X274" s="695">
        <v>17114</v>
      </c>
      <c r="Y274" s="696"/>
      <c r="Z274" s="695">
        <v>270</v>
      </c>
      <c r="AA274" s="695">
        <v>10</v>
      </c>
      <c r="AB274" s="695">
        <v>38521</v>
      </c>
    </row>
    <row r="275" spans="1:28" s="459" customFormat="1">
      <c r="A275" s="459" t="s">
        <v>1025</v>
      </c>
      <c r="B275" s="688">
        <v>0.1</v>
      </c>
      <c r="C275" s="688">
        <v>0.1</v>
      </c>
      <c r="D275" s="688">
        <v>0.1</v>
      </c>
      <c r="E275" s="688">
        <v>0</v>
      </c>
      <c r="F275" s="688">
        <v>0.5</v>
      </c>
      <c r="G275" s="688">
        <v>0.2</v>
      </c>
      <c r="I275" s="694" t="s">
        <v>385</v>
      </c>
      <c r="J275" s="695">
        <v>68616</v>
      </c>
      <c r="K275" s="695">
        <v>1160</v>
      </c>
      <c r="L275" s="695">
        <v>16906</v>
      </c>
      <c r="M275" s="696"/>
      <c r="N275" s="695">
        <v>9437</v>
      </c>
      <c r="O275" s="695">
        <v>200</v>
      </c>
      <c r="P275" s="695">
        <v>21192</v>
      </c>
      <c r="Q275" s="696"/>
      <c r="R275" s="695">
        <v>1554</v>
      </c>
      <c r="S275" s="695">
        <v>4</v>
      </c>
      <c r="T275" s="695">
        <v>2720</v>
      </c>
      <c r="U275" s="696"/>
      <c r="V275" s="695">
        <v>1917</v>
      </c>
      <c r="W275" s="695">
        <v>32</v>
      </c>
      <c r="X275" s="695">
        <v>16560</v>
      </c>
      <c r="Y275" s="696"/>
      <c r="Z275" s="695">
        <v>358</v>
      </c>
      <c r="AA275" s="695">
        <v>14</v>
      </c>
      <c r="AB275" s="695">
        <v>38367</v>
      </c>
    </row>
    <row r="276" spans="1:28" s="459" customFormat="1">
      <c r="A276" s="459" t="s">
        <v>1026</v>
      </c>
      <c r="B276" s="688">
        <v>1.3</v>
      </c>
      <c r="C276" s="688">
        <v>1</v>
      </c>
      <c r="D276" s="688">
        <v>3.1</v>
      </c>
      <c r="E276" s="688">
        <v>2.1</v>
      </c>
      <c r="F276" s="688">
        <v>4.8</v>
      </c>
      <c r="G276" s="688">
        <v>2.8</v>
      </c>
      <c r="I276" s="697" t="s">
        <v>1</v>
      </c>
      <c r="J276" s="698">
        <v>2117463</v>
      </c>
      <c r="K276" s="698">
        <v>35975</v>
      </c>
      <c r="L276" s="698">
        <v>16990</v>
      </c>
      <c r="M276" s="698"/>
      <c r="N276" s="698">
        <v>354458</v>
      </c>
      <c r="O276" s="698">
        <v>7891</v>
      </c>
      <c r="P276" s="698">
        <v>22263</v>
      </c>
      <c r="Q276" s="698"/>
      <c r="R276" s="698">
        <v>39851</v>
      </c>
      <c r="S276" s="698">
        <v>109</v>
      </c>
      <c r="T276" s="698">
        <v>2731</v>
      </c>
      <c r="U276" s="698"/>
      <c r="V276" s="698">
        <v>85820</v>
      </c>
      <c r="W276" s="698">
        <v>1485</v>
      </c>
      <c r="X276" s="698">
        <v>17300</v>
      </c>
      <c r="Y276" s="698"/>
      <c r="Z276" s="698">
        <v>21319</v>
      </c>
      <c r="AA276" s="698">
        <v>842</v>
      </c>
      <c r="AB276" s="698">
        <v>39501</v>
      </c>
    </row>
    <row r="277" spans="1:28" s="459" customFormat="1">
      <c r="A277" s="459" t="s">
        <v>1027</v>
      </c>
      <c r="B277" s="688">
        <v>1</v>
      </c>
      <c r="C277" s="688">
        <v>0.4</v>
      </c>
      <c r="D277" s="688">
        <v>0.3</v>
      </c>
      <c r="E277" s="688">
        <v>0.6</v>
      </c>
      <c r="F277" s="688">
        <v>0.7</v>
      </c>
      <c r="G277" s="688">
        <v>0.7</v>
      </c>
      <c r="I277" s="694" t="s">
        <v>1040</v>
      </c>
    </row>
    <row r="278" spans="1:28" s="459" customFormat="1">
      <c r="A278" s="136" t="s">
        <v>1016</v>
      </c>
      <c r="B278" s="689">
        <v>100</v>
      </c>
      <c r="C278" s="689">
        <v>100</v>
      </c>
      <c r="D278" s="689">
        <v>100</v>
      </c>
      <c r="E278" s="689">
        <v>100</v>
      </c>
      <c r="F278" s="689">
        <v>100</v>
      </c>
      <c r="G278" s="689">
        <v>100</v>
      </c>
    </row>
    <row r="279" spans="1:28" s="459" customFormat="1">
      <c r="A279" s="685" t="s">
        <v>1028</v>
      </c>
    </row>
    <row r="280" spans="1:28" s="459" customFormat="1"/>
    <row r="281" spans="1:28" s="459" customFormat="1"/>
    <row r="282" spans="1:28" s="459" customFormat="1">
      <c r="F282" s="6"/>
    </row>
    <row r="283" spans="1:28" s="459" customFormat="1">
      <c r="A283" s="459" t="s">
        <v>1047</v>
      </c>
      <c r="F283" s="6"/>
    </row>
    <row r="284" spans="1:28" s="459" customFormat="1">
      <c r="A284" s="132" t="s">
        <v>1036</v>
      </c>
      <c r="B284" s="130" t="s">
        <v>1041</v>
      </c>
      <c r="C284" s="130" t="s">
        <v>1042</v>
      </c>
      <c r="D284" s="130" t="s">
        <v>1037</v>
      </c>
      <c r="E284" s="130" t="s">
        <v>1048</v>
      </c>
      <c r="F284" s="130" t="s">
        <v>540</v>
      </c>
    </row>
    <row r="285" spans="1:28" s="459" customFormat="1">
      <c r="A285" s="459" t="s">
        <v>1038</v>
      </c>
      <c r="B285" s="39">
        <v>4</v>
      </c>
      <c r="C285" s="580">
        <f>B235</f>
        <v>0.5</v>
      </c>
      <c r="D285" s="701">
        <f>B285/$B$288</f>
        <v>0.27889325272494597</v>
      </c>
      <c r="E285" s="396">
        <f>$E$288*C285*D285</f>
        <v>7485.229753311015</v>
      </c>
      <c r="F285" s="580">
        <f>E285/$E$288</f>
        <v>0.13944662636247299</v>
      </c>
    </row>
    <row r="286" spans="1:28" s="459" customFormat="1">
      <c r="A286" s="459" t="s">
        <v>1046</v>
      </c>
      <c r="B286" s="39">
        <v>17</v>
      </c>
      <c r="C286" s="580">
        <f>C235</f>
        <v>0.41</v>
      </c>
      <c r="D286" s="701">
        <f>B286/$B$288</f>
        <v>1.1852963240810204</v>
      </c>
      <c r="E286" s="396">
        <f>$E$288*C286*D286</f>
        <v>26086.025690288883</v>
      </c>
      <c r="F286" s="580">
        <f>E286/$E$288</f>
        <v>0.48597149287321834</v>
      </c>
      <c r="I286" s="135"/>
    </row>
    <row r="287" spans="1:28" s="459" customFormat="1">
      <c r="A287" s="459" t="s">
        <v>1045</v>
      </c>
      <c r="B287" s="579">
        <f>((B288-(B285*C285)-(B286*C286)))/C287</f>
        <v>59.693389592123772</v>
      </c>
      <c r="C287" s="580">
        <f>D235</f>
        <v>0.09</v>
      </c>
      <c r="D287" s="701">
        <f>B287/$B$288</f>
        <v>4.1620208973812085</v>
      </c>
      <c r="E287" s="396">
        <f>$E$288*C287*D287</f>
        <v>20106.843113292791</v>
      </c>
      <c r="F287" s="580">
        <f>E287/$E$288</f>
        <v>0.37458188076430876</v>
      </c>
    </row>
    <row r="288" spans="1:28" s="459" customFormat="1">
      <c r="A288" s="136" t="s">
        <v>1</v>
      </c>
      <c r="B288" s="699">
        <f>(B250*D265/(SUM(D265:D266)))+(B251*D266/(SUM(D265:D266)))</f>
        <v>14.342405063291139</v>
      </c>
      <c r="C288" s="523" t="s">
        <v>17</v>
      </c>
      <c r="D288" s="700" t="s">
        <v>17</v>
      </c>
      <c r="E288" s="702">
        <f>C143</f>
        <v>53678.098556892684</v>
      </c>
      <c r="F288" s="702">
        <f>SUM(F285:F287)</f>
        <v>1</v>
      </c>
      <c r="I288" s="35"/>
    </row>
    <row r="289" spans="1:6" s="459" customFormat="1">
      <c r="A289" s="459" t="s">
        <v>1053</v>
      </c>
    </row>
    <row r="290" spans="1:6" s="459" customFormat="1"/>
    <row r="291" spans="1:6" s="459" customFormat="1"/>
    <row r="292" spans="1:6" s="459" customFormat="1"/>
    <row r="293" spans="1:6" s="459" customFormat="1">
      <c r="A293" s="459" t="s">
        <v>1051</v>
      </c>
      <c r="F293" s="6"/>
    </row>
    <row r="294" spans="1:6" s="459" customFormat="1">
      <c r="A294" s="132" t="s">
        <v>1036</v>
      </c>
      <c r="B294" s="130" t="s">
        <v>1041</v>
      </c>
      <c r="C294" s="130" t="s">
        <v>1042</v>
      </c>
      <c r="D294" s="130" t="s">
        <v>1037</v>
      </c>
      <c r="E294" s="130" t="s">
        <v>1048</v>
      </c>
      <c r="F294" s="130" t="s">
        <v>540</v>
      </c>
    </row>
    <row r="295" spans="1:6" s="459" customFormat="1">
      <c r="A295" s="459" t="s">
        <v>1038</v>
      </c>
      <c r="B295" s="39">
        <v>4</v>
      </c>
      <c r="C295" s="580">
        <f>B235</f>
        <v>0.5</v>
      </c>
      <c r="D295" s="701">
        <f>B295/$B$298</f>
        <v>0.38095238095238093</v>
      </c>
      <c r="E295" s="579">
        <f>$E$298*C295*D295</f>
        <v>238.72184365296803</v>
      </c>
      <c r="F295" s="580">
        <f>E295/$E$298</f>
        <v>0.19047619047619047</v>
      </c>
    </row>
    <row r="296" spans="1:6" s="459" customFormat="1">
      <c r="A296" s="459" t="s">
        <v>1046</v>
      </c>
      <c r="B296" s="39">
        <v>14</v>
      </c>
      <c r="C296" s="580">
        <f>C235</f>
        <v>0.41</v>
      </c>
      <c r="D296" s="701">
        <f>B296/$B$298</f>
        <v>1.3333333333333333</v>
      </c>
      <c r="E296" s="579">
        <f>$E$298*C296*D296</f>
        <v>685.13169128401819</v>
      </c>
      <c r="F296" s="580">
        <f>E296/$E$298</f>
        <v>0.54666666666666663</v>
      </c>
    </row>
    <row r="297" spans="1:6" s="459" customFormat="1">
      <c r="A297" s="459" t="s">
        <v>1045</v>
      </c>
      <c r="B297" s="579">
        <f>((B298-(B295*C295)-(B296*C296)))/C297</f>
        <v>30.666666666666675</v>
      </c>
      <c r="C297" s="580">
        <f>D235</f>
        <v>0.09</v>
      </c>
      <c r="D297" s="701">
        <f>B297/$B$298</f>
        <v>2.9206349206349214</v>
      </c>
      <c r="E297" s="579">
        <f>$E$298*C297*D297</f>
        <v>329.43614424109597</v>
      </c>
      <c r="F297" s="580">
        <f>E297/$E$298</f>
        <v>0.2628571428571429</v>
      </c>
    </row>
    <row r="298" spans="1:6" s="459" customFormat="1">
      <c r="A298" s="136" t="s">
        <v>1</v>
      </c>
      <c r="B298" s="699">
        <f>B256</f>
        <v>10.5</v>
      </c>
      <c r="C298" s="523" t="s">
        <v>17</v>
      </c>
      <c r="D298" s="700" t="s">
        <v>17</v>
      </c>
      <c r="E298" s="702">
        <f>C147</f>
        <v>1253.2896791780822</v>
      </c>
      <c r="F298" s="702">
        <f>SUM(F295:F297)</f>
        <v>1</v>
      </c>
    </row>
    <row r="299" spans="1:6" s="459" customFormat="1">
      <c r="A299" s="704"/>
      <c r="B299" s="705"/>
      <c r="C299" s="706"/>
      <c r="D299" s="707"/>
      <c r="E299" s="708"/>
      <c r="F299" s="708"/>
    </row>
    <row r="300" spans="1:6" s="459" customFormat="1">
      <c r="A300" s="704"/>
      <c r="B300" s="705"/>
      <c r="C300" s="706"/>
      <c r="D300" s="707"/>
      <c r="E300" s="708"/>
      <c r="F300" s="708"/>
    </row>
    <row r="301" spans="1:6" s="459" customFormat="1">
      <c r="A301" s="704"/>
      <c r="B301" s="705"/>
      <c r="C301" s="706"/>
      <c r="D301" s="707"/>
      <c r="E301" s="708"/>
      <c r="F301" s="708"/>
    </row>
    <row r="302" spans="1:6" s="459" customFormat="1">
      <c r="A302" s="459" t="s">
        <v>1057</v>
      </c>
      <c r="F302" s="6"/>
    </row>
    <row r="303" spans="1:6" s="459" customFormat="1">
      <c r="A303" s="132" t="s">
        <v>1036</v>
      </c>
      <c r="B303" s="130" t="s">
        <v>1041</v>
      </c>
      <c r="C303" s="130" t="s">
        <v>1042</v>
      </c>
      <c r="D303" s="130" t="s">
        <v>1037</v>
      </c>
      <c r="E303" s="130" t="s">
        <v>1048</v>
      </c>
      <c r="F303" s="130" t="s">
        <v>540</v>
      </c>
    </row>
    <row r="304" spans="1:6" s="459" customFormat="1">
      <c r="A304" s="459" t="s">
        <v>1038</v>
      </c>
      <c r="B304" s="39">
        <v>4</v>
      </c>
      <c r="C304" s="580">
        <f>B235</f>
        <v>0.5</v>
      </c>
      <c r="D304" s="701">
        <f>B304/$B$307</f>
        <v>0.24539877300613497</v>
      </c>
      <c r="E304" s="579">
        <f>$E$307*C304*D304</f>
        <v>1204.4243616479548</v>
      </c>
      <c r="F304" s="580">
        <f>E304/$E$307</f>
        <v>0.12269938650306748</v>
      </c>
    </row>
    <row r="305" spans="1:29" s="459" customFormat="1">
      <c r="A305" s="459" t="s">
        <v>1046</v>
      </c>
      <c r="B305" s="39">
        <v>17</v>
      </c>
      <c r="C305" s="580">
        <f>C235</f>
        <v>0.41</v>
      </c>
      <c r="D305" s="701">
        <f>B305/$B$307</f>
        <v>1.0429447852760736</v>
      </c>
      <c r="E305" s="579">
        <f>$E$307*C305*D305</f>
        <v>4197.418900343122</v>
      </c>
      <c r="F305" s="580">
        <f>E305/$E$307</f>
        <v>0.4276073619631901</v>
      </c>
    </row>
    <row r="306" spans="1:29" s="459" customFormat="1">
      <c r="A306" s="459" t="s">
        <v>1045</v>
      </c>
      <c r="B306" s="579">
        <f>((B307-(B304*C304)-(B305*C305)))/C306</f>
        <v>81.444444444444457</v>
      </c>
      <c r="C306" s="580">
        <f>D235</f>
        <v>0.09</v>
      </c>
      <c r="D306" s="701">
        <f>B306/$B$307</f>
        <v>4.9965916837082487</v>
      </c>
      <c r="E306" s="579">
        <f>$E$307*C306*D306</f>
        <v>4414.2152854397546</v>
      </c>
      <c r="F306" s="580">
        <f>E306/$E$307</f>
        <v>0.44969325153374234</v>
      </c>
    </row>
    <row r="307" spans="1:29" s="459" customFormat="1">
      <c r="A307" s="136" t="s">
        <v>1</v>
      </c>
      <c r="B307" s="699">
        <f>B253</f>
        <v>16.3</v>
      </c>
      <c r="C307" s="523" t="s">
        <v>17</v>
      </c>
      <c r="D307" s="700" t="s">
        <v>17</v>
      </c>
      <c r="E307" s="702">
        <f>C148</f>
        <v>9816.0585474308318</v>
      </c>
      <c r="F307" s="702">
        <f>SUM(F304:F306)</f>
        <v>1</v>
      </c>
    </row>
    <row r="308" spans="1:29" s="459" customFormat="1"/>
    <row r="309" spans="1:29" s="459" customFormat="1"/>
    <row r="310" spans="1:29" s="459" customFormat="1"/>
    <row r="311" spans="1:29" s="459" customFormat="1">
      <c r="A311" s="459" t="s">
        <v>1052</v>
      </c>
      <c r="F311" s="6"/>
    </row>
    <row r="312" spans="1:29" s="459" customFormat="1">
      <c r="A312" s="132" t="s">
        <v>1036</v>
      </c>
      <c r="B312" s="130" t="s">
        <v>1041</v>
      </c>
      <c r="C312" s="130" t="s">
        <v>1042</v>
      </c>
      <c r="D312" s="130" t="s">
        <v>1037</v>
      </c>
      <c r="E312" s="130" t="s">
        <v>1048</v>
      </c>
      <c r="F312" s="130" t="s">
        <v>540</v>
      </c>
    </row>
    <row r="313" spans="1:29" s="459" customFormat="1">
      <c r="A313" s="459" t="s">
        <v>1038</v>
      </c>
      <c r="B313" s="39">
        <v>4</v>
      </c>
      <c r="C313" s="580">
        <f>C295</f>
        <v>0.5</v>
      </c>
      <c r="D313" s="701">
        <f>B313/$B$315</f>
        <v>0.29197080291970806</v>
      </c>
      <c r="E313" s="579">
        <f>$E$315*C313*D313</f>
        <v>17.503649635036499</v>
      </c>
      <c r="F313" s="580">
        <f>E313/$E$315</f>
        <v>0.14598540145985403</v>
      </c>
    </row>
    <row r="314" spans="1:29" s="459" customFormat="1">
      <c r="A314" s="459" t="s">
        <v>1046</v>
      </c>
      <c r="B314" s="39">
        <f>(B315-(B313*C314))/C313</f>
        <v>23.4</v>
      </c>
      <c r="C314" s="580">
        <v>0.5</v>
      </c>
      <c r="D314" s="701">
        <f>B314/$B$315</f>
        <v>1.7080291970802919</v>
      </c>
      <c r="E314" s="579">
        <f>$E$315*C314*D314</f>
        <v>102.39635036496351</v>
      </c>
      <c r="F314" s="580">
        <f>E314/$E$315</f>
        <v>0.85401459854014605</v>
      </c>
    </row>
    <row r="315" spans="1:29" s="459" customFormat="1">
      <c r="A315" s="136" t="s">
        <v>1</v>
      </c>
      <c r="B315" s="699">
        <f>B257</f>
        <v>13.7</v>
      </c>
      <c r="C315" s="523" t="s">
        <v>17</v>
      </c>
      <c r="D315" s="700" t="s">
        <v>17</v>
      </c>
      <c r="E315" s="702">
        <f>C139</f>
        <v>119.9</v>
      </c>
      <c r="F315" s="702">
        <f>SUM(F313:F314)</f>
        <v>1</v>
      </c>
    </row>
    <row r="316" spans="1:29" s="459" customFormat="1">
      <c r="A316" s="704"/>
      <c r="B316" s="705"/>
      <c r="C316" s="706"/>
      <c r="D316" s="707"/>
      <c r="E316" s="708"/>
      <c r="F316" s="708"/>
    </row>
    <row r="317" spans="1:29" s="459" customFormat="1">
      <c r="A317" s="704"/>
      <c r="B317" s="705"/>
      <c r="C317" s="706"/>
      <c r="D317" s="707"/>
      <c r="E317" s="708"/>
      <c r="F317" s="708"/>
    </row>
    <row r="318" spans="1:29" s="459" customFormat="1">
      <c r="A318" s="704"/>
      <c r="B318" s="705"/>
      <c r="C318" s="706"/>
      <c r="D318" s="707"/>
      <c r="E318" s="708"/>
      <c r="F318" s="708"/>
    </row>
    <row r="319" spans="1:29" s="459" customFormat="1">
      <c r="A319" s="128" t="s">
        <v>1050</v>
      </c>
    </row>
    <row r="320" spans="1:29" s="459" customFormat="1">
      <c r="A320" s="132" t="s">
        <v>1036</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1038</v>
      </c>
      <c r="B321" s="459" t="s">
        <v>1049</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1046</v>
      </c>
      <c r="B322" s="459" t="s">
        <v>1049</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1045</v>
      </c>
      <c r="B323" s="459" t="s">
        <v>1049</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1049</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4"/>
      <c r="B325" s="705"/>
      <c r="C325" s="706"/>
      <c r="D325" s="707"/>
      <c r="E325" s="708"/>
      <c r="F325" s="708"/>
    </row>
    <row r="326" spans="1:29" s="459" customFormat="1">
      <c r="A326" s="704"/>
      <c r="B326" s="705"/>
      <c r="C326" s="706"/>
      <c r="D326" s="707"/>
      <c r="E326" s="708"/>
      <c r="F326" s="708"/>
    </row>
    <row r="327" spans="1:29" s="459" customFormat="1">
      <c r="A327" s="704"/>
      <c r="B327" s="705"/>
      <c r="C327" s="706"/>
      <c r="D327" s="707"/>
      <c r="E327" s="708"/>
      <c r="F327" s="708"/>
    </row>
    <row r="328" spans="1:29" s="459" customFormat="1">
      <c r="A328" s="128" t="s">
        <v>1054</v>
      </c>
    </row>
    <row r="329" spans="1:29" s="459" customFormat="1">
      <c r="A329" s="132" t="s">
        <v>1036</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1038</v>
      </c>
      <c r="B330" s="459" t="s">
        <v>1049</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1046</v>
      </c>
      <c r="B331" s="459" t="s">
        <v>1049</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1045</v>
      </c>
      <c r="B332" s="459" t="s">
        <v>1049</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1049</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4"/>
      <c r="B334" s="705"/>
      <c r="C334" s="706"/>
      <c r="D334" s="707"/>
      <c r="E334" s="708"/>
      <c r="F334" s="708"/>
    </row>
    <row r="335" spans="1:29" s="459" customFormat="1">
      <c r="A335" s="704"/>
      <c r="B335" s="705"/>
      <c r="C335" s="706"/>
      <c r="D335" s="707"/>
      <c r="E335" s="708"/>
      <c r="F335" s="708"/>
    </row>
    <row r="336" spans="1:29" s="459" customFormat="1">
      <c r="A336" s="704"/>
      <c r="B336" s="705"/>
      <c r="C336" s="706"/>
      <c r="D336" s="707"/>
      <c r="E336" s="708"/>
      <c r="F336" s="708"/>
    </row>
    <row r="337" spans="1:29" s="459" customFormat="1">
      <c r="A337" s="128" t="s">
        <v>1055</v>
      </c>
    </row>
    <row r="338" spans="1:29" s="459" customFormat="1">
      <c r="A338" s="132" t="s">
        <v>1036</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1038</v>
      </c>
      <c r="B339" s="459" t="s">
        <v>1049</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1046</v>
      </c>
      <c r="B340" s="459" t="s">
        <v>1049</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1049</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4"/>
      <c r="B342" s="705"/>
      <c r="C342" s="706"/>
      <c r="D342" s="707"/>
      <c r="E342" s="708"/>
      <c r="F342" s="708"/>
    </row>
    <row r="343" spans="1:29" s="459" customFormat="1">
      <c r="A343" s="704"/>
      <c r="B343" s="705"/>
      <c r="C343" s="706"/>
      <c r="D343" s="707"/>
      <c r="E343" s="708"/>
      <c r="F343" s="708"/>
    </row>
    <row r="344" spans="1:29" s="459" customFormat="1">
      <c r="A344" s="704"/>
      <c r="B344" s="705"/>
      <c r="C344" s="706"/>
      <c r="D344" s="707"/>
      <c r="E344" s="708"/>
      <c r="F344" s="708"/>
    </row>
    <row r="345" spans="1:29" s="459" customFormat="1">
      <c r="A345" s="128" t="s">
        <v>1056</v>
      </c>
    </row>
    <row r="346" spans="1:29" s="459" customFormat="1">
      <c r="A346" s="132" t="s">
        <v>1036</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1038</v>
      </c>
      <c r="B347" s="459" t="s">
        <v>1049</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1046</v>
      </c>
      <c r="B348" s="459" t="s">
        <v>1049</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1045</v>
      </c>
      <c r="B349" s="459" t="s">
        <v>1049</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1049</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4"/>
      <c r="B351" s="705"/>
      <c r="C351" s="706"/>
      <c r="D351" s="707"/>
      <c r="E351" s="708"/>
      <c r="F351" s="708"/>
    </row>
    <row r="352" spans="1:29" s="459" customFormat="1">
      <c r="A352" s="704"/>
      <c r="B352" s="705"/>
      <c r="C352" s="706"/>
      <c r="D352" s="707"/>
      <c r="E352" s="708"/>
      <c r="F352" s="708"/>
    </row>
    <row r="353" spans="1:30" s="459" customFormat="1">
      <c r="A353" s="704"/>
      <c r="B353" s="705"/>
      <c r="C353" s="706"/>
      <c r="D353" s="707"/>
      <c r="E353" s="708"/>
      <c r="F353" s="708"/>
    </row>
    <row r="354" spans="1:30" ht="15.75">
      <c r="A354" s="401" t="s">
        <v>461</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360</v>
      </c>
      <c r="B355" s="132" t="s">
        <v>361</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367</v>
      </c>
      <c r="B356" s="391" t="s">
        <v>362</v>
      </c>
      <c r="C356" s="711">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363</v>
      </c>
      <c r="C357" s="711">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364</v>
      </c>
      <c r="B358" s="391" t="s">
        <v>370</v>
      </c>
      <c r="C358" s="711">
        <f>C339</f>
        <v>17.503649635036499</v>
      </c>
      <c r="D358" s="710">
        <f t="shared" ref="D358:AC358" si="154">D339</f>
        <v>0.16058394160583947</v>
      </c>
      <c r="E358" s="710">
        <f t="shared" si="154"/>
        <v>5.6204379562043805</v>
      </c>
      <c r="F358" s="710">
        <f t="shared" si="154"/>
        <v>0.96350364963503665</v>
      </c>
      <c r="G358" s="710">
        <f t="shared" si="154"/>
        <v>0.32116788321167894</v>
      </c>
      <c r="H358" s="710">
        <f t="shared" si="154"/>
        <v>0.16058394160583947</v>
      </c>
      <c r="I358" s="710">
        <f t="shared" si="154"/>
        <v>0.16058394160583947</v>
      </c>
      <c r="J358" s="710">
        <f t="shared" si="154"/>
        <v>0.32116788321167894</v>
      </c>
      <c r="K358" s="710">
        <f t="shared" si="154"/>
        <v>0.80291970802919721</v>
      </c>
      <c r="L358" s="710">
        <f t="shared" si="154"/>
        <v>0.32116788321167894</v>
      </c>
      <c r="M358" s="710">
        <f t="shared" si="154"/>
        <v>0.32116788321167894</v>
      </c>
      <c r="N358" s="710">
        <f t="shared" si="154"/>
        <v>0.64233576642335788</v>
      </c>
      <c r="O358" s="710">
        <f t="shared" si="154"/>
        <v>0.64233576642335788</v>
      </c>
      <c r="P358" s="710">
        <f t="shared" si="154"/>
        <v>0.48175182481751833</v>
      </c>
      <c r="Q358" s="710">
        <f t="shared" si="154"/>
        <v>2.4087591240875916</v>
      </c>
      <c r="R358" s="710">
        <f t="shared" si="154"/>
        <v>0.48175182481751833</v>
      </c>
      <c r="S358" s="710">
        <f t="shared" si="154"/>
        <v>0.64233576642335788</v>
      </c>
      <c r="T358" s="710">
        <f t="shared" si="154"/>
        <v>0.64233576642335788</v>
      </c>
      <c r="U358" s="710">
        <f t="shared" si="154"/>
        <v>0.48175182481751833</v>
      </c>
      <c r="V358" s="710">
        <f t="shared" si="154"/>
        <v>0.64233576642335788</v>
      </c>
      <c r="W358" s="710">
        <f t="shared" si="154"/>
        <v>0</v>
      </c>
      <c r="X358" s="710">
        <f t="shared" si="154"/>
        <v>0.32116788321167894</v>
      </c>
      <c r="Y358" s="710">
        <f t="shared" si="154"/>
        <v>0.16058394160583947</v>
      </c>
      <c r="Z358" s="710">
        <f t="shared" si="154"/>
        <v>0.16058394160583947</v>
      </c>
      <c r="AA358" s="710">
        <f t="shared" si="154"/>
        <v>0.16058394160583947</v>
      </c>
      <c r="AB358" s="710">
        <f t="shared" si="154"/>
        <v>0.32116788321167894</v>
      </c>
      <c r="AC358" s="710">
        <f t="shared" si="154"/>
        <v>0.16058394160583947</v>
      </c>
      <c r="AD358" s="5"/>
    </row>
    <row r="359" spans="1:30">
      <c r="A359" s="391"/>
      <c r="B359" s="391" t="s">
        <v>369</v>
      </c>
      <c r="C359" s="711">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366</v>
      </c>
      <c r="C360" s="711">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617</v>
      </c>
      <c r="C361" s="711">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604</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368</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75">
      <c r="A368" s="401" t="s">
        <v>462</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360</v>
      </c>
      <c r="B369" s="132" t="s">
        <v>361</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367</v>
      </c>
      <c r="B370" s="459" t="s">
        <v>362</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363</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364</v>
      </c>
      <c r="B372" s="459" t="s">
        <v>370</v>
      </c>
      <c r="C372" s="711">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369</v>
      </c>
      <c r="C373" s="711">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366</v>
      </c>
      <c r="C374" s="711">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617</v>
      </c>
      <c r="C375" s="711">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604</v>
      </c>
      <c r="C376" s="711">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368</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75">
      <c r="A382" s="401" t="s">
        <v>469</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360</v>
      </c>
      <c r="B383" s="132" t="s">
        <v>361</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367</v>
      </c>
      <c r="B384" s="459" t="s">
        <v>362</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363</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364</v>
      </c>
      <c r="B386" s="459" t="s">
        <v>370</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369</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366</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617</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604</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 customHeight="1">
      <c r="A391" s="391"/>
      <c r="B391" s="459" t="s">
        <v>368</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75">
      <c r="A396" s="522" t="s">
        <v>715</v>
      </c>
    </row>
    <row r="398" spans="1:30" s="459" customFormat="1" ht="15.75">
      <c r="A398" s="401" t="s">
        <v>725</v>
      </c>
    </row>
    <row r="399" spans="1:30" s="459" customFormat="1">
      <c r="A399" s="132" t="s">
        <v>758</v>
      </c>
      <c r="B399" s="132" t="s">
        <v>489</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761</v>
      </c>
    </row>
    <row r="407" spans="1:29" ht="15.75">
      <c r="A407" s="401" t="s">
        <v>725</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8">
      <c r="A408" s="132"/>
      <c r="B408" s="132" t="s">
        <v>723</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717</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718</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719</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720</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721</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722</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724</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75">
      <c r="A420" s="401" t="s">
        <v>726</v>
      </c>
    </row>
    <row r="421" spans="1:29" ht="18">
      <c r="A421" s="132"/>
      <c r="B421" s="132" t="s">
        <v>723</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717</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718</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719</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720</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721</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722</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724</v>
      </c>
    </row>
    <row r="433" spans="1:12" ht="15.75">
      <c r="A433" s="401" t="s">
        <v>743</v>
      </c>
      <c r="B433" s="459"/>
      <c r="C433" s="459"/>
      <c r="D433" s="459"/>
      <c r="E433" s="459"/>
      <c r="F433" s="459"/>
      <c r="G433" s="459"/>
      <c r="H433" s="459"/>
      <c r="I433" s="459"/>
      <c r="J433" s="459"/>
      <c r="K433" s="459"/>
      <c r="L433" s="459"/>
    </row>
    <row r="434" spans="1:12" ht="15.75">
      <c r="A434" s="132" t="s">
        <v>346</v>
      </c>
      <c r="B434" s="753" t="s">
        <v>740</v>
      </c>
      <c r="C434" s="753"/>
      <c r="D434" s="753"/>
      <c r="E434" s="753"/>
      <c r="F434" s="753"/>
      <c r="G434" s="753"/>
      <c r="H434" s="753"/>
      <c r="I434" s="753"/>
      <c r="J434" s="753"/>
      <c r="K434" s="753"/>
      <c r="L434" s="753"/>
    </row>
    <row r="435" spans="1:12">
      <c r="A435" s="459"/>
      <c r="B435" s="526" t="s">
        <v>727</v>
      </c>
      <c r="C435" s="529" t="s">
        <v>728</v>
      </c>
      <c r="D435" s="532" t="s">
        <v>729</v>
      </c>
      <c r="E435" s="534" t="s">
        <v>730</v>
      </c>
      <c r="F435" s="43" t="s">
        <v>731</v>
      </c>
      <c r="G435" s="537" t="s">
        <v>732</v>
      </c>
      <c r="H435" s="459" t="s">
        <v>375</v>
      </c>
      <c r="I435" s="539" t="s">
        <v>733</v>
      </c>
      <c r="J435" s="540" t="s">
        <v>734</v>
      </c>
      <c r="K435" s="526" t="s">
        <v>735</v>
      </c>
      <c r="L435" s="526" t="s">
        <v>736</v>
      </c>
    </row>
    <row r="436" spans="1:12" ht="15.75">
      <c r="A436" s="528" t="s">
        <v>739</v>
      </c>
    </row>
    <row r="437" spans="1:12">
      <c r="A437" s="525" t="s">
        <v>737</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728</v>
      </c>
      <c r="B438" s="459">
        <v>1006</v>
      </c>
      <c r="C438" s="459">
        <v>302</v>
      </c>
      <c r="D438" s="459">
        <v>62</v>
      </c>
      <c r="E438" s="459">
        <v>34</v>
      </c>
      <c r="F438" s="459">
        <v>50</v>
      </c>
      <c r="G438" s="459">
        <v>65</v>
      </c>
      <c r="H438" s="459">
        <v>165</v>
      </c>
      <c r="I438" s="459">
        <v>110</v>
      </c>
      <c r="J438" s="459">
        <v>47</v>
      </c>
      <c r="K438" s="459">
        <v>77</v>
      </c>
      <c r="L438" s="459">
        <v>95</v>
      </c>
    </row>
    <row r="439" spans="1:12">
      <c r="A439" s="525" t="s">
        <v>729</v>
      </c>
      <c r="B439" s="459">
        <v>812</v>
      </c>
      <c r="C439" s="459">
        <v>44</v>
      </c>
      <c r="D439" s="459">
        <v>296</v>
      </c>
      <c r="E439" s="459">
        <v>62</v>
      </c>
      <c r="F439" s="459">
        <v>44</v>
      </c>
      <c r="G439" s="459">
        <v>53</v>
      </c>
      <c r="H439" s="459">
        <v>171</v>
      </c>
      <c r="I439" s="459">
        <v>41</v>
      </c>
      <c r="J439" s="459">
        <v>42</v>
      </c>
      <c r="K439" s="459">
        <v>14</v>
      </c>
      <c r="L439" s="459">
        <v>44</v>
      </c>
    </row>
    <row r="440" spans="1:12">
      <c r="A440" s="525" t="s">
        <v>730</v>
      </c>
      <c r="B440" s="459">
        <v>1086</v>
      </c>
      <c r="C440" s="459">
        <v>33</v>
      </c>
      <c r="D440" s="459">
        <v>83</v>
      </c>
      <c r="E440" s="459">
        <v>376</v>
      </c>
      <c r="F440" s="459">
        <v>106</v>
      </c>
      <c r="G440" s="459">
        <v>192</v>
      </c>
      <c r="H440" s="459">
        <v>147</v>
      </c>
      <c r="I440" s="459">
        <v>48</v>
      </c>
      <c r="J440" s="459">
        <v>47</v>
      </c>
      <c r="K440" s="459">
        <v>11</v>
      </c>
      <c r="L440" s="459">
        <v>42</v>
      </c>
    </row>
    <row r="441" spans="1:12">
      <c r="A441" s="525" t="s">
        <v>731</v>
      </c>
      <c r="B441" s="459">
        <v>1010</v>
      </c>
      <c r="C441" s="459">
        <v>25</v>
      </c>
      <c r="D441" s="459">
        <v>47</v>
      </c>
      <c r="E441" s="459">
        <v>66</v>
      </c>
      <c r="F441" s="459">
        <v>360</v>
      </c>
      <c r="G441" s="459">
        <v>113</v>
      </c>
      <c r="H441" s="459">
        <v>136</v>
      </c>
      <c r="I441" s="459">
        <v>90</v>
      </c>
      <c r="J441" s="459">
        <v>56</v>
      </c>
      <c r="K441" s="459">
        <v>37</v>
      </c>
      <c r="L441" s="459">
        <v>80</v>
      </c>
    </row>
    <row r="442" spans="1:12">
      <c r="A442" s="525" t="s">
        <v>732</v>
      </c>
      <c r="B442" s="459">
        <v>1518</v>
      </c>
      <c r="C442" s="459">
        <v>16</v>
      </c>
      <c r="D442" s="459">
        <v>30</v>
      </c>
      <c r="E442" s="459">
        <v>174</v>
      </c>
      <c r="F442" s="459">
        <v>156</v>
      </c>
      <c r="G442" s="459">
        <v>712</v>
      </c>
      <c r="H442" s="459">
        <v>249</v>
      </c>
      <c r="I442" s="459">
        <v>60</v>
      </c>
      <c r="J442" s="459">
        <v>53</v>
      </c>
      <c r="K442" s="459">
        <v>26</v>
      </c>
      <c r="L442" s="459">
        <v>43</v>
      </c>
    </row>
    <row r="443" spans="1:12">
      <c r="A443" s="525" t="s">
        <v>375</v>
      </c>
      <c r="B443" s="459">
        <v>2741</v>
      </c>
      <c r="C443" s="459">
        <v>190</v>
      </c>
      <c r="D443" s="459">
        <v>238</v>
      </c>
      <c r="E443" s="459">
        <v>228</v>
      </c>
      <c r="F443" s="459">
        <v>235</v>
      </c>
      <c r="G443" s="459">
        <v>490</v>
      </c>
      <c r="H443" s="459">
        <v>614</v>
      </c>
      <c r="I443" s="459">
        <v>374</v>
      </c>
      <c r="J443" s="459">
        <v>178</v>
      </c>
      <c r="K443" s="459">
        <v>108</v>
      </c>
      <c r="L443" s="459">
        <v>86</v>
      </c>
    </row>
    <row r="444" spans="1:12">
      <c r="A444" s="525" t="s">
        <v>733</v>
      </c>
      <c r="B444" s="459">
        <v>1308</v>
      </c>
      <c r="C444" s="459">
        <v>107</v>
      </c>
      <c r="D444" s="459">
        <v>48</v>
      </c>
      <c r="E444" s="459">
        <v>49</v>
      </c>
      <c r="F444" s="459">
        <v>120</v>
      </c>
      <c r="G444" s="459">
        <v>91</v>
      </c>
      <c r="H444" s="459">
        <v>300</v>
      </c>
      <c r="I444" s="459">
        <v>421</v>
      </c>
      <c r="J444" s="459">
        <v>73</v>
      </c>
      <c r="K444" s="459">
        <v>48</v>
      </c>
      <c r="L444" s="459">
        <v>51</v>
      </c>
    </row>
    <row r="445" spans="1:12">
      <c r="A445" s="525" t="s">
        <v>734</v>
      </c>
      <c r="B445" s="459">
        <v>697</v>
      </c>
      <c r="C445" s="459">
        <v>58</v>
      </c>
      <c r="D445" s="459">
        <v>73</v>
      </c>
      <c r="E445" s="459">
        <v>45</v>
      </c>
      <c r="F445" s="459">
        <v>64</v>
      </c>
      <c r="G445" s="459">
        <v>48</v>
      </c>
      <c r="H445" s="459">
        <v>122</v>
      </c>
      <c r="I445" s="459">
        <v>62</v>
      </c>
      <c r="J445" s="459">
        <v>156</v>
      </c>
      <c r="K445" s="459">
        <v>37</v>
      </c>
      <c r="L445" s="459">
        <v>31</v>
      </c>
    </row>
    <row r="446" spans="1:12">
      <c r="A446" s="525" t="s">
        <v>735</v>
      </c>
      <c r="B446" s="459">
        <v>231</v>
      </c>
      <c r="C446" s="459">
        <v>55</v>
      </c>
      <c r="D446" s="459">
        <v>12</v>
      </c>
      <c r="E446" s="459">
        <v>3</v>
      </c>
      <c r="F446" s="459">
        <v>12</v>
      </c>
      <c r="G446" s="459">
        <v>26</v>
      </c>
      <c r="H446" s="459">
        <v>51</v>
      </c>
      <c r="I446" s="459">
        <v>25</v>
      </c>
      <c r="J446" s="459">
        <v>5</v>
      </c>
      <c r="K446" s="459">
        <v>27</v>
      </c>
      <c r="L446" s="459">
        <v>15</v>
      </c>
    </row>
    <row r="447" spans="1:12">
      <c r="A447" s="527" t="s">
        <v>736</v>
      </c>
      <c r="B447" s="458">
        <v>1128</v>
      </c>
      <c r="C447" s="458">
        <v>32</v>
      </c>
      <c r="D447" s="458">
        <v>23</v>
      </c>
      <c r="E447" s="458">
        <v>18</v>
      </c>
      <c r="F447" s="458">
        <v>32</v>
      </c>
      <c r="G447" s="458">
        <v>50</v>
      </c>
      <c r="H447" s="458">
        <v>231</v>
      </c>
      <c r="I447" s="458">
        <v>35</v>
      </c>
      <c r="J447" s="458">
        <v>10</v>
      </c>
      <c r="K447" s="458">
        <v>15</v>
      </c>
      <c r="L447" s="458">
        <v>682</v>
      </c>
    </row>
    <row r="448" spans="1:12">
      <c r="A448" s="459" t="s">
        <v>738</v>
      </c>
      <c r="B448" s="448"/>
      <c r="C448" s="448"/>
      <c r="D448" s="448"/>
      <c r="E448" s="448"/>
      <c r="F448" s="448"/>
      <c r="G448" s="448"/>
      <c r="H448" s="448"/>
    </row>
    <row r="449" spans="1:30" s="459" customFormat="1"/>
    <row r="450" spans="1:30" s="459" customFormat="1"/>
    <row r="451" spans="1:30" s="459" customFormat="1"/>
    <row r="452" spans="1:30" s="459" customFormat="1">
      <c r="A452" s="132" t="s">
        <v>744</v>
      </c>
      <c r="B452" s="754" t="s">
        <v>745</v>
      </c>
      <c r="C452" s="754"/>
      <c r="D452" s="754"/>
      <c r="E452" s="754"/>
      <c r="F452" s="754"/>
      <c r="G452"/>
      <c r="H452"/>
      <c r="I452"/>
      <c r="J452"/>
      <c r="K452"/>
      <c r="L452"/>
      <c r="M452"/>
      <c r="N452"/>
      <c r="O452"/>
      <c r="P452"/>
      <c r="Q452"/>
      <c r="R452"/>
      <c r="S452"/>
      <c r="T452"/>
      <c r="U452"/>
      <c r="V452"/>
      <c r="W452"/>
      <c r="X452"/>
      <c r="Y452"/>
      <c r="Z452"/>
      <c r="AA452"/>
      <c r="AB452" s="42"/>
      <c r="AC452"/>
      <c r="AD452"/>
    </row>
    <row r="453" spans="1:30" s="459" customFormat="1">
      <c r="A453" s="529" t="s">
        <v>728</v>
      </c>
      <c r="B453" s="459" t="s">
        <v>398</v>
      </c>
      <c r="C453" t="s">
        <v>397</v>
      </c>
      <c r="D453" s="459" t="s">
        <v>399</v>
      </c>
      <c r="E453" s="459" t="s">
        <v>396</v>
      </c>
      <c r="F453" s="459" t="s">
        <v>393</v>
      </c>
      <c r="G453"/>
      <c r="H453"/>
      <c r="I453"/>
      <c r="J453"/>
      <c r="K453"/>
      <c r="L453"/>
      <c r="M453"/>
      <c r="N453"/>
      <c r="O453"/>
      <c r="P453"/>
      <c r="Q453"/>
      <c r="R453"/>
      <c r="S453"/>
      <c r="T453"/>
      <c r="U453"/>
      <c r="V453"/>
      <c r="W453"/>
      <c r="X453"/>
      <c r="Y453"/>
      <c r="Z453"/>
      <c r="AA453"/>
      <c r="AB453" s="42"/>
      <c r="AC453"/>
      <c r="AD453"/>
    </row>
    <row r="454" spans="1:30" s="459" customFormat="1">
      <c r="A454" s="532" t="s">
        <v>729</v>
      </c>
      <c r="B454" s="459" t="s">
        <v>394</v>
      </c>
      <c r="C454" t="s">
        <v>395</v>
      </c>
      <c r="D454" s="459" t="s">
        <v>392</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730</v>
      </c>
      <c r="B455" t="s">
        <v>386</v>
      </c>
      <c r="C455" s="459" t="s">
        <v>390</v>
      </c>
      <c r="D455" s="459" t="s">
        <v>389</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731</v>
      </c>
      <c r="B456" s="459" t="s">
        <v>374</v>
      </c>
      <c r="C456" t="s">
        <v>377</v>
      </c>
      <c r="D456" s="459" t="s">
        <v>384</v>
      </c>
      <c r="E456" s="459" t="s">
        <v>391</v>
      </c>
      <c r="F456"/>
      <c r="G456"/>
      <c r="H456"/>
      <c r="I456"/>
      <c r="J456"/>
      <c r="K456"/>
      <c r="L456"/>
      <c r="M456"/>
      <c r="N456"/>
      <c r="O456"/>
      <c r="P456"/>
      <c r="Q456"/>
      <c r="R456"/>
      <c r="S456"/>
      <c r="T456"/>
      <c r="U456"/>
      <c r="V456"/>
      <c r="W456"/>
      <c r="X456"/>
      <c r="Y456"/>
      <c r="Z456"/>
      <c r="AA456"/>
      <c r="AB456" s="42"/>
      <c r="AC456"/>
      <c r="AD456"/>
    </row>
    <row r="457" spans="1:30" s="459" customFormat="1">
      <c r="A457" s="537" t="s">
        <v>732</v>
      </c>
      <c r="B457" s="459" t="s">
        <v>388</v>
      </c>
      <c r="C457" t="s">
        <v>387</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375</v>
      </c>
      <c r="B458" t="s">
        <v>375</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733</v>
      </c>
      <c r="B459" s="459" t="s">
        <v>376</v>
      </c>
      <c r="C459" s="459" t="s">
        <v>381</v>
      </c>
      <c r="D459" s="459" t="s">
        <v>746</v>
      </c>
      <c r="E459" s="24" t="s">
        <v>380</v>
      </c>
      <c r="F459"/>
      <c r="G459"/>
      <c r="H459"/>
      <c r="I459"/>
      <c r="J459"/>
      <c r="K459"/>
      <c r="L459"/>
      <c r="M459"/>
      <c r="N459"/>
      <c r="O459"/>
      <c r="P459"/>
      <c r="Q459"/>
      <c r="R459"/>
      <c r="S459"/>
      <c r="T459"/>
      <c r="U459"/>
      <c r="V459"/>
      <c r="W459"/>
      <c r="X459"/>
      <c r="Y459"/>
      <c r="Z459"/>
      <c r="AA459"/>
      <c r="AB459" s="42"/>
      <c r="AC459"/>
      <c r="AD459"/>
    </row>
    <row r="460" spans="1:30" s="459" customFormat="1">
      <c r="A460" s="540" t="s">
        <v>734</v>
      </c>
      <c r="B460" s="458" t="s">
        <v>378</v>
      </c>
      <c r="C460" s="458" t="s">
        <v>382</v>
      </c>
      <c r="D460" s="458" t="s">
        <v>747</v>
      </c>
      <c r="E460" s="458" t="s">
        <v>383</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75">
      <c r="A465" s="401" t="s">
        <v>748</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400</v>
      </c>
      <c r="B467" s="459" t="s">
        <v>750</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751</v>
      </c>
      <c r="B468" t="s">
        <v>749</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752</v>
      </c>
      <c r="B469" s="459" t="s">
        <v>749</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753</v>
      </c>
      <c r="B470" s="1" t="s">
        <v>749</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755</v>
      </c>
      <c r="B471" s="21" t="s">
        <v>652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756</v>
      </c>
      <c r="B472" s="458" t="s">
        <v>652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754</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75">
      <c r="A477" s="401" t="s">
        <v>741</v>
      </c>
    </row>
    <row r="478" spans="1:30" s="459" customFormat="1" ht="15.75">
      <c r="A478" s="132" t="s">
        <v>346</v>
      </c>
      <c r="B478" s="753" t="s">
        <v>740</v>
      </c>
      <c r="C478" s="753"/>
      <c r="D478" s="753"/>
      <c r="E478" s="753"/>
      <c r="F478" s="753"/>
      <c r="G478" s="753"/>
      <c r="H478" s="753"/>
      <c r="I478" s="753"/>
      <c r="J478" s="753"/>
      <c r="K478" s="753"/>
      <c r="L478" s="753"/>
    </row>
    <row r="479" spans="1:30" s="459" customFormat="1">
      <c r="B479" s="526" t="s">
        <v>727</v>
      </c>
      <c r="C479" s="526" t="s">
        <v>728</v>
      </c>
      <c r="D479" s="526" t="s">
        <v>729</v>
      </c>
      <c r="E479" s="526" t="s">
        <v>730</v>
      </c>
      <c r="F479" s="526" t="s">
        <v>731</v>
      </c>
      <c r="G479" s="526" t="s">
        <v>732</v>
      </c>
      <c r="H479" s="526" t="s">
        <v>375</v>
      </c>
      <c r="I479" s="526" t="s">
        <v>733</v>
      </c>
      <c r="J479" s="526" t="s">
        <v>734</v>
      </c>
      <c r="K479" s="526" t="s">
        <v>735</v>
      </c>
      <c r="L479" s="526" t="s">
        <v>736</v>
      </c>
    </row>
    <row r="480" spans="1:30" s="459" customFormat="1" ht="15.75">
      <c r="A480" s="528" t="s">
        <v>739</v>
      </c>
    </row>
    <row r="481" spans="1:12" s="459" customFormat="1">
      <c r="A481" s="525" t="s">
        <v>737</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728</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729</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730</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731</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732</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375</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733</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734</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735</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736</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738</v>
      </c>
    </row>
    <row r="493" spans="1:12" s="459" customFormat="1"/>
    <row r="494" spans="1:12" s="459" customFormat="1"/>
    <row r="495" spans="1:12" s="459" customFormat="1"/>
    <row r="496" spans="1:12" s="459" customFormat="1" ht="15.75">
      <c r="A496" s="401" t="s">
        <v>742</v>
      </c>
    </row>
    <row r="497" spans="1:12" s="459" customFormat="1" ht="15.75">
      <c r="A497" s="132" t="s">
        <v>346</v>
      </c>
      <c r="B497" s="753" t="s">
        <v>740</v>
      </c>
      <c r="C497" s="753"/>
      <c r="D497" s="753"/>
      <c r="E497" s="753"/>
      <c r="F497" s="753"/>
      <c r="G497" s="753"/>
      <c r="H497" s="753"/>
      <c r="I497" s="753"/>
      <c r="J497" s="753"/>
      <c r="K497" s="753"/>
      <c r="L497" s="753"/>
    </row>
    <row r="498" spans="1:12" s="459" customFormat="1">
      <c r="B498" s="526" t="s">
        <v>727</v>
      </c>
      <c r="C498" s="526" t="s">
        <v>728</v>
      </c>
      <c r="D498" s="526" t="s">
        <v>729</v>
      </c>
      <c r="E498" s="526" t="s">
        <v>730</v>
      </c>
      <c r="F498" s="526" t="s">
        <v>731</v>
      </c>
      <c r="G498" s="526" t="s">
        <v>732</v>
      </c>
      <c r="H498" s="526" t="s">
        <v>375</v>
      </c>
      <c r="I498" s="526" t="s">
        <v>733</v>
      </c>
      <c r="J498" s="526" t="s">
        <v>734</v>
      </c>
      <c r="K498" s="526" t="s">
        <v>735</v>
      </c>
      <c r="L498" s="526" t="s">
        <v>736</v>
      </c>
    </row>
    <row r="499" spans="1:12" s="459" customFormat="1" ht="15.75">
      <c r="A499" s="528" t="s">
        <v>739</v>
      </c>
    </row>
    <row r="500" spans="1:12" s="459" customFormat="1">
      <c r="A500" s="525" t="s">
        <v>737</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728</v>
      </c>
      <c r="B501" s="459">
        <v>136</v>
      </c>
      <c r="C501" s="459">
        <v>51</v>
      </c>
      <c r="D501" s="459">
        <v>11</v>
      </c>
      <c r="E501" s="459">
        <v>4</v>
      </c>
      <c r="F501" s="459">
        <v>4</v>
      </c>
      <c r="G501" s="459">
        <v>5</v>
      </c>
      <c r="H501" s="459">
        <v>25</v>
      </c>
      <c r="I501" s="459">
        <v>14</v>
      </c>
      <c r="J501" s="459">
        <v>9</v>
      </c>
      <c r="K501" s="459">
        <v>7</v>
      </c>
      <c r="L501" s="459">
        <v>6</v>
      </c>
    </row>
    <row r="502" spans="1:12" s="459" customFormat="1">
      <c r="A502" s="525" t="s">
        <v>729</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730</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731</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732</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375</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733</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734</v>
      </c>
      <c r="B508" s="459">
        <v>111</v>
      </c>
      <c r="C508" s="459">
        <v>9</v>
      </c>
      <c r="D508" s="459">
        <v>14</v>
      </c>
      <c r="E508" s="459">
        <v>7</v>
      </c>
      <c r="F508" s="459">
        <v>7</v>
      </c>
      <c r="G508" s="459">
        <v>7</v>
      </c>
      <c r="H508" s="459">
        <v>22</v>
      </c>
      <c r="I508" s="459">
        <v>12</v>
      </c>
      <c r="J508" s="459">
        <v>29</v>
      </c>
      <c r="K508" s="459">
        <v>3</v>
      </c>
      <c r="L508" s="459">
        <v>2</v>
      </c>
    </row>
    <row r="509" spans="1:12">
      <c r="A509" s="525" t="s">
        <v>735</v>
      </c>
      <c r="B509" s="459">
        <v>29</v>
      </c>
      <c r="C509" s="459">
        <v>6</v>
      </c>
      <c r="D509" s="459">
        <v>1</v>
      </c>
      <c r="E509" s="459">
        <v>1</v>
      </c>
      <c r="F509" s="459">
        <v>2</v>
      </c>
      <c r="G509" s="459">
        <v>3</v>
      </c>
      <c r="H509" s="459">
        <v>8</v>
      </c>
      <c r="I509" s="459">
        <v>4</v>
      </c>
      <c r="J509" s="459">
        <v>2</v>
      </c>
      <c r="K509" s="459">
        <v>2</v>
      </c>
      <c r="L509" s="459">
        <v>1</v>
      </c>
    </row>
    <row r="510" spans="1:12">
      <c r="A510" s="527" t="s">
        <v>736</v>
      </c>
      <c r="B510" s="458">
        <v>82</v>
      </c>
      <c r="C510" s="458">
        <v>2</v>
      </c>
      <c r="D510" s="458">
        <v>2</v>
      </c>
      <c r="E510" s="458">
        <v>2</v>
      </c>
      <c r="F510" s="458">
        <v>2</v>
      </c>
      <c r="G510" s="458">
        <v>3</v>
      </c>
      <c r="H510" s="458">
        <v>15</v>
      </c>
      <c r="I510" s="458">
        <v>3</v>
      </c>
      <c r="J510" s="458">
        <v>1</v>
      </c>
      <c r="K510" s="458">
        <v>1</v>
      </c>
      <c r="L510" s="458">
        <v>50</v>
      </c>
    </row>
    <row r="511" spans="1:12">
      <c r="A511" s="459" t="s">
        <v>738</v>
      </c>
      <c r="B511" s="459"/>
      <c r="C511" s="459"/>
      <c r="D511" s="459"/>
      <c r="E511" s="459"/>
      <c r="F511" s="459"/>
      <c r="G511" s="459"/>
      <c r="H511" s="459"/>
      <c r="I511" s="459"/>
      <c r="J511" s="459"/>
      <c r="K511" s="459"/>
      <c r="L511" s="459"/>
    </row>
    <row r="513" spans="1:7" s="459" customFormat="1"/>
    <row r="514" spans="1:7">
      <c r="A514" s="459"/>
    </row>
    <row r="515" spans="1:7">
      <c r="A515" s="743" t="s">
        <v>766</v>
      </c>
      <c r="B515" s="743"/>
      <c r="C515" s="743"/>
      <c r="D515" s="743"/>
      <c r="E515" s="743"/>
      <c r="F515" s="743"/>
      <c r="G515" s="743"/>
    </row>
    <row r="516" spans="1:7">
      <c r="A516" s="518"/>
      <c r="B516" s="518"/>
      <c r="C516" s="518"/>
      <c r="D516" s="518"/>
      <c r="E516" s="518"/>
      <c r="F516" s="518"/>
      <c r="G516" s="543" t="s">
        <v>763</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764</v>
      </c>
      <c r="B526" s="551">
        <v>98845</v>
      </c>
      <c r="C526" s="551">
        <v>99827</v>
      </c>
      <c r="D526" s="551">
        <v>96406</v>
      </c>
      <c r="E526" s="551">
        <v>101480</v>
      </c>
      <c r="F526" s="551">
        <v>100399</v>
      </c>
      <c r="G526" s="551">
        <v>88551</v>
      </c>
    </row>
    <row r="527" spans="1:7">
      <c r="A527" s="755" t="s">
        <v>765</v>
      </c>
      <c r="B527" s="755"/>
      <c r="C527" s="755"/>
      <c r="D527" s="755"/>
      <c r="E527" s="755"/>
      <c r="F527" s="755"/>
      <c r="G527" s="755"/>
    </row>
    <row r="528" spans="1:7">
      <c r="A528" s="756" t="s">
        <v>767</v>
      </c>
      <c r="B528" s="756"/>
      <c r="C528" s="756"/>
      <c r="D528" s="756"/>
      <c r="E528" s="756"/>
      <c r="F528" s="756"/>
      <c r="G528" s="756"/>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75">
      <c r="A535" s="401" t="s">
        <v>791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75">
      <c r="A536" s="132" t="s">
        <v>346</v>
      </c>
      <c r="B536" s="753" t="s">
        <v>740</v>
      </c>
      <c r="C536" s="753"/>
      <c r="D536" s="753"/>
      <c r="E536" s="753"/>
      <c r="F536" s="753"/>
      <c r="G536" s="753"/>
      <c r="H536" s="753"/>
      <c r="I536" s="753"/>
      <c r="J536" s="753"/>
      <c r="K536" s="753"/>
      <c r="L536" s="753"/>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727</v>
      </c>
      <c r="C537" s="529" t="s">
        <v>728</v>
      </c>
      <c r="D537" s="532" t="s">
        <v>729</v>
      </c>
      <c r="E537" s="534" t="s">
        <v>730</v>
      </c>
      <c r="F537" s="43" t="s">
        <v>731</v>
      </c>
      <c r="G537" s="537" t="s">
        <v>732</v>
      </c>
      <c r="H537" s="459" t="s">
        <v>375</v>
      </c>
      <c r="I537" s="539" t="s">
        <v>733</v>
      </c>
      <c r="J537" s="540" t="s">
        <v>734</v>
      </c>
      <c r="K537" s="526" t="s">
        <v>735</v>
      </c>
      <c r="L537" s="526" t="s">
        <v>736</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75">
      <c r="A538" s="528" t="s">
        <v>739</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737</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728</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729</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730</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731</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732</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375</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733</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734</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735</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736</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744</v>
      </c>
      <c r="B554" s="754" t="s">
        <v>745</v>
      </c>
      <c r="C554" s="754"/>
      <c r="D554" s="754"/>
      <c r="E554" s="754"/>
      <c r="F554" s="754"/>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728</v>
      </c>
      <c r="B555" s="459" t="s">
        <v>398</v>
      </c>
      <c r="C555" s="459" t="s">
        <v>397</v>
      </c>
      <c r="D555" s="459" t="s">
        <v>399</v>
      </c>
      <c r="E555" s="459" t="s">
        <v>396</v>
      </c>
      <c r="F555" s="459" t="s">
        <v>393</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729</v>
      </c>
      <c r="B556" s="459" t="s">
        <v>394</v>
      </c>
      <c r="C556" s="459" t="s">
        <v>395</v>
      </c>
      <c r="D556" s="459" t="s">
        <v>392</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730</v>
      </c>
      <c r="B557" s="459" t="s">
        <v>386</v>
      </c>
      <c r="C557" s="459" t="s">
        <v>390</v>
      </c>
      <c r="D557" s="459" t="s">
        <v>389</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731</v>
      </c>
      <c r="B558" s="459" t="s">
        <v>374</v>
      </c>
      <c r="C558" s="459" t="s">
        <v>377</v>
      </c>
      <c r="D558" s="459" t="s">
        <v>384</v>
      </c>
      <c r="E558" s="459" t="s">
        <v>391</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732</v>
      </c>
      <c r="B559" s="459" t="s">
        <v>388</v>
      </c>
      <c r="C559" s="459" t="s">
        <v>387</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375</v>
      </c>
      <c r="B560" s="459" t="s">
        <v>375</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733</v>
      </c>
      <c r="B561" s="459" t="s">
        <v>376</v>
      </c>
      <c r="C561" s="459" t="s">
        <v>381</v>
      </c>
      <c r="D561" s="459" t="s">
        <v>746</v>
      </c>
      <c r="E561" s="459" t="s">
        <v>380</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734</v>
      </c>
      <c r="B562" s="458" t="s">
        <v>378</v>
      </c>
      <c r="C562" s="458" t="s">
        <v>382</v>
      </c>
      <c r="D562" s="458" t="s">
        <v>747</v>
      </c>
      <c r="E562" s="458" t="s">
        <v>383</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75">
      <c r="A567" s="401" t="s">
        <v>791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400</v>
      </c>
      <c r="B569" s="459" t="s">
        <v>750</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751</v>
      </c>
      <c r="B570" s="1" t="s">
        <v>792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752</v>
      </c>
      <c r="B571" s="1" t="s">
        <v>792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753</v>
      </c>
      <c r="B572" s="458" t="s">
        <v>792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754</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75">
      <c r="A577" s="401" t="s">
        <v>856</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857</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858</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855</v>
      </c>
      <c r="B581" s="458" t="s">
        <v>792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75">
      <c r="A585" s="522" t="s">
        <v>797</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75">
      <c r="A588" s="401" t="s">
        <v>798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Commodities!C23</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Commodities!C24</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Commodities!C25</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819</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75">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75">
      <c r="A601" s="401" t="s">
        <v>798</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Commodities!C26</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Commodities!C27</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835</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826</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827</v>
      </c>
      <c r="B610" s="132" t="s">
        <v>820</v>
      </c>
      <c r="C610" s="132" t="s">
        <v>387</v>
      </c>
      <c r="D610" s="132" t="s">
        <v>375</v>
      </c>
      <c r="E610" s="132" t="s">
        <v>388</v>
      </c>
      <c r="F610" s="132" t="s">
        <v>821</v>
      </c>
      <c r="G610" s="132" t="s">
        <v>822</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823</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824</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825</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828</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831</v>
      </c>
    </row>
    <row r="619" spans="1:32" s="459" customFormat="1">
      <c r="A619" s="132" t="s">
        <v>827</v>
      </c>
      <c r="B619" s="132" t="s">
        <v>820</v>
      </c>
      <c r="C619" s="132" t="s">
        <v>387</v>
      </c>
      <c r="D619" s="132" t="s">
        <v>375</v>
      </c>
      <c r="E619" s="132" t="s">
        <v>388</v>
      </c>
      <c r="F619" s="132" t="s">
        <v>821</v>
      </c>
      <c r="G619" s="132" t="s">
        <v>822</v>
      </c>
    </row>
    <row r="620" spans="1:32" s="459" customFormat="1">
      <c r="A620" s="459" t="s">
        <v>823</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824</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825</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834</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832</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829</v>
      </c>
      <c r="B628" s="459"/>
      <c r="C628" s="459"/>
      <c r="D628" s="459"/>
      <c r="E628" s="459"/>
      <c r="F628" s="459"/>
      <c r="G628" s="459"/>
    </row>
    <row r="629" spans="1:7">
      <c r="A629" s="132" t="s">
        <v>827</v>
      </c>
      <c r="B629" s="132" t="s">
        <v>820</v>
      </c>
      <c r="C629" s="132" t="s">
        <v>387</v>
      </c>
      <c r="D629" s="132" t="s">
        <v>375</v>
      </c>
      <c r="E629" s="132" t="s">
        <v>388</v>
      </c>
      <c r="F629" s="132" t="s">
        <v>821</v>
      </c>
      <c r="G629" s="132" t="s">
        <v>822</v>
      </c>
    </row>
    <row r="630" spans="1:7">
      <c r="A630" s="459" t="s">
        <v>823</v>
      </c>
      <c r="B630" s="459">
        <v>36521.1</v>
      </c>
      <c r="C630" s="459">
        <v>2387.8000000000002</v>
      </c>
      <c r="D630" s="459">
        <v>31319.4</v>
      </c>
      <c r="E630" s="459">
        <v>365.3</v>
      </c>
      <c r="F630" s="459">
        <v>770.9</v>
      </c>
      <c r="G630" s="459">
        <v>1677.7</v>
      </c>
    </row>
    <row r="631" spans="1:7">
      <c r="A631" s="459" t="s">
        <v>824</v>
      </c>
      <c r="B631" s="459">
        <v>157.4</v>
      </c>
      <c r="C631" s="459">
        <v>0.1</v>
      </c>
      <c r="D631" s="459">
        <v>143.69999999999999</v>
      </c>
      <c r="E631" s="459">
        <v>0</v>
      </c>
      <c r="F631" s="459">
        <v>0</v>
      </c>
      <c r="G631" s="459">
        <v>13.6</v>
      </c>
    </row>
    <row r="632" spans="1:7">
      <c r="A632" s="458" t="s">
        <v>825</v>
      </c>
      <c r="B632" s="458">
        <v>266.39999999999998</v>
      </c>
      <c r="C632" s="458">
        <v>20.399999999999999</v>
      </c>
      <c r="D632" s="458">
        <v>222.7</v>
      </c>
      <c r="E632" s="458">
        <v>3.3</v>
      </c>
      <c r="F632" s="458">
        <v>6.2</v>
      </c>
      <c r="G632" s="458">
        <v>13.7</v>
      </c>
    </row>
    <row r="633" spans="1:7">
      <c r="A633" s="21" t="s">
        <v>828</v>
      </c>
      <c r="B633" s="459"/>
      <c r="C633" s="459"/>
      <c r="D633" s="459"/>
      <c r="E633" s="459"/>
      <c r="F633" s="459"/>
      <c r="G633" s="459"/>
    </row>
    <row r="637" spans="1:7">
      <c r="A637" s="459" t="s">
        <v>830</v>
      </c>
      <c r="B637" s="459"/>
      <c r="C637" s="459"/>
      <c r="D637" s="459"/>
      <c r="E637" s="459"/>
      <c r="F637" s="459"/>
      <c r="G637" s="459"/>
    </row>
    <row r="638" spans="1:7">
      <c r="A638" s="132" t="s">
        <v>827</v>
      </c>
      <c r="B638" s="132" t="s">
        <v>820</v>
      </c>
      <c r="C638" s="132" t="s">
        <v>387</v>
      </c>
      <c r="D638" s="132" t="s">
        <v>375</v>
      </c>
      <c r="E638" s="132" t="s">
        <v>388</v>
      </c>
      <c r="F638" s="132" t="s">
        <v>821</v>
      </c>
      <c r="G638" s="132" t="s">
        <v>822</v>
      </c>
    </row>
    <row r="639" spans="1:7">
      <c r="A639" s="459" t="s">
        <v>823</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824</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825</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828</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833</v>
      </c>
      <c r="B646" s="459"/>
      <c r="C646" s="459"/>
      <c r="D646" s="459"/>
      <c r="E646" s="459"/>
      <c r="F646" s="459"/>
      <c r="G646" s="459"/>
    </row>
    <row r="647" spans="1:7">
      <c r="A647" s="132" t="s">
        <v>827</v>
      </c>
      <c r="B647" s="132" t="s">
        <v>820</v>
      </c>
      <c r="C647" s="132" t="s">
        <v>387</v>
      </c>
      <c r="D647" s="132" t="s">
        <v>375</v>
      </c>
      <c r="E647" s="132" t="s">
        <v>388</v>
      </c>
      <c r="F647" s="132" t="s">
        <v>821</v>
      </c>
      <c r="G647" s="132" t="s">
        <v>822</v>
      </c>
    </row>
    <row r="648" spans="1:7">
      <c r="A648" s="459" t="s">
        <v>823</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824</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825</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834</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832</v>
      </c>
      <c r="B652" s="459"/>
      <c r="C652" s="459"/>
      <c r="D652" s="459"/>
      <c r="E652" s="459"/>
      <c r="F652" s="459"/>
      <c r="G652" s="459"/>
    </row>
    <row r="654" spans="1:7">
      <c r="B654" s="583" t="s">
        <v>820</v>
      </c>
      <c r="C654" s="583" t="s">
        <v>387</v>
      </c>
      <c r="D654" s="583" t="s">
        <v>375</v>
      </c>
      <c r="E654" s="583" t="s">
        <v>388</v>
      </c>
      <c r="F654" s="583" t="s">
        <v>821</v>
      </c>
      <c r="G654" s="583" t="s">
        <v>822</v>
      </c>
    </row>
    <row r="655" spans="1:7">
      <c r="B655" s="584" t="s">
        <v>778</v>
      </c>
      <c r="C655" s="584" t="s">
        <v>387</v>
      </c>
      <c r="D655" s="584" t="s">
        <v>375</v>
      </c>
      <c r="E655" s="584" t="s">
        <v>388</v>
      </c>
      <c r="F655" s="584" t="s">
        <v>394</v>
      </c>
      <c r="G655" s="584" t="s">
        <v>386</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459" customFormat="1">
      <c r="A1" s="459" t="s">
        <v>301</v>
      </c>
    </row>
    <row r="2" spans="1:4">
      <c r="A2" s="385"/>
      <c r="B2" s="385" t="s">
        <v>19</v>
      </c>
      <c r="C2" s="385" t="s">
        <v>18</v>
      </c>
      <c r="D2" s="385" t="s">
        <v>846</v>
      </c>
    </row>
    <row r="3" spans="1:4">
      <c r="A3" s="385" t="s">
        <v>844</v>
      </c>
      <c r="B3" s="594">
        <v>0.36</v>
      </c>
      <c r="C3" s="594">
        <v>0.34</v>
      </c>
      <c r="D3" s="594">
        <v>0.35</v>
      </c>
    </row>
    <row r="4" spans="1:4">
      <c r="A4" s="385" t="s">
        <v>845</v>
      </c>
      <c r="B4" s="594">
        <v>0.41</v>
      </c>
      <c r="C4" s="594">
        <v>0.41</v>
      </c>
      <c r="D4" s="594">
        <v>0.41</v>
      </c>
    </row>
    <row r="5" spans="1:4" s="459" customFormat="1">
      <c r="A5" s="385" t="s">
        <v>859</v>
      </c>
      <c r="B5" s="594">
        <v>0.45</v>
      </c>
      <c r="C5" s="594">
        <v>0.45</v>
      </c>
      <c r="D5" s="594">
        <v>0.45</v>
      </c>
    </row>
    <row r="6" spans="1:4">
      <c r="A6" s="385" t="s">
        <v>847</v>
      </c>
      <c r="B6" s="594">
        <v>0.4</v>
      </c>
      <c r="C6" s="594">
        <v>0.4</v>
      </c>
      <c r="D6" s="594">
        <v>0.4</v>
      </c>
    </row>
    <row r="30" spans="1:2">
      <c r="A30" s="133" t="s">
        <v>839</v>
      </c>
      <c r="B30" s="593" t="s">
        <v>838</v>
      </c>
    </row>
    <row r="31" spans="1:2">
      <c r="B31" s="593" t="s">
        <v>840</v>
      </c>
    </row>
    <row r="32" spans="1:2" s="459" customFormat="1">
      <c r="B32" s="593"/>
    </row>
    <row r="33" spans="2:2" s="459" customFormat="1">
      <c r="B33" s="593"/>
    </row>
    <row r="35" spans="2:2">
      <c r="B35" t="s">
        <v>842</v>
      </c>
    </row>
    <row r="57" spans="2:2">
      <c r="B57" s="389" t="s">
        <v>841</v>
      </c>
    </row>
    <row r="60" spans="2:2">
      <c r="B60" t="s">
        <v>843</v>
      </c>
    </row>
    <row r="80" spans="2:2">
      <c r="B80" s="389" t="s">
        <v>841</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topLeftCell="A22" zoomScale="70" zoomScaleNormal="70" workbookViewId="0">
      <selection activeCell="J37" sqref="J37"/>
    </sheetView>
  </sheetViews>
  <sheetFormatPr defaultRowHeight="15"/>
  <cols>
    <col min="1" max="1" width="22.42578125" bestFit="1" customWidth="1"/>
    <col min="2" max="2" width="13.7109375" customWidth="1"/>
    <col min="3" max="3" width="13.7109375" style="459" customWidth="1"/>
    <col min="4" max="4" width="20.5703125" style="448" bestFit="1" customWidth="1"/>
    <col min="5" max="12" width="9" customWidth="1"/>
    <col min="13" max="13" width="10.85546875" customWidth="1"/>
    <col min="14" max="30" width="9" customWidth="1"/>
  </cols>
  <sheetData>
    <row r="1" spans="1:35" ht="18.75">
      <c r="A1" s="567" t="s">
        <v>641</v>
      </c>
      <c r="AE1" s="448"/>
      <c r="AF1" s="448"/>
      <c r="AG1" s="448"/>
      <c r="AH1" s="448"/>
      <c r="AI1" s="448"/>
    </row>
    <row r="2" spans="1:35" s="459" customFormat="1"/>
    <row r="3" spans="1:35" s="459" customFormat="1" ht="18.75">
      <c r="A3" s="772" t="s">
        <v>935</v>
      </c>
      <c r="B3" s="772"/>
      <c r="C3" s="772"/>
      <c r="D3" s="772"/>
    </row>
    <row r="4" spans="1:35" s="459" customFormat="1"/>
    <row r="5" spans="1:35">
      <c r="D5" s="453" t="s">
        <v>1102</v>
      </c>
      <c r="E5" s="448"/>
      <c r="F5" s="448"/>
      <c r="G5" s="448"/>
      <c r="AE5" s="448"/>
      <c r="AF5" s="448"/>
      <c r="AG5" s="448"/>
      <c r="AH5" s="448"/>
      <c r="AI5" s="448"/>
    </row>
    <row r="6" spans="1:35" ht="15.75" thickBot="1">
      <c r="A6" s="41" t="s">
        <v>70</v>
      </c>
      <c r="B6" s="41" t="s">
        <v>569</v>
      </c>
      <c r="C6" s="41" t="s">
        <v>786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789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916</v>
      </c>
      <c r="C8" s="480" t="s">
        <v>787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916</v>
      </c>
      <c r="C9" s="480" t="s">
        <v>787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916</v>
      </c>
      <c r="C10" s="480" t="s">
        <v>787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916</v>
      </c>
      <c r="C11" s="480" t="s">
        <v>787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916</v>
      </c>
      <c r="C12" s="480" t="s">
        <v>787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916</v>
      </c>
      <c r="C13" s="480" t="s">
        <v>787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916</v>
      </c>
      <c r="C14" s="480" t="s">
        <v>787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916</v>
      </c>
      <c r="C15" s="480" t="s">
        <v>787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916</v>
      </c>
      <c r="C16" s="480" t="s">
        <v>787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916</v>
      </c>
      <c r="C17" s="480" t="s">
        <v>787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916</v>
      </c>
      <c r="C18" s="480" t="s">
        <v>787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916</v>
      </c>
      <c r="C19" s="480" t="s">
        <v>787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916</v>
      </c>
      <c r="C20" s="480" t="s">
        <v>787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916</v>
      </c>
      <c r="C21" s="480" t="s">
        <v>787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916</v>
      </c>
      <c r="C22" s="480" t="s">
        <v>787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916</v>
      </c>
      <c r="C23" s="480" t="s">
        <v>787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916</v>
      </c>
      <c r="C24" s="480" t="s">
        <v>787</v>
      </c>
      <c r="D24" s="734">
        <f>B69</f>
        <v>78.019401157895544</v>
      </c>
      <c r="E24" s="734">
        <v>0</v>
      </c>
      <c r="F24" s="734">
        <f>D24</f>
        <v>78.019401157895544</v>
      </c>
      <c r="G24" s="734">
        <f>E24</f>
        <v>0</v>
      </c>
      <c r="H24" s="734">
        <f>G24</f>
        <v>0</v>
      </c>
      <c r="I24" s="734">
        <f t="shared" si="27"/>
        <v>0</v>
      </c>
      <c r="J24" s="734">
        <f t="shared" si="28"/>
        <v>0</v>
      </c>
      <c r="K24" s="734">
        <f t="shared" si="4"/>
        <v>0</v>
      </c>
      <c r="L24" s="734">
        <f t="shared" si="5"/>
        <v>0</v>
      </c>
      <c r="M24" s="734">
        <f t="shared" si="6"/>
        <v>0</v>
      </c>
      <c r="N24" s="734">
        <f t="shared" si="7"/>
        <v>0</v>
      </c>
      <c r="O24" s="734">
        <f t="shared" si="8"/>
        <v>0</v>
      </c>
      <c r="P24" s="734">
        <f t="shared" si="9"/>
        <v>0</v>
      </c>
      <c r="Q24" s="734">
        <f t="shared" si="10"/>
        <v>0</v>
      </c>
      <c r="R24" s="734">
        <f t="shared" si="11"/>
        <v>0</v>
      </c>
      <c r="S24" s="734">
        <f t="shared" si="12"/>
        <v>0</v>
      </c>
      <c r="T24" s="734">
        <f t="shared" si="13"/>
        <v>0</v>
      </c>
      <c r="U24" s="734">
        <f t="shared" si="14"/>
        <v>0</v>
      </c>
      <c r="V24" s="734">
        <f t="shared" si="15"/>
        <v>0</v>
      </c>
      <c r="W24" s="734">
        <f t="shared" si="16"/>
        <v>0</v>
      </c>
      <c r="X24" s="734">
        <f t="shared" si="17"/>
        <v>0</v>
      </c>
      <c r="Y24" s="734">
        <f t="shared" si="18"/>
        <v>0</v>
      </c>
      <c r="Z24" s="734">
        <f t="shared" si="19"/>
        <v>0</v>
      </c>
      <c r="AA24" s="734">
        <f t="shared" si="20"/>
        <v>0</v>
      </c>
      <c r="AB24" s="734">
        <f t="shared" si="21"/>
        <v>0</v>
      </c>
      <c r="AC24" s="734">
        <f t="shared" si="22"/>
        <v>0</v>
      </c>
      <c r="AD24" s="734">
        <f t="shared" si="23"/>
        <v>0</v>
      </c>
    </row>
    <row r="25" spans="1:30" s="459" customFormat="1">
      <c r="A25" s="480" t="str">
        <f>Commodities!K30</f>
        <v>THRAIL_ELC_00</v>
      </c>
      <c r="B25" s="480" t="s">
        <v>916</v>
      </c>
      <c r="C25" s="480" t="s">
        <v>787</v>
      </c>
      <c r="D25" s="734">
        <f>D24</f>
        <v>78.019401157895544</v>
      </c>
      <c r="E25" s="734">
        <f>D25</f>
        <v>78.019401157895544</v>
      </c>
      <c r="F25" s="734">
        <f t="shared" ref="F25:H25" si="29">E25</f>
        <v>78.019401157895544</v>
      </c>
      <c r="G25" s="734">
        <f t="shared" si="29"/>
        <v>78.019401157895544</v>
      </c>
      <c r="H25" s="734">
        <f t="shared" si="29"/>
        <v>78.019401157895544</v>
      </c>
      <c r="I25" s="734">
        <f t="shared" si="27"/>
        <v>78.019401157895544</v>
      </c>
      <c r="J25" s="734">
        <f t="shared" si="28"/>
        <v>78.019401157895544</v>
      </c>
      <c r="K25" s="734">
        <f t="shared" si="4"/>
        <v>78.019401157895544</v>
      </c>
      <c r="L25" s="734">
        <f t="shared" si="5"/>
        <v>78.019401157895544</v>
      </c>
      <c r="M25" s="734">
        <f t="shared" si="6"/>
        <v>78.019401157895544</v>
      </c>
      <c r="N25" s="734">
        <f t="shared" si="7"/>
        <v>78.019401157895544</v>
      </c>
      <c r="O25" s="734">
        <f t="shared" si="8"/>
        <v>78.019401157895544</v>
      </c>
      <c r="P25" s="734">
        <f t="shared" si="9"/>
        <v>78.019401157895544</v>
      </c>
      <c r="Q25" s="734">
        <f t="shared" si="10"/>
        <v>78.019401157895544</v>
      </c>
      <c r="R25" s="734">
        <f t="shared" si="11"/>
        <v>78.019401157895544</v>
      </c>
      <c r="S25" s="734">
        <f t="shared" si="12"/>
        <v>78.019401157895544</v>
      </c>
      <c r="T25" s="734">
        <f t="shared" si="13"/>
        <v>78.019401157895544</v>
      </c>
      <c r="U25" s="734">
        <f t="shared" si="14"/>
        <v>78.019401157895544</v>
      </c>
      <c r="V25" s="734">
        <f t="shared" si="15"/>
        <v>78.019401157895544</v>
      </c>
      <c r="W25" s="734">
        <f t="shared" si="16"/>
        <v>78.019401157895544</v>
      </c>
      <c r="X25" s="734">
        <f t="shared" si="17"/>
        <v>78.019401157895544</v>
      </c>
      <c r="Y25" s="734">
        <f t="shared" si="18"/>
        <v>78.019401157895544</v>
      </c>
      <c r="Z25" s="734">
        <f t="shared" si="19"/>
        <v>78.019401157895544</v>
      </c>
      <c r="AA25" s="734">
        <f t="shared" si="20"/>
        <v>78.019401157895544</v>
      </c>
      <c r="AB25" s="734">
        <f t="shared" si="21"/>
        <v>78.019401157895544</v>
      </c>
      <c r="AC25" s="734">
        <f t="shared" si="22"/>
        <v>78.019401157895544</v>
      </c>
      <c r="AD25" s="734">
        <f t="shared" si="23"/>
        <v>78.019401157895544</v>
      </c>
    </row>
    <row r="26" spans="1:30" s="459" customFormat="1">
      <c r="A26" s="480" t="str">
        <f>Commodities!K31</f>
        <v>THRAIL_DST_00</v>
      </c>
      <c r="B26" s="480" t="s">
        <v>916</v>
      </c>
      <c r="C26" s="480" t="s">
        <v>787</v>
      </c>
      <c r="D26" s="734">
        <v>120</v>
      </c>
      <c r="E26" s="734">
        <f>D26</f>
        <v>120</v>
      </c>
      <c r="F26" s="734">
        <f t="shared" ref="F26:H26" si="30">E26</f>
        <v>120</v>
      </c>
      <c r="G26" s="734">
        <f t="shared" si="30"/>
        <v>120</v>
      </c>
      <c r="H26" s="734">
        <f t="shared" si="30"/>
        <v>120</v>
      </c>
      <c r="I26" s="734">
        <f t="shared" si="27"/>
        <v>120</v>
      </c>
      <c r="J26" s="734">
        <f t="shared" si="28"/>
        <v>120</v>
      </c>
      <c r="K26" s="734">
        <f t="shared" si="4"/>
        <v>120</v>
      </c>
      <c r="L26" s="734">
        <f t="shared" si="5"/>
        <v>120</v>
      </c>
      <c r="M26" s="734">
        <f t="shared" si="6"/>
        <v>120</v>
      </c>
      <c r="N26" s="734">
        <f t="shared" si="7"/>
        <v>120</v>
      </c>
      <c r="O26" s="734">
        <f t="shared" si="8"/>
        <v>120</v>
      </c>
      <c r="P26" s="734">
        <f t="shared" si="9"/>
        <v>120</v>
      </c>
      <c r="Q26" s="734">
        <f t="shared" si="10"/>
        <v>120</v>
      </c>
      <c r="R26" s="734">
        <f t="shared" si="11"/>
        <v>120</v>
      </c>
      <c r="S26" s="734">
        <f t="shared" si="12"/>
        <v>120</v>
      </c>
      <c r="T26" s="734">
        <f t="shared" si="13"/>
        <v>120</v>
      </c>
      <c r="U26" s="734">
        <f t="shared" si="14"/>
        <v>120</v>
      </c>
      <c r="V26" s="734">
        <f t="shared" si="15"/>
        <v>120</v>
      </c>
      <c r="W26" s="734">
        <f t="shared" si="16"/>
        <v>120</v>
      </c>
      <c r="X26" s="734">
        <f t="shared" si="17"/>
        <v>120</v>
      </c>
      <c r="Y26" s="734">
        <f t="shared" si="18"/>
        <v>120</v>
      </c>
      <c r="Z26" s="734">
        <f t="shared" si="19"/>
        <v>120</v>
      </c>
      <c r="AA26" s="734">
        <f t="shared" si="20"/>
        <v>120</v>
      </c>
      <c r="AB26" s="734">
        <f t="shared" si="21"/>
        <v>120</v>
      </c>
      <c r="AC26" s="734">
        <f t="shared" si="22"/>
        <v>120</v>
      </c>
      <c r="AD26" s="734">
        <f t="shared" si="23"/>
        <v>120</v>
      </c>
    </row>
    <row r="27" spans="1:30" s="459" customFormat="1">
      <c r="A27" s="735" t="s">
        <v>790</v>
      </c>
      <c r="B27" s="735"/>
      <c r="C27" s="735"/>
      <c r="D27" s="735"/>
      <c r="E27" s="735"/>
      <c r="F27" s="735"/>
      <c r="G27" s="735"/>
      <c r="H27" s="735"/>
      <c r="I27" s="735"/>
      <c r="J27" s="735"/>
      <c r="K27" s="735"/>
      <c r="L27" s="735"/>
      <c r="M27" s="735"/>
      <c r="N27" s="735"/>
      <c r="O27" s="735"/>
      <c r="P27" s="735"/>
      <c r="Q27" s="735"/>
      <c r="R27" s="735"/>
      <c r="S27" s="735"/>
      <c r="T27" s="735"/>
      <c r="U27" s="735"/>
      <c r="V27" s="735"/>
      <c r="W27" s="735"/>
      <c r="X27" s="735"/>
      <c r="Y27" s="735"/>
      <c r="Z27" s="735"/>
      <c r="AA27" s="735"/>
      <c r="AB27" s="735"/>
      <c r="AC27" s="735"/>
      <c r="AD27" s="735"/>
    </row>
    <row r="28" spans="1:30">
      <c r="A28" s="480" t="str">
        <f>Commodities!K34</f>
        <v>TFGV_GSL_00</v>
      </c>
      <c r="B28" s="480" t="s">
        <v>916</v>
      </c>
      <c r="C28" s="480" t="s">
        <v>788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916</v>
      </c>
      <c r="C29" s="493" t="s">
        <v>788</v>
      </c>
      <c r="D29" s="736">
        <f>Demands!C581</f>
        <v>1.4620453681409198</v>
      </c>
      <c r="E29" s="736">
        <f>Demands!D581</f>
        <v>1.3793875658298416</v>
      </c>
      <c r="F29" s="736">
        <f>Demands!E581</f>
        <v>1.4862792377634615</v>
      </c>
      <c r="G29" s="736">
        <f>Demands!F581</f>
        <v>1.2758837094916566</v>
      </c>
      <c r="H29" s="736">
        <f>Demands!G581</f>
        <v>1.6410035358512787</v>
      </c>
      <c r="I29" s="736">
        <f>Demands!H581</f>
        <v>1.5778905727849575</v>
      </c>
      <c r="J29" s="736">
        <f>Demands!I581</f>
        <v>1.2114088232975861</v>
      </c>
      <c r="K29" s="736">
        <f>Demands!J581</f>
        <v>1.4859569460606008</v>
      </c>
      <c r="L29" s="736">
        <f>Demands!K581</f>
        <v>1.1842119745669166</v>
      </c>
      <c r="M29" s="736">
        <f>Demands!L581</f>
        <v>1.4628489701532177</v>
      </c>
      <c r="N29" s="736">
        <f>Demands!M581</f>
        <v>1.3306194305662751</v>
      </c>
      <c r="O29" s="736">
        <f>Demands!N581</f>
        <v>1.401066436749296</v>
      </c>
      <c r="P29" s="736">
        <f>Demands!O581</f>
        <v>1.5435521318404162</v>
      </c>
      <c r="Q29" s="736">
        <f>Demands!P581</f>
        <v>1.5342791255930024</v>
      </c>
      <c r="R29" s="736">
        <f>Demands!Q581</f>
        <v>1.8491782767532252</v>
      </c>
      <c r="S29" s="736">
        <f>Demands!R581</f>
        <v>1.80512968734413</v>
      </c>
      <c r="T29" s="736">
        <f>Demands!S581</f>
        <v>1.5475501190957266</v>
      </c>
      <c r="U29" s="736">
        <f>Demands!T581</f>
        <v>1.3507936655689778</v>
      </c>
      <c r="V29" s="736">
        <f>Demands!U581</f>
        <v>2.2276573570679252</v>
      </c>
      <c r="W29" s="736">
        <f>Demands!V581</f>
        <v>1.4103985268170536</v>
      </c>
      <c r="X29" s="736">
        <f>Demands!W581</f>
        <v>1.1527638598529673</v>
      </c>
      <c r="Y29" s="736">
        <f>Demands!X581</f>
        <v>1.1291361879453536</v>
      </c>
      <c r="Z29" s="736">
        <f>Demands!Y581</f>
        <v>1.0966261578226115</v>
      </c>
      <c r="AA29" s="736">
        <f>Demands!Z581</f>
        <v>1.3638908094558242</v>
      </c>
      <c r="AB29" s="736">
        <f>Demands!AA581</f>
        <v>1.0776800202339714</v>
      </c>
      <c r="AC29" s="736">
        <f>Demands!AB581</f>
        <v>1.387123296561513</v>
      </c>
      <c r="AD29" s="736">
        <f>Demands!AC581</f>
        <v>0.77679769479424898</v>
      </c>
    </row>
    <row r="30" spans="1:30" s="459" customFormat="1">
      <c r="A30" s="496" t="str">
        <f>Commodities!K36</f>
        <v>TFRAIL_DST_00</v>
      </c>
      <c r="B30" s="496" t="s">
        <v>916</v>
      </c>
      <c r="C30" s="496" t="s">
        <v>788</v>
      </c>
      <c r="D30" s="731">
        <v>164.83335026928157</v>
      </c>
      <c r="E30" s="737">
        <f t="shared" ref="E30" si="31">D30</f>
        <v>164.83335026928157</v>
      </c>
      <c r="F30" s="737">
        <f t="shared" ref="F30:AD30" si="32">E30</f>
        <v>164.83335026928157</v>
      </c>
      <c r="G30" s="737">
        <f t="shared" si="32"/>
        <v>164.83335026928157</v>
      </c>
      <c r="H30" s="737">
        <f t="shared" si="32"/>
        <v>164.83335026928157</v>
      </c>
      <c r="I30" s="737">
        <f t="shared" si="32"/>
        <v>164.83335026928157</v>
      </c>
      <c r="J30" s="737">
        <f t="shared" si="32"/>
        <v>164.83335026928157</v>
      </c>
      <c r="K30" s="737">
        <f t="shared" si="32"/>
        <v>164.83335026928157</v>
      </c>
      <c r="L30" s="737">
        <f t="shared" si="32"/>
        <v>164.83335026928157</v>
      </c>
      <c r="M30" s="737">
        <f t="shared" si="32"/>
        <v>164.83335026928157</v>
      </c>
      <c r="N30" s="737">
        <f t="shared" si="32"/>
        <v>164.83335026928157</v>
      </c>
      <c r="O30" s="737">
        <f t="shared" si="32"/>
        <v>164.83335026928157</v>
      </c>
      <c r="P30" s="737">
        <f t="shared" si="32"/>
        <v>164.83335026928157</v>
      </c>
      <c r="Q30" s="737">
        <f t="shared" si="32"/>
        <v>164.83335026928157</v>
      </c>
      <c r="R30" s="737">
        <f t="shared" si="32"/>
        <v>164.83335026928157</v>
      </c>
      <c r="S30" s="737">
        <f t="shared" si="32"/>
        <v>164.83335026928157</v>
      </c>
      <c r="T30" s="737">
        <f t="shared" si="32"/>
        <v>164.83335026928157</v>
      </c>
      <c r="U30" s="737">
        <f t="shared" si="32"/>
        <v>164.83335026928157</v>
      </c>
      <c r="V30" s="737">
        <f t="shared" si="32"/>
        <v>164.83335026928157</v>
      </c>
      <c r="W30" s="737">
        <f t="shared" si="32"/>
        <v>164.83335026928157</v>
      </c>
      <c r="X30" s="737">
        <f t="shared" si="32"/>
        <v>164.83335026928157</v>
      </c>
      <c r="Y30" s="737">
        <f t="shared" si="32"/>
        <v>164.83335026928157</v>
      </c>
      <c r="Z30" s="737">
        <f t="shared" si="32"/>
        <v>164.83335026928157</v>
      </c>
      <c r="AA30" s="737">
        <f t="shared" si="32"/>
        <v>164.83335026928157</v>
      </c>
      <c r="AB30" s="737">
        <f t="shared" si="32"/>
        <v>164.83335026928157</v>
      </c>
      <c r="AC30" s="737">
        <f t="shared" si="32"/>
        <v>164.83335026928157</v>
      </c>
      <c r="AD30" s="737">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339</v>
      </c>
      <c r="B32" s="448"/>
      <c r="E32" s="448"/>
      <c r="F32" s="448"/>
      <c r="G32" s="448"/>
      <c r="H32" s="448"/>
    </row>
    <row r="33" spans="1:14">
      <c r="A33" s="448" t="s">
        <v>571</v>
      </c>
      <c r="B33" s="448"/>
      <c r="E33" s="448"/>
      <c r="F33" s="448"/>
      <c r="G33" s="448"/>
      <c r="H33" s="448"/>
    </row>
    <row r="34" spans="1:14">
      <c r="A34" s="448" t="s">
        <v>794</v>
      </c>
      <c r="B34" s="448"/>
      <c r="E34" s="448"/>
      <c r="F34" s="448"/>
      <c r="G34" s="448"/>
      <c r="H34" s="448"/>
    </row>
    <row r="35" spans="1:14">
      <c r="A35" t="s">
        <v>795</v>
      </c>
      <c r="E35" s="448"/>
      <c r="F35" s="448"/>
      <c r="G35" s="448"/>
      <c r="H35" s="448"/>
    </row>
    <row r="36" spans="1:14" s="459" customFormat="1">
      <c r="A36" s="459" t="s">
        <v>867</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460</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456</v>
      </c>
      <c r="M49" s="448"/>
    </row>
    <row r="50" spans="1:13">
      <c r="A50" s="1"/>
      <c r="B50" s="416" t="s">
        <v>455</v>
      </c>
      <c r="C50" s="423">
        <v>2540</v>
      </c>
      <c r="D50" s="419">
        <v>2680</v>
      </c>
      <c r="E50" s="419">
        <v>522</v>
      </c>
      <c r="F50" s="422">
        <v>522</v>
      </c>
      <c r="G50" s="419">
        <v>1300</v>
      </c>
      <c r="H50" s="419">
        <v>780</v>
      </c>
      <c r="I50" s="419">
        <v>208</v>
      </c>
      <c r="J50" s="424">
        <v>208</v>
      </c>
      <c r="K50" s="459"/>
      <c r="L50" s="387" t="s">
        <v>3</v>
      </c>
      <c r="M50" s="386">
        <f>SUM(C50:J50)</f>
        <v>8760</v>
      </c>
    </row>
    <row r="51" spans="1:13" ht="45">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773" t="s">
        <v>9</v>
      </c>
      <c r="B52" s="444" t="s">
        <v>458</v>
      </c>
      <c r="C52" s="386">
        <v>1.24</v>
      </c>
      <c r="D52" s="386">
        <v>1.25</v>
      </c>
      <c r="E52" s="386">
        <v>1.26</v>
      </c>
      <c r="F52" s="386">
        <v>1.26</v>
      </c>
      <c r="G52" s="386">
        <v>1.33</v>
      </c>
      <c r="H52" s="386">
        <v>1.34</v>
      </c>
      <c r="I52" s="386">
        <v>1.38</v>
      </c>
      <c r="J52" s="386">
        <v>1.38</v>
      </c>
      <c r="K52" s="459"/>
      <c r="L52" s="459"/>
      <c r="M52" s="448"/>
    </row>
    <row r="53" spans="1:13">
      <c r="A53" s="773"/>
      <c r="B53" s="444" t="s">
        <v>457</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773" t="s">
        <v>10</v>
      </c>
      <c r="B54" s="444" t="s">
        <v>458</v>
      </c>
      <c r="C54" s="386">
        <v>1.21</v>
      </c>
      <c r="D54" s="386">
        <v>1.22</v>
      </c>
      <c r="E54" s="386">
        <v>1.23</v>
      </c>
      <c r="F54" s="386">
        <v>1.23</v>
      </c>
      <c r="G54" s="386">
        <v>1.2</v>
      </c>
      <c r="H54" s="386">
        <v>1.23</v>
      </c>
      <c r="I54" s="386">
        <v>1.22</v>
      </c>
      <c r="J54" s="386">
        <v>1.22</v>
      </c>
      <c r="K54" s="459"/>
      <c r="L54" s="459"/>
      <c r="M54" s="448"/>
    </row>
    <row r="55" spans="1:13">
      <c r="A55" s="773"/>
      <c r="B55" s="444" t="s">
        <v>457</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773" t="s">
        <v>11</v>
      </c>
      <c r="B56" s="444" t="s">
        <v>458</v>
      </c>
      <c r="C56" s="386">
        <v>1.64</v>
      </c>
      <c r="D56" s="386">
        <v>1.65</v>
      </c>
      <c r="E56" s="386">
        <v>1.66</v>
      </c>
      <c r="F56" s="386">
        <v>1.68</v>
      </c>
      <c r="G56" s="386">
        <v>1.7</v>
      </c>
      <c r="H56" s="386">
        <v>1.83</v>
      </c>
      <c r="I56" s="386">
        <v>1.85</v>
      </c>
      <c r="J56" s="386">
        <v>1.85</v>
      </c>
      <c r="K56" s="459"/>
      <c r="L56" s="459"/>
      <c r="M56" s="448"/>
    </row>
    <row r="57" spans="1:13">
      <c r="A57" s="773"/>
      <c r="B57" s="444" t="s">
        <v>457</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458</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459</v>
      </c>
      <c r="B59" s="448"/>
      <c r="D59" s="459"/>
      <c r="E59" s="459"/>
      <c r="F59" s="459"/>
      <c r="G59" s="459"/>
      <c r="H59" s="459"/>
      <c r="I59" s="459"/>
      <c r="J59" s="459"/>
      <c r="K59" s="459"/>
      <c r="L59" s="459"/>
      <c r="M59" s="448"/>
    </row>
    <row r="65" spans="1:4" ht="15.75">
      <c r="A65" s="401" t="s">
        <v>338</v>
      </c>
      <c r="B65" s="401"/>
      <c r="D65" s="445"/>
    </row>
    <row r="66" spans="1:4">
      <c r="A66" s="476"/>
      <c r="B66" s="612" t="s">
        <v>865</v>
      </c>
      <c r="D66" s="445"/>
    </row>
    <row r="67" spans="1:4">
      <c r="A67" s="128" t="s">
        <v>26</v>
      </c>
      <c r="B67" s="483">
        <f>Demands!B167+Demands!C167</f>
        <v>4065479</v>
      </c>
      <c r="D67" s="445"/>
    </row>
    <row r="68" spans="1:4">
      <c r="A68" s="128" t="s">
        <v>35</v>
      </c>
      <c r="B68" s="483">
        <f>Demands!B168+Demands!C168</f>
        <v>317186237</v>
      </c>
      <c r="D68" s="445"/>
    </row>
    <row r="69" spans="1:4">
      <c r="A69" s="496" t="s">
        <v>866</v>
      </c>
      <c r="B69" s="613">
        <f>B68/B67</f>
        <v>78.019401157895544</v>
      </c>
      <c r="D69" s="445"/>
    </row>
    <row r="70" spans="1:4">
      <c r="A70" s="498" t="s">
        <v>644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25" zoomScale="70" zoomScaleNormal="70" workbookViewId="0">
      <selection activeCell="Q50" sqref="Q50"/>
    </sheetView>
  </sheetViews>
  <sheetFormatPr defaultRowHeight="15"/>
  <cols>
    <col min="1" max="1" width="22.42578125" bestFit="1" customWidth="1"/>
    <col min="2" max="2" width="12.140625" style="459" customWidth="1"/>
    <col min="3" max="3" width="11" customWidth="1"/>
    <col min="4" max="29" width="9.5703125" customWidth="1"/>
  </cols>
  <sheetData>
    <row r="1" spans="1:31">
      <c r="A1" s="459"/>
      <c r="E1" s="135"/>
    </row>
    <row r="2" spans="1:31">
      <c r="A2" s="448"/>
      <c r="C2" s="448"/>
      <c r="D2" s="448"/>
      <c r="E2" s="448"/>
    </row>
    <row r="3" spans="1:31">
      <c r="A3" s="459"/>
      <c r="C3" s="453"/>
      <c r="D3" s="448"/>
      <c r="E3" s="448"/>
      <c r="AD3" s="448"/>
      <c r="AE3" s="448"/>
    </row>
    <row r="4" spans="1:31" ht="15.7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1093</v>
      </c>
      <c r="C5" s="459" t="s">
        <v>936</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1093</v>
      </c>
      <c r="C6" s="459" t="s">
        <v>936</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1093</v>
      </c>
      <c r="C7" t="s">
        <v>936</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1093</v>
      </c>
      <c r="C8" s="459" t="s">
        <v>936</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1093</v>
      </c>
      <c r="C9" s="459" t="s">
        <v>936</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1093</v>
      </c>
      <c r="C10" s="459" t="s">
        <v>936</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1093</v>
      </c>
      <c r="C11" s="459" t="s">
        <v>936</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1093</v>
      </c>
      <c r="C12" s="459" t="s">
        <v>936</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1093</v>
      </c>
      <c r="C13" s="459" t="s">
        <v>936</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1093</v>
      </c>
      <c r="C14" s="459" t="s">
        <v>936</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1093</v>
      </c>
      <c r="C15" s="459" t="s">
        <v>936</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1093</v>
      </c>
      <c r="C16" s="459" t="s">
        <v>936</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1093</v>
      </c>
      <c r="C17" s="459" t="s">
        <v>936</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1093</v>
      </c>
      <c r="C18" s="459" t="s">
        <v>936</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1093</v>
      </c>
      <c r="C19" s="459" t="s">
        <v>936</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1093</v>
      </c>
      <c r="C20" s="459" t="s">
        <v>936</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1093</v>
      </c>
      <c r="C21" s="459" t="s">
        <v>936</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1093</v>
      </c>
      <c r="C22" s="459" t="s">
        <v>936</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1093</v>
      </c>
      <c r="C23" s="459" t="s">
        <v>936</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1093</v>
      </c>
      <c r="C24" s="459" t="s">
        <v>936</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1093</v>
      </c>
      <c r="C25" s="459" t="s">
        <v>936</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1093</v>
      </c>
      <c r="C26" s="459" t="s">
        <v>936</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936</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936</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936</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936</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936</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861</v>
      </c>
    </row>
    <row r="33" spans="1:31" s="459" customFormat="1">
      <c r="A33" s="28"/>
    </row>
    <row r="34" spans="1:31" s="459" customFormat="1">
      <c r="A34" s="28"/>
    </row>
    <row r="35" spans="1:31" s="459" customFormat="1">
      <c r="A35" s="28"/>
    </row>
    <row r="36" spans="1:31" s="459" customFormat="1">
      <c r="C36" s="453" t="s">
        <v>76</v>
      </c>
    </row>
    <row r="37" spans="1:31" s="459" customFormat="1" ht="15.7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939</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939</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939</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939</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939</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939</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939</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939</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939</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939</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939</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939</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939</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939</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939</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939</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939</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939</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939</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24" t="s">
        <v>939</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24" t="s">
        <v>939</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24" t="s">
        <v>939</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861</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75">
      <c r="A90" s="425" t="s">
        <v>649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648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347</v>
      </c>
      <c r="B92" s="459" t="s">
        <v>539</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348</v>
      </c>
      <c r="B93" s="459" t="s">
        <v>539</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349</v>
      </c>
      <c r="B94" s="459" t="s">
        <v>539</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350</v>
      </c>
      <c r="B95" s="459" t="s">
        <v>539</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351</v>
      </c>
      <c r="B96" s="459" t="s">
        <v>539</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352</v>
      </c>
      <c r="B97" s="459" t="s">
        <v>539</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353</v>
      </c>
      <c r="B98" s="459" t="s">
        <v>539</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539</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659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75">
      <c r="A104" s="425" t="s">
        <v>650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648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347</v>
      </c>
      <c r="B106" s="507" t="s">
        <v>652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348</v>
      </c>
      <c r="B107" s="1" t="s">
        <v>652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349</v>
      </c>
      <c r="B108" s="1" t="s">
        <v>652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350</v>
      </c>
      <c r="B109" s="1" t="s">
        <v>652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351</v>
      </c>
      <c r="B110" s="1" t="s">
        <v>652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352</v>
      </c>
      <c r="B111" s="1" t="s">
        <v>652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353</v>
      </c>
      <c r="B112" s="1" t="s">
        <v>652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75">
      <c r="A117" s="425" t="s">
        <v>651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648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347</v>
      </c>
      <c r="B119" s="459" t="s">
        <v>653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348</v>
      </c>
      <c r="B120" s="459" t="s">
        <v>653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349</v>
      </c>
      <c r="B121" s="459" t="s">
        <v>653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350</v>
      </c>
      <c r="B122" s="459" t="s">
        <v>653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351</v>
      </c>
      <c r="B123" s="459" t="s">
        <v>653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352</v>
      </c>
      <c r="B124" s="459" t="s">
        <v>653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353</v>
      </c>
      <c r="B125" s="458" t="s">
        <v>653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657</v>
      </c>
      <c r="C126" s="459"/>
    </row>
    <row r="128" spans="1:29" s="459" customFormat="1"/>
    <row r="130" spans="1:29" ht="15.75">
      <c r="A130" s="425" t="s">
        <v>651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648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669</v>
      </c>
      <c r="B132" s="459" t="s">
        <v>653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75">
      <c r="A137" s="425" t="s">
        <v>654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648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347</v>
      </c>
      <c r="B139" s="459" t="s">
        <v>539</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348</v>
      </c>
      <c r="B140" s="459" t="s">
        <v>539</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349</v>
      </c>
      <c r="B141" s="459" t="s">
        <v>539</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350</v>
      </c>
      <c r="B142" s="459" t="s">
        <v>539</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351</v>
      </c>
      <c r="B143" s="459" t="s">
        <v>539</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352</v>
      </c>
      <c r="B144" s="459" t="s">
        <v>539</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353</v>
      </c>
      <c r="B145" s="459" t="s">
        <v>539</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539</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659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75">
      <c r="A151" s="425" t="s">
        <v>655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648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347</v>
      </c>
      <c r="B153" s="507" t="s">
        <v>652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348</v>
      </c>
      <c r="B154" s="1" t="s">
        <v>652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349</v>
      </c>
      <c r="B155" s="1" t="s">
        <v>652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350</v>
      </c>
      <c r="B156" s="1" t="s">
        <v>652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351</v>
      </c>
      <c r="B157" s="1" t="s">
        <v>652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352</v>
      </c>
      <c r="B158" s="1" t="s">
        <v>652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353</v>
      </c>
      <c r="B159" s="1" t="s">
        <v>652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75">
      <c r="A164" s="425" t="s">
        <v>656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648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347</v>
      </c>
      <c r="B166" s="459" t="s">
        <v>653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348</v>
      </c>
      <c r="B167" s="459" t="s">
        <v>653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349</v>
      </c>
      <c r="B168" s="459" t="s">
        <v>653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350</v>
      </c>
      <c r="B169" s="459" t="s">
        <v>653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351</v>
      </c>
      <c r="B170" s="459" t="s">
        <v>653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352</v>
      </c>
      <c r="B171" s="459" t="s">
        <v>653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353</v>
      </c>
      <c r="B172" s="458" t="s">
        <v>653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75">
      <c r="A176" s="425" t="s">
        <v>656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648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669</v>
      </c>
      <c r="B178" s="459" t="s">
        <v>653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75">
      <c r="A184" s="401" t="s">
        <v>665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648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347</v>
      </c>
      <c r="B186" s="459" t="s">
        <v>539</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348</v>
      </c>
      <c r="B187" s="459" t="s">
        <v>539</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349</v>
      </c>
      <c r="B188" s="459" t="s">
        <v>539</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350</v>
      </c>
      <c r="B189" s="459" t="s">
        <v>539</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351</v>
      </c>
      <c r="B190" s="459" t="s">
        <v>539</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352</v>
      </c>
      <c r="B191" s="459" t="s">
        <v>539</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353</v>
      </c>
      <c r="B192" s="459" t="s">
        <v>539</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539</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659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75">
      <c r="A198" s="425" t="s">
        <v>664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648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347</v>
      </c>
      <c r="B200" s="507" t="s">
        <v>652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348</v>
      </c>
      <c r="B201" s="1" t="s">
        <v>652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349</v>
      </c>
      <c r="B202" s="1" t="s">
        <v>652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350</v>
      </c>
      <c r="B203" s="1" t="s">
        <v>652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351</v>
      </c>
      <c r="B204" s="1" t="s">
        <v>652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352</v>
      </c>
      <c r="B205" s="1" t="s">
        <v>652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353</v>
      </c>
      <c r="B206" s="1" t="s">
        <v>652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75">
      <c r="A211" s="425" t="s">
        <v>663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648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347</v>
      </c>
      <c r="B213" s="459" t="s">
        <v>653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348</v>
      </c>
      <c r="B214" s="459" t="s">
        <v>653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349</v>
      </c>
      <c r="B215" s="459" t="s">
        <v>653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350</v>
      </c>
      <c r="B216" s="459" t="s">
        <v>653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351</v>
      </c>
      <c r="B217" s="459" t="s">
        <v>653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352</v>
      </c>
      <c r="B218" s="459" t="s">
        <v>653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353</v>
      </c>
      <c r="B219" s="458" t="s">
        <v>653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75">
      <c r="A224" s="425" t="s">
        <v>663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648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669</v>
      </c>
      <c r="B226" s="459" t="s">
        <v>653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658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75">
      <c r="A233" s="401" t="s">
        <v>662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648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347</v>
      </c>
      <c r="B235" s="459" t="s">
        <v>539</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348</v>
      </c>
      <c r="B236" s="459" t="s">
        <v>539</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349</v>
      </c>
      <c r="B237" s="459" t="s">
        <v>539</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350</v>
      </c>
      <c r="B238" s="459" t="s">
        <v>539</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351</v>
      </c>
      <c r="B239" s="459" t="s">
        <v>539</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352</v>
      </c>
      <c r="B240" s="459" t="s">
        <v>539</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353</v>
      </c>
      <c r="B241" s="459" t="s">
        <v>539</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539</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659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75">
      <c r="A247" s="425" t="s">
        <v>660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648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347</v>
      </c>
      <c r="B249" s="507" t="s">
        <v>652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348</v>
      </c>
      <c r="B250" s="1" t="s">
        <v>652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349</v>
      </c>
      <c r="B251" s="1" t="s">
        <v>652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350</v>
      </c>
      <c r="B252" s="1" t="s">
        <v>652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351</v>
      </c>
      <c r="B253" s="1" t="s">
        <v>652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352</v>
      </c>
      <c r="B254" s="1" t="s">
        <v>652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353</v>
      </c>
      <c r="B255" s="1" t="s">
        <v>652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75">
      <c r="A260" s="425" t="s">
        <v>661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648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347</v>
      </c>
      <c r="B262" s="459" t="s">
        <v>653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348</v>
      </c>
      <c r="B263" s="459" t="s">
        <v>653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349</v>
      </c>
      <c r="B264" s="459" t="s">
        <v>653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350</v>
      </c>
      <c r="B265" s="459" t="s">
        <v>653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351</v>
      </c>
      <c r="B266" s="459" t="s">
        <v>653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352</v>
      </c>
      <c r="B267" s="459" t="s">
        <v>653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353</v>
      </c>
      <c r="B268" s="458" t="s">
        <v>653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75">
      <c r="A273" s="425" t="s">
        <v>661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648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669</v>
      </c>
      <c r="B275" s="459" t="s">
        <v>653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75">
      <c r="A281" s="401" t="s">
        <v>668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648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347</v>
      </c>
      <c r="B283" s="459" t="s">
        <v>539</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348</v>
      </c>
      <c r="B284" s="459" t="s">
        <v>539</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349</v>
      </c>
      <c r="B285" s="459" t="s">
        <v>539</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350</v>
      </c>
      <c r="B286" s="459" t="s">
        <v>539</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351</v>
      </c>
      <c r="B287" s="459" t="s">
        <v>539</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352</v>
      </c>
      <c r="B288" s="459" t="s">
        <v>539</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353</v>
      </c>
      <c r="B289" s="459" t="s">
        <v>539</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539</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659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75">
      <c r="A295" s="401" t="s">
        <v>667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648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347</v>
      </c>
      <c r="B297" s="507" t="s">
        <v>652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348</v>
      </c>
      <c r="B298" s="1" t="s">
        <v>652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349</v>
      </c>
      <c r="B299" s="1" t="s">
        <v>652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350</v>
      </c>
      <c r="B300" s="1" t="s">
        <v>652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351</v>
      </c>
      <c r="B301" s="1" t="s">
        <v>652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352</v>
      </c>
      <c r="B302" s="1" t="s">
        <v>652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353</v>
      </c>
      <c r="B303" s="1" t="s">
        <v>652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75">
      <c r="A308" s="425" t="s">
        <v>666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648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347</v>
      </c>
      <c r="B310" s="459" t="s">
        <v>653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348</v>
      </c>
      <c r="B311" s="459" t="s">
        <v>653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349</v>
      </c>
      <c r="B312" s="459" t="s">
        <v>653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350</v>
      </c>
      <c r="B313" s="459" t="s">
        <v>653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351</v>
      </c>
      <c r="B314" s="459" t="s">
        <v>653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352</v>
      </c>
      <c r="B315" s="459" t="s">
        <v>653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353</v>
      </c>
      <c r="B316" s="458" t="s">
        <v>653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75">
      <c r="A321" s="425" t="s">
        <v>666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648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669</v>
      </c>
      <c r="B323" s="459" t="s">
        <v>653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75">
      <c r="A329" s="401" t="s">
        <v>670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648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347</v>
      </c>
      <c r="B331" s="459" t="s">
        <v>539</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348</v>
      </c>
      <c r="B332" s="459" t="s">
        <v>539</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349</v>
      </c>
      <c r="B333" s="459" t="s">
        <v>539</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350</v>
      </c>
      <c r="B334" s="459" t="s">
        <v>539</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351</v>
      </c>
      <c r="B335" s="459" t="s">
        <v>539</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352</v>
      </c>
      <c r="B336" s="459" t="s">
        <v>539</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353</v>
      </c>
      <c r="B337" s="459" t="s">
        <v>539</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539</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659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75">
      <c r="A343" s="401" t="s">
        <v>671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648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347</v>
      </c>
      <c r="B345" s="507" t="s">
        <v>652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348</v>
      </c>
      <c r="B346" s="1" t="s">
        <v>652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349</v>
      </c>
      <c r="B347" s="1" t="s">
        <v>652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350</v>
      </c>
      <c r="B348" s="1" t="s">
        <v>652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351</v>
      </c>
      <c r="B349" s="1" t="s">
        <v>652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352</v>
      </c>
      <c r="B350" s="1" t="s">
        <v>652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353</v>
      </c>
      <c r="B351" s="1" t="s">
        <v>652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75">
      <c r="A356" s="425" t="s">
        <v>672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648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347</v>
      </c>
      <c r="B358" s="459" t="s">
        <v>653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348</v>
      </c>
      <c r="B359" s="459" t="s">
        <v>653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349</v>
      </c>
      <c r="B360" s="459" t="s">
        <v>653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350</v>
      </c>
      <c r="B361" s="459" t="s">
        <v>653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351</v>
      </c>
      <c r="B362" s="459" t="s">
        <v>653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352</v>
      </c>
      <c r="B363" s="459" t="s">
        <v>653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353</v>
      </c>
      <c r="B364" s="458" t="s">
        <v>653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75">
      <c r="A369" s="425" t="s">
        <v>672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648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669</v>
      </c>
      <c r="B371" s="459" t="s">
        <v>653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75">
      <c r="A377" s="401" t="s">
        <v>676</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648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347</v>
      </c>
      <c r="B379" s="459" t="s">
        <v>539</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348</v>
      </c>
      <c r="B380" s="459" t="s">
        <v>539</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349</v>
      </c>
      <c r="B381" s="459" t="s">
        <v>539</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350</v>
      </c>
      <c r="B382" s="459" t="s">
        <v>539</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351</v>
      </c>
      <c r="B383" s="459" t="s">
        <v>539</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352</v>
      </c>
      <c r="B384" s="459" t="s">
        <v>539</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353</v>
      </c>
      <c r="B385" s="459" t="s">
        <v>539</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539</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659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75">
      <c r="A391" s="401" t="s">
        <v>677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648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347</v>
      </c>
      <c r="B393" s="507" t="s">
        <v>652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348</v>
      </c>
      <c r="B394" s="1" t="s">
        <v>652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349</v>
      </c>
      <c r="B395" s="1" t="s">
        <v>652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350</v>
      </c>
      <c r="B396" s="1" t="s">
        <v>652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351</v>
      </c>
      <c r="B397" s="1" t="s">
        <v>652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352</v>
      </c>
      <c r="B398" s="1" t="s">
        <v>652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353</v>
      </c>
      <c r="B399" s="1" t="s">
        <v>652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75">
      <c r="A404" s="425" t="s">
        <v>678</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648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347</v>
      </c>
      <c r="B406" s="459" t="s">
        <v>653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348</v>
      </c>
      <c r="B407" s="459" t="s">
        <v>653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349</v>
      </c>
      <c r="B408" s="459" t="s">
        <v>653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350</v>
      </c>
      <c r="B409" s="459" t="s">
        <v>653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351</v>
      </c>
      <c r="B410" s="459" t="s">
        <v>653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352</v>
      </c>
      <c r="B411" s="459" t="s">
        <v>653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353</v>
      </c>
      <c r="B412" s="458" t="s">
        <v>653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75">
      <c r="A417" s="425" t="s">
        <v>678</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648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669</v>
      </c>
      <c r="B419" s="459" t="s">
        <v>653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75">
      <c r="A425" s="401" t="s">
        <v>679</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648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347</v>
      </c>
      <c r="B427" s="459" t="s">
        <v>539</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348</v>
      </c>
      <c r="B428" s="459" t="s">
        <v>539</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349</v>
      </c>
      <c r="B429" s="459" t="s">
        <v>539</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350</v>
      </c>
      <c r="B430" s="459" t="s">
        <v>539</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351</v>
      </c>
      <c r="B431" s="459" t="s">
        <v>539</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352</v>
      </c>
      <c r="B432" s="459" t="s">
        <v>539</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353</v>
      </c>
      <c r="B433" s="459" t="s">
        <v>539</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539</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659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75">
      <c r="A439" s="401" t="s">
        <v>680</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648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347</v>
      </c>
      <c r="B441" s="507" t="s">
        <v>652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348</v>
      </c>
      <c r="B442" s="1" t="s">
        <v>652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349</v>
      </c>
      <c r="B443" s="1" t="s">
        <v>652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350</v>
      </c>
      <c r="B444" s="1" t="s">
        <v>652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351</v>
      </c>
      <c r="B445" s="1" t="s">
        <v>652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352</v>
      </c>
      <c r="B446" s="1" t="s">
        <v>652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353</v>
      </c>
      <c r="B447" s="1" t="s">
        <v>652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75">
      <c r="A452" s="425" t="s">
        <v>681</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648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347</v>
      </c>
      <c r="B454" s="459" t="s">
        <v>653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348</v>
      </c>
      <c r="B455" s="459" t="s">
        <v>653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349</v>
      </c>
      <c r="B456" s="459" t="s">
        <v>653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350</v>
      </c>
      <c r="B457" s="459" t="s">
        <v>653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351</v>
      </c>
      <c r="B458" s="459" t="s">
        <v>653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352</v>
      </c>
      <c r="B459" s="459" t="s">
        <v>653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353</v>
      </c>
      <c r="B460" s="458" t="s">
        <v>653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75">
      <c r="A465" s="425" t="s">
        <v>681</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648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669</v>
      </c>
      <c r="B467" s="459" t="s">
        <v>653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75">
      <c r="A473" s="401" t="s">
        <v>682</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685</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692</v>
      </c>
      <c r="B475" s="459" t="s">
        <v>539</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694</v>
      </c>
      <c r="B476" s="459" t="s">
        <v>539</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695</v>
      </c>
      <c r="B477" s="459" t="s">
        <v>539</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696</v>
      </c>
      <c r="B478" s="459" t="s">
        <v>539</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697</v>
      </c>
      <c r="B479" s="459" t="s">
        <v>539</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698</v>
      </c>
      <c r="B480" s="459" t="s">
        <v>539</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699</v>
      </c>
      <c r="B481" s="459" t="s">
        <v>539</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539</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659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75">
      <c r="A487" s="401" t="s">
        <v>683</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685</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692</v>
      </c>
      <c r="B489" s="507" t="s">
        <v>652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686</v>
      </c>
      <c r="B490" s="1" t="s">
        <v>652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687</v>
      </c>
      <c r="B491" s="1" t="s">
        <v>652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688</v>
      </c>
      <c r="B492" s="1" t="s">
        <v>652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689</v>
      </c>
      <c r="B493" s="1" t="s">
        <v>652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690</v>
      </c>
      <c r="B494" s="1" t="s">
        <v>652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693</v>
      </c>
      <c r="B495" s="1" t="s">
        <v>652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75">
      <c r="A500" s="425" t="s">
        <v>684</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685</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692</v>
      </c>
      <c r="B502" s="459" t="s">
        <v>653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686</v>
      </c>
      <c r="B503" s="459" t="s">
        <v>653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687</v>
      </c>
      <c r="B504" s="459" t="s">
        <v>653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688</v>
      </c>
      <c r="B505" s="459" t="s">
        <v>653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689</v>
      </c>
      <c r="B506" s="459" t="s">
        <v>653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690</v>
      </c>
      <c r="B507" s="1" t="s">
        <v>653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693</v>
      </c>
      <c r="B508" s="458" t="s">
        <v>653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75">
      <c r="A513" s="425" t="s">
        <v>684</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685</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691</v>
      </c>
      <c r="B515" s="459" t="s">
        <v>653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75">
      <c r="A521" s="425" t="s">
        <v>700</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648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347</v>
      </c>
      <c r="B523" s="459" t="s">
        <v>539</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348</v>
      </c>
      <c r="B524" s="459" t="s">
        <v>539</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349</v>
      </c>
      <c r="B525" s="459" t="s">
        <v>539</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350</v>
      </c>
      <c r="B526" s="459" t="s">
        <v>539</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351</v>
      </c>
      <c r="B527" s="459" t="s">
        <v>539</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352</v>
      </c>
      <c r="B528" s="459" t="s">
        <v>539</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353</v>
      </c>
      <c r="B529" s="459" t="s">
        <v>539</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539</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659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75">
      <c r="A535" s="425" t="s">
        <v>701</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648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347</v>
      </c>
      <c r="B537" s="507" t="s">
        <v>652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348</v>
      </c>
      <c r="B538" s="1" t="s">
        <v>652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349</v>
      </c>
      <c r="B539" s="1" t="s">
        <v>652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350</v>
      </c>
      <c r="B540" s="1" t="s">
        <v>652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351</v>
      </c>
      <c r="B541" s="1" t="s">
        <v>652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352</v>
      </c>
      <c r="B542" s="1" t="s">
        <v>652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353</v>
      </c>
      <c r="B543" s="1" t="s">
        <v>652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75">
      <c r="A548" s="425" t="s">
        <v>702</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648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347</v>
      </c>
      <c r="B550" s="459" t="s">
        <v>653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348</v>
      </c>
      <c r="B551" s="459" t="s">
        <v>653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349</v>
      </c>
      <c r="B552" s="459" t="s">
        <v>653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350</v>
      </c>
      <c r="B553" s="459" t="s">
        <v>653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351</v>
      </c>
      <c r="B554" s="459" t="s">
        <v>653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352</v>
      </c>
      <c r="B555" s="459" t="s">
        <v>653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353</v>
      </c>
      <c r="B556" s="458" t="s">
        <v>653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75">
      <c r="A561" s="425" t="s">
        <v>702</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648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669</v>
      </c>
      <c r="B563" s="459" t="s">
        <v>653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75">
      <c r="A569" s="425" t="s">
        <v>703</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648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347</v>
      </c>
      <c r="B571" s="459" t="s">
        <v>539</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348</v>
      </c>
      <c r="B572" s="459" t="s">
        <v>539</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349</v>
      </c>
      <c r="B573" s="459" t="s">
        <v>539</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350</v>
      </c>
      <c r="B574" s="459" t="s">
        <v>539</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351</v>
      </c>
      <c r="B575" s="459" t="s">
        <v>539</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352</v>
      </c>
      <c r="B576" s="459" t="s">
        <v>539</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353</v>
      </c>
      <c r="B577" s="459" t="s">
        <v>539</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539</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659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75">
      <c r="A583" s="425" t="s">
        <v>704</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648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347</v>
      </c>
      <c r="B585" s="507" t="s">
        <v>652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348</v>
      </c>
      <c r="B586" s="1" t="s">
        <v>652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349</v>
      </c>
      <c r="B587" s="1" t="s">
        <v>652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350</v>
      </c>
      <c r="B588" s="1" t="s">
        <v>652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351</v>
      </c>
      <c r="B589" s="1" t="s">
        <v>652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352</v>
      </c>
      <c r="B590" s="1" t="s">
        <v>652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353</v>
      </c>
      <c r="B591" s="1" t="s">
        <v>652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75">
      <c r="A596" s="425" t="s">
        <v>705</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648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347</v>
      </c>
      <c r="B598" s="459" t="s">
        <v>653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348</v>
      </c>
      <c r="B599" s="459" t="s">
        <v>653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349</v>
      </c>
      <c r="B600" s="459" t="s">
        <v>653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350</v>
      </c>
      <c r="B601" s="459" t="s">
        <v>653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351</v>
      </c>
      <c r="B602" s="459" t="s">
        <v>653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352</v>
      </c>
      <c r="B603" s="459" t="s">
        <v>653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353</v>
      </c>
      <c r="B604" s="458" t="s">
        <v>653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75">
      <c r="A609" s="425" t="s">
        <v>705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648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669</v>
      </c>
      <c r="B611" s="459" t="s">
        <v>653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75">
      <c r="A617" s="401" t="s">
        <v>706</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648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347</v>
      </c>
      <c r="B619" s="459" t="s">
        <v>539</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348</v>
      </c>
      <c r="B620" s="459" t="s">
        <v>539</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349</v>
      </c>
      <c r="B621" s="459" t="s">
        <v>539</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350</v>
      </c>
      <c r="B622" s="459" t="s">
        <v>539</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351</v>
      </c>
      <c r="B623" s="459" t="s">
        <v>539</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352</v>
      </c>
      <c r="B624" s="459" t="s">
        <v>539</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353</v>
      </c>
      <c r="B625" s="459" t="s">
        <v>539</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539</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659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75">
      <c r="A631" s="401" t="s">
        <v>707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648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347</v>
      </c>
      <c r="B633" s="507" t="s">
        <v>652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348</v>
      </c>
      <c r="B634" s="1" t="s">
        <v>652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349</v>
      </c>
      <c r="B635" s="1" t="s">
        <v>652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350</v>
      </c>
      <c r="B636" s="1" t="s">
        <v>652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351</v>
      </c>
      <c r="B637" s="1" t="s">
        <v>652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352</v>
      </c>
      <c r="B638" s="1" t="s">
        <v>652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353</v>
      </c>
      <c r="B639" s="1" t="s">
        <v>652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75">
      <c r="A644" s="425" t="s">
        <v>708</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648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347</v>
      </c>
      <c r="B646" s="459" t="s">
        <v>653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348</v>
      </c>
      <c r="B647" s="459" t="s">
        <v>653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349</v>
      </c>
      <c r="B648" s="459" t="s">
        <v>653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350</v>
      </c>
      <c r="B649" s="459" t="s">
        <v>653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351</v>
      </c>
      <c r="B650" s="459" t="s">
        <v>653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352</v>
      </c>
      <c r="B651" s="459" t="s">
        <v>653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353</v>
      </c>
      <c r="B652" s="458" t="s">
        <v>653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75">
      <c r="A657" s="425" t="s">
        <v>708</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648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669</v>
      </c>
      <c r="B659" s="459" t="s">
        <v>653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869</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868</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356</v>
      </c>
      <c r="C690" s="459"/>
      <c r="D690" s="459"/>
      <c r="F690" s="459"/>
      <c r="G690" s="459"/>
      <c r="H690" s="459"/>
      <c r="I690" s="459"/>
      <c r="J690" s="459"/>
      <c r="K690" s="459"/>
      <c r="L690" s="459"/>
      <c r="M690" s="459"/>
      <c r="N690" s="459"/>
    </row>
    <row r="691" spans="1:14">
      <c r="A691" s="389" t="s">
        <v>357</v>
      </c>
      <c r="B691" s="134"/>
      <c r="C691" s="134"/>
      <c r="D691" s="134"/>
      <c r="F691" s="134"/>
      <c r="G691" s="134"/>
      <c r="H691" s="134"/>
      <c r="I691" s="134"/>
    </row>
    <row r="694" spans="1:14">
      <c r="A694" s="16"/>
      <c r="B694" s="16" t="s">
        <v>499</v>
      </c>
      <c r="C694" s="16">
        <v>2014</v>
      </c>
      <c r="D694" s="16">
        <v>2015</v>
      </c>
      <c r="E694" s="16">
        <v>2016</v>
      </c>
      <c r="F694" s="16">
        <v>2017</v>
      </c>
      <c r="G694" s="16">
        <v>2018</v>
      </c>
    </row>
    <row r="695" spans="1:14">
      <c r="A695" s="21" t="s">
        <v>874</v>
      </c>
      <c r="B695" s="459" t="s">
        <v>870</v>
      </c>
      <c r="C695" s="134">
        <f>C673+C675</f>
        <v>56600</v>
      </c>
      <c r="D695" s="134">
        <f t="shared" ref="D695:G695" si="555">D673+D675</f>
        <v>56600</v>
      </c>
      <c r="E695" s="134">
        <f t="shared" si="555"/>
        <v>61347</v>
      </c>
      <c r="F695" s="134">
        <f t="shared" si="555"/>
        <v>62056</v>
      </c>
      <c r="G695" s="134">
        <f t="shared" si="555"/>
        <v>63253</v>
      </c>
    </row>
    <row r="696" spans="1:14">
      <c r="A696" s="21" t="s">
        <v>873</v>
      </c>
      <c r="B696" s="459" t="s">
        <v>870</v>
      </c>
      <c r="C696" s="134">
        <f>C672+C674</f>
        <v>430200</v>
      </c>
      <c r="D696" s="134">
        <f t="shared" ref="D696:G696" si="556">D672+D674</f>
        <v>430200</v>
      </c>
      <c r="E696" s="134">
        <f t="shared" si="556"/>
        <v>444700</v>
      </c>
      <c r="F696" s="134">
        <f t="shared" si="556"/>
        <v>453527</v>
      </c>
      <c r="G696" s="134">
        <f t="shared" si="556"/>
        <v>460505</v>
      </c>
    </row>
    <row r="697" spans="1:14">
      <c r="A697" s="21" t="s">
        <v>876</v>
      </c>
      <c r="B697" s="459" t="s">
        <v>875</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877</v>
      </c>
      <c r="B698" s="459" t="s">
        <v>875</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875</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871</v>
      </c>
      <c r="B700" s="459" t="s">
        <v>872</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878</v>
      </c>
      <c r="C701">
        <v>80</v>
      </c>
      <c r="D701" s="459">
        <v>80</v>
      </c>
      <c r="E701" s="459">
        <v>80</v>
      </c>
      <c r="F701" s="459">
        <v>80</v>
      </c>
      <c r="G701" s="459">
        <v>80</v>
      </c>
    </row>
    <row r="702" spans="1:14">
      <c r="A702" s="615" t="s">
        <v>879</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topLeftCell="A21" zoomScale="70" zoomScaleNormal="70" workbookViewId="0">
      <selection activeCell="O39" sqref="O39"/>
    </sheetView>
  </sheetViews>
  <sheetFormatPr defaultRowHeight="15"/>
  <cols>
    <col min="1" max="1" width="5.42578125" customWidth="1"/>
    <col min="2" max="2" width="22.42578125" bestFit="1" customWidth="1"/>
    <col min="3" max="3" width="22.42578125" style="459" customWidth="1"/>
    <col min="31" max="31" width="16.42578125" bestFit="1" customWidth="1"/>
  </cols>
  <sheetData>
    <row r="1" spans="2:65">
      <c r="AE1" s="448"/>
      <c r="AF1" s="724"/>
      <c r="AG1" s="724"/>
      <c r="AH1" s="724"/>
      <c r="AI1" s="724"/>
      <c r="AJ1" s="724"/>
      <c r="AK1" s="724"/>
      <c r="AL1" s="724"/>
      <c r="AM1" s="724"/>
      <c r="AN1" s="724"/>
      <c r="AO1" s="724"/>
      <c r="AP1" s="724"/>
      <c r="AQ1" s="724"/>
      <c r="AR1" s="724"/>
      <c r="AS1" s="724"/>
      <c r="AT1" s="724"/>
      <c r="AU1" s="724"/>
      <c r="AV1" s="724"/>
      <c r="AW1" s="724"/>
      <c r="AX1" s="724"/>
      <c r="AY1" s="724"/>
      <c r="AZ1" s="724"/>
      <c r="BA1" s="724"/>
      <c r="BB1" s="724"/>
      <c r="BC1" s="724"/>
      <c r="BD1" s="724"/>
      <c r="BE1" s="724"/>
      <c r="BF1" s="724"/>
      <c r="BG1" s="724"/>
      <c r="BH1" s="724"/>
      <c r="BI1" s="724"/>
      <c r="BJ1" s="724"/>
      <c r="BK1" s="724"/>
      <c r="BL1" s="724"/>
      <c r="BM1" s="724"/>
    </row>
    <row r="2" spans="2:65">
      <c r="C2" s="453" t="s">
        <v>918</v>
      </c>
      <c r="D2" s="448"/>
      <c r="E2" s="448"/>
      <c r="AE2" s="448"/>
      <c r="AF2" s="724"/>
      <c r="AG2" s="724"/>
      <c r="AH2" s="724"/>
      <c r="AI2" s="724"/>
      <c r="AJ2" s="724"/>
      <c r="AK2" s="724"/>
      <c r="AL2" s="724"/>
      <c r="AM2" s="724"/>
      <c r="AN2" s="724"/>
      <c r="AO2" s="724"/>
      <c r="AP2" s="724"/>
      <c r="AQ2" s="724"/>
      <c r="AR2" s="724"/>
      <c r="AS2" s="724"/>
      <c r="AT2" s="724"/>
      <c r="AU2" s="724"/>
      <c r="AV2" s="724"/>
      <c r="AW2" s="724"/>
      <c r="AX2" s="724"/>
      <c r="AY2" s="724"/>
      <c r="AZ2" s="724"/>
      <c r="BA2" s="724"/>
      <c r="BB2" s="724"/>
      <c r="BC2" s="724"/>
      <c r="BD2" s="724"/>
      <c r="BE2" s="724"/>
      <c r="BF2" s="724"/>
      <c r="BG2" s="724"/>
      <c r="BH2" s="724"/>
      <c r="BI2" s="724"/>
      <c r="BJ2" s="724"/>
      <c r="BK2" s="724"/>
      <c r="BL2" s="724"/>
      <c r="BM2" s="724"/>
    </row>
    <row r="3" spans="2:65" ht="15.7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c r="BM3" s="724"/>
    </row>
    <row r="4" spans="2:65" s="459" customFormat="1">
      <c r="B4" s="459" t="str">
        <f>Commodities!K8</f>
        <v>TWLK_WLK</v>
      </c>
      <c r="C4" s="459" t="s">
        <v>854</v>
      </c>
      <c r="D4" s="5">
        <v>3</v>
      </c>
      <c r="E4" s="5">
        <v>3</v>
      </c>
      <c r="F4" s="5">
        <v>3</v>
      </c>
      <c r="G4" s="5">
        <v>3</v>
      </c>
      <c r="H4" s="5">
        <v>3</v>
      </c>
      <c r="I4" s="5">
        <v>3</v>
      </c>
      <c r="J4" s="5">
        <v>3</v>
      </c>
      <c r="K4" s="5">
        <v>3</v>
      </c>
      <c r="L4" s="5">
        <v>3</v>
      </c>
      <c r="M4" s="5">
        <v>3</v>
      </c>
      <c r="N4" s="5">
        <v>3</v>
      </c>
      <c r="O4" s="5">
        <v>3</v>
      </c>
      <c r="P4" s="5">
        <v>3</v>
      </c>
      <c r="Q4" s="5">
        <v>3</v>
      </c>
      <c r="R4" s="5">
        <v>3</v>
      </c>
      <c r="S4" s="5">
        <v>3</v>
      </c>
      <c r="T4" s="5">
        <v>3</v>
      </c>
      <c r="U4" s="5">
        <v>3</v>
      </c>
      <c r="V4" s="5">
        <v>3</v>
      </c>
      <c r="W4" s="5">
        <v>3</v>
      </c>
      <c r="X4" s="5">
        <v>3</v>
      </c>
      <c r="Y4" s="5">
        <v>3</v>
      </c>
      <c r="Z4" s="5">
        <v>3</v>
      </c>
      <c r="AA4" s="5">
        <v>3</v>
      </c>
      <c r="AB4" s="5">
        <v>3</v>
      </c>
      <c r="AC4" s="5">
        <v>3</v>
      </c>
      <c r="AD4" s="5">
        <v>3</v>
      </c>
      <c r="AF4" s="724"/>
      <c r="AG4" s="724"/>
      <c r="AH4" s="724"/>
      <c r="AI4" s="724"/>
      <c r="AJ4" s="724"/>
      <c r="AK4" s="724"/>
      <c r="AL4" s="724"/>
      <c r="AM4" s="724"/>
      <c r="AN4" s="724"/>
      <c r="AO4" s="724"/>
      <c r="AP4" s="724"/>
      <c r="AQ4" s="724"/>
      <c r="AR4" s="724"/>
      <c r="AS4" s="724"/>
      <c r="AT4" s="724"/>
      <c r="AU4" s="724"/>
      <c r="AV4" s="724"/>
      <c r="AW4" s="724"/>
      <c r="AX4" s="724"/>
      <c r="AY4" s="724"/>
      <c r="AZ4" s="724"/>
      <c r="BA4" s="724"/>
      <c r="BB4" s="724"/>
      <c r="BC4" s="724"/>
      <c r="BD4" s="724"/>
      <c r="BE4" s="724"/>
      <c r="BF4" s="724"/>
      <c r="BG4" s="724"/>
      <c r="BH4" s="724"/>
      <c r="BI4" s="724"/>
      <c r="BJ4" s="724"/>
      <c r="BK4" s="724"/>
      <c r="BL4" s="724"/>
      <c r="BM4" s="724"/>
    </row>
    <row r="5" spans="2:65" s="459" customFormat="1">
      <c r="B5" s="459" t="str">
        <f>Commodities!K9</f>
        <v>TCYC_CYC</v>
      </c>
      <c r="C5" s="459" t="s">
        <v>854</v>
      </c>
      <c r="D5" s="729">
        <v>5</v>
      </c>
      <c r="E5" s="729">
        <v>5</v>
      </c>
      <c r="F5" s="729">
        <v>5</v>
      </c>
      <c r="G5" s="729">
        <v>5</v>
      </c>
      <c r="H5" s="729">
        <v>5</v>
      </c>
      <c r="I5" s="729">
        <v>5</v>
      </c>
      <c r="J5" s="729">
        <v>5</v>
      </c>
      <c r="K5" s="729">
        <v>5</v>
      </c>
      <c r="L5" s="729">
        <v>5</v>
      </c>
      <c r="M5" s="729">
        <v>5</v>
      </c>
      <c r="N5" s="729">
        <v>5</v>
      </c>
      <c r="O5" s="729">
        <v>5</v>
      </c>
      <c r="P5" s="729">
        <v>5</v>
      </c>
      <c r="Q5" s="729">
        <v>5</v>
      </c>
      <c r="R5" s="729">
        <v>5</v>
      </c>
      <c r="S5" s="729">
        <v>5</v>
      </c>
      <c r="T5" s="729">
        <v>5</v>
      </c>
      <c r="U5" s="729">
        <v>5</v>
      </c>
      <c r="V5" s="729">
        <v>5</v>
      </c>
      <c r="W5" s="729">
        <v>5</v>
      </c>
      <c r="X5" s="729">
        <v>5</v>
      </c>
      <c r="Y5" s="729">
        <v>5</v>
      </c>
      <c r="Z5" s="729">
        <v>5</v>
      </c>
      <c r="AA5" s="729">
        <v>5</v>
      </c>
      <c r="AB5" s="729">
        <v>5</v>
      </c>
      <c r="AC5" s="729">
        <v>5</v>
      </c>
      <c r="AD5" s="729">
        <v>5</v>
      </c>
      <c r="AF5" s="724"/>
      <c r="AG5" s="724"/>
      <c r="AH5" s="724"/>
      <c r="AI5" s="724"/>
      <c r="AJ5" s="724"/>
      <c r="AK5" s="724"/>
      <c r="AL5" s="724"/>
      <c r="AM5" s="724"/>
      <c r="AN5" s="724"/>
      <c r="AO5" s="724"/>
      <c r="AP5" s="724"/>
      <c r="AQ5" s="724"/>
      <c r="AR5" s="724"/>
      <c r="AS5" s="724"/>
      <c r="AT5" s="724"/>
      <c r="AU5" s="724"/>
      <c r="AV5" s="724"/>
      <c r="AW5" s="724"/>
      <c r="AX5" s="724"/>
      <c r="AY5" s="724"/>
      <c r="AZ5" s="724"/>
      <c r="BA5" s="724"/>
      <c r="BB5" s="724"/>
      <c r="BC5" s="724"/>
      <c r="BD5" s="724"/>
      <c r="BE5" s="724"/>
      <c r="BF5" s="724"/>
      <c r="BG5" s="724"/>
      <c r="BH5" s="724"/>
      <c r="BI5" s="724"/>
      <c r="BJ5" s="724"/>
      <c r="BK5" s="724"/>
      <c r="BL5" s="724"/>
      <c r="BM5" s="724"/>
    </row>
    <row r="6" spans="2:65">
      <c r="B6" s="448" t="str">
        <f>Commodities!K11</f>
        <v>TMOT_GSL_00</v>
      </c>
      <c r="C6" s="459" t="s">
        <v>854</v>
      </c>
      <c r="D6" s="729">
        <f>D69*2</f>
        <v>5.4619999999999997</v>
      </c>
      <c r="E6" s="729">
        <f t="shared" ref="E6:AD6" si="0">E69*2</f>
        <v>5.274</v>
      </c>
      <c r="F6" s="729">
        <f t="shared" si="0"/>
        <v>5.5960000000000001</v>
      </c>
      <c r="G6" s="729">
        <f t="shared" si="0"/>
        <v>5.4560000000000004</v>
      </c>
      <c r="H6" s="729">
        <f t="shared" si="0"/>
        <v>5.3040000000000003</v>
      </c>
      <c r="I6" s="729">
        <f t="shared" si="0"/>
        <v>5.42</v>
      </c>
      <c r="J6" s="729">
        <f t="shared" si="0"/>
        <v>5.3380000000000001</v>
      </c>
      <c r="K6" s="729">
        <f t="shared" si="0"/>
        <v>5.516</v>
      </c>
      <c r="L6" s="729">
        <f t="shared" si="0"/>
        <v>5.444</v>
      </c>
      <c r="M6" s="729">
        <f t="shared" si="0"/>
        <v>5.3120000000000003</v>
      </c>
      <c r="N6" s="729">
        <f t="shared" si="0"/>
        <v>5.4119999999999999</v>
      </c>
      <c r="O6" s="729">
        <f t="shared" si="0"/>
        <v>5.3140000000000001</v>
      </c>
      <c r="P6" s="729">
        <f t="shared" si="0"/>
        <v>5.44</v>
      </c>
      <c r="Q6" s="729">
        <f t="shared" si="0"/>
        <v>5.452</v>
      </c>
      <c r="R6" s="729">
        <f t="shared" si="0"/>
        <v>5.3760000000000003</v>
      </c>
      <c r="S6" s="729">
        <f t="shared" si="0"/>
        <v>5.36</v>
      </c>
      <c r="T6" s="729">
        <f t="shared" si="0"/>
        <v>5.4</v>
      </c>
      <c r="U6" s="729">
        <f t="shared" si="0"/>
        <v>5.3879999999999999</v>
      </c>
      <c r="V6" s="729">
        <f t="shared" si="0"/>
        <v>5.2960000000000003</v>
      </c>
      <c r="W6" s="729">
        <f t="shared" si="0"/>
        <v>5.4020000000000001</v>
      </c>
      <c r="X6" s="729">
        <f t="shared" si="0"/>
        <v>5.45</v>
      </c>
      <c r="Y6" s="729">
        <f t="shared" si="0"/>
        <v>5.4359999999999999</v>
      </c>
      <c r="Z6" s="729">
        <f t="shared" si="0"/>
        <v>5.4580000000000002</v>
      </c>
      <c r="AA6" s="729">
        <f t="shared" si="0"/>
        <v>5.2960000000000003</v>
      </c>
      <c r="AB6" s="729">
        <f t="shared" si="0"/>
        <v>5.4219999999999997</v>
      </c>
      <c r="AC6" s="729">
        <f t="shared" si="0"/>
        <v>5.5860000000000003</v>
      </c>
      <c r="AD6" s="729">
        <f t="shared" si="0"/>
        <v>5.5600000000000005</v>
      </c>
      <c r="AF6" s="724"/>
      <c r="AG6" s="724"/>
      <c r="AH6" s="724"/>
      <c r="AI6" s="724"/>
      <c r="AJ6" s="724"/>
      <c r="AK6" s="724"/>
      <c r="AL6" s="724"/>
      <c r="AM6" s="724"/>
      <c r="AN6" s="724"/>
      <c r="AO6" s="724"/>
      <c r="AP6" s="724"/>
      <c r="AQ6" s="724"/>
      <c r="AR6" s="724"/>
      <c r="AS6" s="724"/>
      <c r="AT6" s="724"/>
      <c r="AU6" s="724"/>
      <c r="AV6" s="724"/>
      <c r="AW6" s="724"/>
      <c r="AX6" s="724"/>
      <c r="AY6" s="724"/>
      <c r="AZ6" s="724"/>
      <c r="BA6" s="724"/>
      <c r="BB6" s="724"/>
      <c r="BC6" s="724"/>
      <c r="BD6" s="724"/>
      <c r="BE6" s="724"/>
      <c r="BF6" s="724"/>
      <c r="BG6" s="724"/>
      <c r="BH6" s="724"/>
      <c r="BI6" s="724"/>
      <c r="BJ6" s="724"/>
      <c r="BK6" s="724"/>
      <c r="BL6" s="724"/>
      <c r="BM6" s="724"/>
    </row>
    <row r="7" spans="2:65">
      <c r="B7" s="448" t="str">
        <f>Commodities!K13</f>
        <v>TCAR_ICE_GSL_00</v>
      </c>
      <c r="C7" s="459" t="s">
        <v>854</v>
      </c>
      <c r="D7" s="729">
        <f t="shared" ref="D7:D20" si="1">D70*2</f>
        <v>25.634</v>
      </c>
      <c r="E7" s="729">
        <f t="shared" ref="E7:AD7" si="2">E70*2</f>
        <v>27.076000000000001</v>
      </c>
      <c r="F7" s="729">
        <f t="shared" si="2"/>
        <v>22.042000000000002</v>
      </c>
      <c r="G7" s="729">
        <f t="shared" si="2"/>
        <v>27.058</v>
      </c>
      <c r="H7" s="729">
        <f t="shared" si="2"/>
        <v>27.527999999999999</v>
      </c>
      <c r="I7" s="729">
        <f t="shared" si="2"/>
        <v>28.166</v>
      </c>
      <c r="J7" s="729">
        <f t="shared" si="2"/>
        <v>28.044</v>
      </c>
      <c r="K7" s="729">
        <f t="shared" si="2"/>
        <v>26.366</v>
      </c>
      <c r="L7" s="729">
        <f t="shared" si="2"/>
        <v>27.882000000000001</v>
      </c>
      <c r="M7" s="729">
        <f t="shared" si="2"/>
        <v>28.26</v>
      </c>
      <c r="N7" s="729">
        <f t="shared" si="2"/>
        <v>27.812000000000001</v>
      </c>
      <c r="O7" s="729">
        <f t="shared" si="2"/>
        <v>27.878</v>
      </c>
      <c r="P7" s="729">
        <f t="shared" si="2"/>
        <v>26.821999999999999</v>
      </c>
      <c r="Q7" s="729">
        <f t="shared" si="2"/>
        <v>28.393999999999998</v>
      </c>
      <c r="R7" s="729">
        <f t="shared" si="2"/>
        <v>26.138000000000002</v>
      </c>
      <c r="S7" s="729">
        <f t="shared" si="2"/>
        <v>27.788</v>
      </c>
      <c r="T7" s="729">
        <f t="shared" si="2"/>
        <v>26.931999999999999</v>
      </c>
      <c r="U7" s="729">
        <f t="shared" si="2"/>
        <v>28.474</v>
      </c>
      <c r="V7" s="729">
        <f t="shared" si="2"/>
        <v>26.271999999999998</v>
      </c>
      <c r="W7" s="729">
        <f t="shared" si="2"/>
        <v>27.114000000000001</v>
      </c>
      <c r="X7" s="729">
        <f t="shared" si="2"/>
        <v>29.166</v>
      </c>
      <c r="Y7" s="729">
        <f t="shared" si="2"/>
        <v>27.974</v>
      </c>
      <c r="Z7" s="729">
        <f t="shared" si="2"/>
        <v>30.754000000000001</v>
      </c>
      <c r="AA7" s="729">
        <f t="shared" si="2"/>
        <v>26.85</v>
      </c>
      <c r="AB7" s="729">
        <f t="shared" si="2"/>
        <v>28.436</v>
      </c>
      <c r="AC7" s="729">
        <f t="shared" si="2"/>
        <v>27.754000000000001</v>
      </c>
      <c r="AD7" s="729">
        <f t="shared" si="2"/>
        <v>27.562000000000001</v>
      </c>
      <c r="AF7" s="724"/>
      <c r="AG7" s="724"/>
      <c r="AH7" s="724"/>
      <c r="AI7" s="724"/>
      <c r="AJ7" s="724"/>
      <c r="AK7" s="724"/>
      <c r="AL7" s="724"/>
      <c r="AM7" s="724"/>
      <c r="AN7" s="724"/>
      <c r="AO7" s="724"/>
      <c r="AP7" s="724"/>
      <c r="AQ7" s="724"/>
      <c r="AR7" s="724"/>
      <c r="AS7" s="724"/>
      <c r="AT7" s="724"/>
      <c r="AU7" s="724"/>
      <c r="AV7" s="724"/>
      <c r="AW7" s="724"/>
      <c r="AX7" s="724"/>
      <c r="AY7" s="724"/>
      <c r="AZ7" s="724"/>
      <c r="BA7" s="724"/>
      <c r="BB7" s="724"/>
      <c r="BC7" s="724"/>
      <c r="BD7" s="724"/>
      <c r="BE7" s="724"/>
      <c r="BF7" s="724"/>
      <c r="BG7" s="724"/>
      <c r="BH7" s="724"/>
      <c r="BI7" s="724"/>
      <c r="BJ7" s="724"/>
      <c r="BK7" s="724"/>
      <c r="BL7" s="724"/>
      <c r="BM7" s="724"/>
    </row>
    <row r="8" spans="2:65">
      <c r="B8" s="459" t="str">
        <f>Commodities!K14</f>
        <v>TCAR_ICE_DST_00</v>
      </c>
      <c r="C8" s="459" t="s">
        <v>854</v>
      </c>
      <c r="D8" s="729">
        <f t="shared" si="1"/>
        <v>41.234000000000002</v>
      </c>
      <c r="E8" s="729">
        <f t="shared" ref="E8:AD8" si="3">E71*2</f>
        <v>43.462000000000003</v>
      </c>
      <c r="F8" s="729">
        <f t="shared" si="3"/>
        <v>36.212000000000003</v>
      </c>
      <c r="G8" s="729">
        <f t="shared" si="3"/>
        <v>41.817999999999998</v>
      </c>
      <c r="H8" s="729">
        <f t="shared" si="3"/>
        <v>43.5</v>
      </c>
      <c r="I8" s="729">
        <f t="shared" si="3"/>
        <v>44.597999999999999</v>
      </c>
      <c r="J8" s="729">
        <f t="shared" si="3"/>
        <v>45.445999999999998</v>
      </c>
      <c r="K8" s="729">
        <f t="shared" si="3"/>
        <v>41.225999999999999</v>
      </c>
      <c r="L8" s="729">
        <f t="shared" si="3"/>
        <v>42.393999999999998</v>
      </c>
      <c r="M8" s="729">
        <f t="shared" si="3"/>
        <v>44.11</v>
      </c>
      <c r="N8" s="729">
        <f t="shared" si="3"/>
        <v>44.07</v>
      </c>
      <c r="O8" s="729">
        <f t="shared" si="3"/>
        <v>42.816000000000003</v>
      </c>
      <c r="P8" s="729">
        <f t="shared" si="3"/>
        <v>40.799999999999997</v>
      </c>
      <c r="Q8" s="729">
        <f t="shared" si="3"/>
        <v>44.042000000000002</v>
      </c>
      <c r="R8" s="729">
        <f t="shared" si="3"/>
        <v>40.14</v>
      </c>
      <c r="S8" s="729">
        <f t="shared" si="3"/>
        <v>41.972000000000001</v>
      </c>
      <c r="T8" s="729">
        <f t="shared" si="3"/>
        <v>42.747999999999998</v>
      </c>
      <c r="U8" s="729">
        <f t="shared" si="3"/>
        <v>44.537999999999997</v>
      </c>
      <c r="V8" s="729">
        <f t="shared" si="3"/>
        <v>41.55</v>
      </c>
      <c r="W8" s="729">
        <f t="shared" si="3"/>
        <v>42.776000000000003</v>
      </c>
      <c r="X8" s="729">
        <f t="shared" si="3"/>
        <v>44.56</v>
      </c>
      <c r="Y8" s="729">
        <f t="shared" si="3"/>
        <v>42.886000000000003</v>
      </c>
      <c r="Z8" s="729">
        <f t="shared" si="3"/>
        <v>46.634</v>
      </c>
      <c r="AA8" s="729">
        <f t="shared" si="3"/>
        <v>42.648000000000003</v>
      </c>
      <c r="AB8" s="729">
        <f t="shared" si="3"/>
        <v>43.774000000000001</v>
      </c>
      <c r="AC8" s="729">
        <f t="shared" si="3"/>
        <v>41.1</v>
      </c>
      <c r="AD8" s="729">
        <f t="shared" si="3"/>
        <v>43.167999999999999</v>
      </c>
      <c r="AF8" s="724"/>
      <c r="AG8" s="724"/>
      <c r="AH8" s="724"/>
      <c r="AI8" s="724"/>
      <c r="AJ8" s="724"/>
      <c r="AK8" s="724"/>
      <c r="AL8" s="724"/>
      <c r="AM8" s="724"/>
      <c r="AN8" s="724"/>
      <c r="AO8" s="724"/>
      <c r="AP8" s="724"/>
      <c r="AQ8" s="724"/>
      <c r="AR8" s="724"/>
      <c r="AS8" s="724"/>
      <c r="AT8" s="724"/>
      <c r="AU8" s="724"/>
      <c r="AV8" s="724"/>
      <c r="AW8" s="724"/>
      <c r="AX8" s="724"/>
      <c r="AY8" s="724"/>
      <c r="AZ8" s="724"/>
      <c r="BA8" s="724"/>
      <c r="BB8" s="724"/>
      <c r="BC8" s="724"/>
      <c r="BD8" s="724"/>
      <c r="BE8" s="724"/>
      <c r="BF8" s="724"/>
      <c r="BG8" s="724"/>
      <c r="BH8" s="724"/>
      <c r="BI8" s="724"/>
      <c r="BJ8" s="724"/>
      <c r="BK8" s="724"/>
      <c r="BL8" s="724"/>
      <c r="BM8" s="724"/>
    </row>
    <row r="9" spans="2:65">
      <c r="B9" s="459" t="str">
        <f>Commodities!K15</f>
        <v>TCAR_ICE_DF_00</v>
      </c>
      <c r="C9" s="459" t="s">
        <v>854</v>
      </c>
      <c r="D9" s="729">
        <f t="shared" si="1"/>
        <v>26.888000000000002</v>
      </c>
      <c r="E9" s="729">
        <f t="shared" ref="E9:AD9" si="4">E72*2</f>
        <v>28.181999999999999</v>
      </c>
      <c r="F9" s="729">
        <f t="shared" si="4"/>
        <v>25.693999999999999</v>
      </c>
      <c r="G9" s="729">
        <f t="shared" si="4"/>
        <v>27.826000000000001</v>
      </c>
      <c r="H9" s="729">
        <f t="shared" si="4"/>
        <v>28.716000000000001</v>
      </c>
      <c r="I9" s="729">
        <f t="shared" si="4"/>
        <v>29.172000000000001</v>
      </c>
      <c r="J9" s="729">
        <f t="shared" si="4"/>
        <v>28.007999999999999</v>
      </c>
      <c r="K9" s="729">
        <f t="shared" si="4"/>
        <v>26.827999999999999</v>
      </c>
      <c r="L9" s="729">
        <f t="shared" si="4"/>
        <v>28.206</v>
      </c>
      <c r="M9" s="729">
        <f t="shared" si="4"/>
        <v>29.006</v>
      </c>
      <c r="N9" s="729">
        <f t="shared" si="4"/>
        <v>28.018000000000001</v>
      </c>
      <c r="O9" s="729">
        <f t="shared" si="4"/>
        <v>28.263999999999999</v>
      </c>
      <c r="P9" s="729">
        <f t="shared" si="4"/>
        <v>27.83</v>
      </c>
      <c r="Q9" s="729">
        <f t="shared" si="4"/>
        <v>28.155999999999999</v>
      </c>
      <c r="R9" s="729">
        <f t="shared" si="4"/>
        <v>26.71</v>
      </c>
      <c r="S9" s="729">
        <f t="shared" si="4"/>
        <v>27.56</v>
      </c>
      <c r="T9" s="729">
        <f t="shared" si="4"/>
        <v>27.844000000000001</v>
      </c>
      <c r="U9" s="729">
        <f t="shared" si="4"/>
        <v>27.768000000000001</v>
      </c>
      <c r="V9" s="729">
        <f t="shared" si="4"/>
        <v>27.882000000000001</v>
      </c>
      <c r="W9" s="729">
        <f t="shared" si="4"/>
        <v>27.861999999999998</v>
      </c>
      <c r="X9" s="729">
        <f t="shared" si="4"/>
        <v>28.286000000000001</v>
      </c>
      <c r="Y9" s="729">
        <f t="shared" si="4"/>
        <v>28.382000000000001</v>
      </c>
      <c r="Z9" s="729">
        <f t="shared" si="4"/>
        <v>28.308</v>
      </c>
      <c r="AA9" s="729">
        <f t="shared" si="4"/>
        <v>27.704000000000001</v>
      </c>
      <c r="AB9" s="729">
        <f t="shared" si="4"/>
        <v>28.123999999999999</v>
      </c>
      <c r="AC9" s="729">
        <f t="shared" si="4"/>
        <v>28.608000000000001</v>
      </c>
      <c r="AD9" s="729">
        <f t="shared" si="4"/>
        <v>27.582000000000001</v>
      </c>
      <c r="AF9" s="724"/>
      <c r="AG9" s="724"/>
      <c r="AH9" s="724"/>
      <c r="AI9" s="724"/>
      <c r="AJ9" s="724"/>
      <c r="AK9" s="724"/>
      <c r="AL9" s="724"/>
      <c r="AM9" s="724"/>
      <c r="AN9" s="724"/>
      <c r="AO9" s="724"/>
      <c r="AP9" s="724"/>
      <c r="AQ9" s="724"/>
      <c r="AR9" s="724"/>
      <c r="AS9" s="724"/>
      <c r="AT9" s="724"/>
      <c r="AU9" s="724"/>
      <c r="AV9" s="724"/>
      <c r="AW9" s="724"/>
      <c r="AX9" s="724"/>
      <c r="AY9" s="724"/>
      <c r="AZ9" s="724"/>
      <c r="BA9" s="724"/>
      <c r="BB9" s="724"/>
      <c r="BC9" s="724"/>
      <c r="BD9" s="724"/>
      <c r="BE9" s="724"/>
      <c r="BF9" s="724"/>
      <c r="BG9" s="724"/>
      <c r="BH9" s="724"/>
      <c r="BI9" s="724"/>
      <c r="BJ9" s="724"/>
      <c r="BK9" s="724"/>
      <c r="BL9" s="724"/>
      <c r="BM9" s="724"/>
    </row>
    <row r="10" spans="2:65">
      <c r="B10" s="459" t="str">
        <f>Commodities!K16</f>
        <v>TCAR_ICE_E85_00</v>
      </c>
      <c r="C10" s="459" t="s">
        <v>854</v>
      </c>
      <c r="D10" s="729">
        <f t="shared" si="1"/>
        <v>26.888000000000002</v>
      </c>
      <c r="E10" s="729">
        <f t="shared" ref="E10:AD10" si="5">E73*2</f>
        <v>28.181999999999999</v>
      </c>
      <c r="F10" s="729">
        <f t="shared" si="5"/>
        <v>25.693999999999999</v>
      </c>
      <c r="G10" s="729">
        <f t="shared" si="5"/>
        <v>27.826000000000001</v>
      </c>
      <c r="H10" s="729">
        <f t="shared" si="5"/>
        <v>28.716000000000001</v>
      </c>
      <c r="I10" s="729">
        <f t="shared" si="5"/>
        <v>29.172000000000001</v>
      </c>
      <c r="J10" s="729">
        <f t="shared" si="5"/>
        <v>28.007999999999999</v>
      </c>
      <c r="K10" s="729">
        <f t="shared" si="5"/>
        <v>26.827999999999999</v>
      </c>
      <c r="L10" s="729">
        <f t="shared" si="5"/>
        <v>28.206</v>
      </c>
      <c r="M10" s="729">
        <f t="shared" si="5"/>
        <v>29.006</v>
      </c>
      <c r="N10" s="729">
        <f t="shared" si="5"/>
        <v>28.018000000000001</v>
      </c>
      <c r="O10" s="729">
        <f t="shared" si="5"/>
        <v>28.263999999999999</v>
      </c>
      <c r="P10" s="729">
        <f t="shared" si="5"/>
        <v>27.83</v>
      </c>
      <c r="Q10" s="729">
        <f t="shared" si="5"/>
        <v>28.155999999999999</v>
      </c>
      <c r="R10" s="729">
        <f t="shared" si="5"/>
        <v>26.71</v>
      </c>
      <c r="S10" s="729">
        <f t="shared" si="5"/>
        <v>27.56</v>
      </c>
      <c r="T10" s="729">
        <f t="shared" si="5"/>
        <v>27.844000000000001</v>
      </c>
      <c r="U10" s="729">
        <f t="shared" si="5"/>
        <v>27.768000000000001</v>
      </c>
      <c r="V10" s="729">
        <f t="shared" si="5"/>
        <v>27.882000000000001</v>
      </c>
      <c r="W10" s="729">
        <f t="shared" si="5"/>
        <v>27.861999999999998</v>
      </c>
      <c r="X10" s="729">
        <f t="shared" si="5"/>
        <v>28.286000000000001</v>
      </c>
      <c r="Y10" s="729">
        <f t="shared" si="5"/>
        <v>28.382000000000001</v>
      </c>
      <c r="Z10" s="729">
        <f t="shared" si="5"/>
        <v>28.308</v>
      </c>
      <c r="AA10" s="729">
        <f t="shared" si="5"/>
        <v>27.704000000000001</v>
      </c>
      <c r="AB10" s="729">
        <f t="shared" si="5"/>
        <v>28.123999999999999</v>
      </c>
      <c r="AC10" s="729">
        <f t="shared" si="5"/>
        <v>28.608000000000001</v>
      </c>
      <c r="AD10" s="729">
        <f t="shared" si="5"/>
        <v>27.582000000000001</v>
      </c>
      <c r="AF10" s="724"/>
      <c r="AG10" s="724"/>
      <c r="AH10" s="724"/>
      <c r="AI10" s="724"/>
      <c r="AJ10" s="724"/>
      <c r="AK10" s="724"/>
      <c r="AL10" s="724"/>
      <c r="AM10" s="724"/>
      <c r="AN10" s="724"/>
      <c r="AO10" s="724"/>
      <c r="AP10" s="724"/>
      <c r="AQ10" s="724"/>
      <c r="AR10" s="724"/>
      <c r="AS10" s="724"/>
      <c r="AT10" s="724"/>
      <c r="AU10" s="724"/>
      <c r="AV10" s="724"/>
      <c r="AW10" s="724"/>
      <c r="AX10" s="724"/>
      <c r="AY10" s="724"/>
      <c r="AZ10" s="724"/>
      <c r="BA10" s="724"/>
      <c r="BB10" s="724"/>
      <c r="BC10" s="724"/>
      <c r="BD10" s="724"/>
      <c r="BE10" s="724"/>
      <c r="BF10" s="724"/>
      <c r="BG10" s="724"/>
      <c r="BH10" s="724"/>
      <c r="BI10" s="724"/>
      <c r="BJ10" s="724"/>
      <c r="BK10" s="724"/>
      <c r="BL10" s="724"/>
      <c r="BM10" s="724"/>
    </row>
    <row r="11" spans="2:65">
      <c r="B11" s="459" t="str">
        <f>Commodities!K17</f>
        <v>TCAR_HEV_GSL_00</v>
      </c>
      <c r="C11" s="459" t="s">
        <v>854</v>
      </c>
      <c r="D11" s="729">
        <f t="shared" si="1"/>
        <v>25.634</v>
      </c>
      <c r="E11" s="729">
        <f t="shared" ref="E11:AD11" si="6">E74*2</f>
        <v>27.076000000000001</v>
      </c>
      <c r="F11" s="729">
        <f t="shared" si="6"/>
        <v>22.042000000000002</v>
      </c>
      <c r="G11" s="729">
        <f t="shared" si="6"/>
        <v>27.058</v>
      </c>
      <c r="H11" s="729">
        <f t="shared" si="6"/>
        <v>27.527999999999999</v>
      </c>
      <c r="I11" s="729">
        <f t="shared" si="6"/>
        <v>28.166</v>
      </c>
      <c r="J11" s="729">
        <f t="shared" si="6"/>
        <v>28.044</v>
      </c>
      <c r="K11" s="729">
        <f t="shared" si="6"/>
        <v>26.366</v>
      </c>
      <c r="L11" s="729">
        <f t="shared" si="6"/>
        <v>27.882000000000001</v>
      </c>
      <c r="M11" s="729">
        <f t="shared" si="6"/>
        <v>28.26</v>
      </c>
      <c r="N11" s="729">
        <f t="shared" si="6"/>
        <v>27.812000000000001</v>
      </c>
      <c r="O11" s="729">
        <f t="shared" si="6"/>
        <v>27.878</v>
      </c>
      <c r="P11" s="729">
        <f t="shared" si="6"/>
        <v>26.821999999999999</v>
      </c>
      <c r="Q11" s="729">
        <f t="shared" si="6"/>
        <v>28.393999999999998</v>
      </c>
      <c r="R11" s="729">
        <f t="shared" si="6"/>
        <v>26.138000000000002</v>
      </c>
      <c r="S11" s="729">
        <f t="shared" si="6"/>
        <v>27.788</v>
      </c>
      <c r="T11" s="729">
        <f t="shared" si="6"/>
        <v>26.931999999999999</v>
      </c>
      <c r="U11" s="729">
        <f t="shared" si="6"/>
        <v>28.474</v>
      </c>
      <c r="V11" s="729">
        <f t="shared" si="6"/>
        <v>26.271999999999998</v>
      </c>
      <c r="W11" s="729">
        <f t="shared" si="6"/>
        <v>27.114000000000001</v>
      </c>
      <c r="X11" s="729">
        <f t="shared" si="6"/>
        <v>29.166</v>
      </c>
      <c r="Y11" s="729">
        <f t="shared" si="6"/>
        <v>27.974</v>
      </c>
      <c r="Z11" s="729">
        <f t="shared" si="6"/>
        <v>30.754000000000001</v>
      </c>
      <c r="AA11" s="729">
        <f t="shared" si="6"/>
        <v>26.85</v>
      </c>
      <c r="AB11" s="729">
        <f t="shared" si="6"/>
        <v>28.436</v>
      </c>
      <c r="AC11" s="729">
        <f t="shared" si="6"/>
        <v>27.754000000000001</v>
      </c>
      <c r="AD11" s="729">
        <f t="shared" si="6"/>
        <v>27.562000000000001</v>
      </c>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row>
    <row r="12" spans="2:65" s="459" customFormat="1">
      <c r="B12" s="459" t="str">
        <f>Commodities!K18</f>
        <v>TCAR_HEV_DST_00</v>
      </c>
      <c r="C12" s="459" t="s">
        <v>854</v>
      </c>
      <c r="D12" s="729">
        <f t="shared" si="1"/>
        <v>41.234000000000002</v>
      </c>
      <c r="E12" s="729">
        <f t="shared" ref="E12:AD12" si="7">E75*2</f>
        <v>43.462000000000003</v>
      </c>
      <c r="F12" s="729">
        <f t="shared" si="7"/>
        <v>36.212000000000003</v>
      </c>
      <c r="G12" s="729">
        <f t="shared" si="7"/>
        <v>41.817999999999998</v>
      </c>
      <c r="H12" s="729">
        <f t="shared" si="7"/>
        <v>43.5</v>
      </c>
      <c r="I12" s="729">
        <f t="shared" si="7"/>
        <v>44.597999999999999</v>
      </c>
      <c r="J12" s="729">
        <f t="shared" si="7"/>
        <v>45.445999999999998</v>
      </c>
      <c r="K12" s="729">
        <f t="shared" si="7"/>
        <v>41.225999999999999</v>
      </c>
      <c r="L12" s="729">
        <f t="shared" si="7"/>
        <v>42.393999999999998</v>
      </c>
      <c r="M12" s="729">
        <f t="shared" si="7"/>
        <v>44.11</v>
      </c>
      <c r="N12" s="729">
        <f t="shared" si="7"/>
        <v>44.07</v>
      </c>
      <c r="O12" s="729">
        <f t="shared" si="7"/>
        <v>42.816000000000003</v>
      </c>
      <c r="P12" s="729">
        <f t="shared" si="7"/>
        <v>40.799999999999997</v>
      </c>
      <c r="Q12" s="729">
        <f t="shared" si="7"/>
        <v>44.042000000000002</v>
      </c>
      <c r="R12" s="729">
        <f t="shared" si="7"/>
        <v>40.14</v>
      </c>
      <c r="S12" s="729">
        <f t="shared" si="7"/>
        <v>41.972000000000001</v>
      </c>
      <c r="T12" s="729">
        <f t="shared" si="7"/>
        <v>42.747999999999998</v>
      </c>
      <c r="U12" s="729">
        <f t="shared" si="7"/>
        <v>44.537999999999997</v>
      </c>
      <c r="V12" s="729">
        <f t="shared" si="7"/>
        <v>41.55</v>
      </c>
      <c r="W12" s="729">
        <f t="shared" si="7"/>
        <v>42.776000000000003</v>
      </c>
      <c r="X12" s="729">
        <f t="shared" si="7"/>
        <v>44.56</v>
      </c>
      <c r="Y12" s="729">
        <f t="shared" si="7"/>
        <v>42.886000000000003</v>
      </c>
      <c r="Z12" s="729">
        <f t="shared" si="7"/>
        <v>46.634</v>
      </c>
      <c r="AA12" s="729">
        <f t="shared" si="7"/>
        <v>42.648000000000003</v>
      </c>
      <c r="AB12" s="729">
        <f t="shared" si="7"/>
        <v>43.774000000000001</v>
      </c>
      <c r="AC12" s="729">
        <f t="shared" si="7"/>
        <v>41.1</v>
      </c>
      <c r="AD12" s="729">
        <f t="shared" si="7"/>
        <v>43.167999999999999</v>
      </c>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row>
    <row r="13" spans="2:65">
      <c r="B13" s="459" t="str">
        <f>Commodities!K19</f>
        <v>TCAR_PHEV_GSL_00</v>
      </c>
      <c r="C13" s="459" t="s">
        <v>854</v>
      </c>
      <c r="D13" s="729">
        <f t="shared" si="1"/>
        <v>25.634</v>
      </c>
      <c r="E13" s="729">
        <f t="shared" ref="E13:AD13" si="8">E76*2</f>
        <v>27.076000000000001</v>
      </c>
      <c r="F13" s="729">
        <f t="shared" si="8"/>
        <v>22.042000000000002</v>
      </c>
      <c r="G13" s="729">
        <f t="shared" si="8"/>
        <v>27.058</v>
      </c>
      <c r="H13" s="729">
        <f t="shared" si="8"/>
        <v>27.527999999999999</v>
      </c>
      <c r="I13" s="729">
        <f t="shared" si="8"/>
        <v>28.166</v>
      </c>
      <c r="J13" s="729">
        <f t="shared" si="8"/>
        <v>28.044</v>
      </c>
      <c r="K13" s="729">
        <f t="shared" si="8"/>
        <v>26.366</v>
      </c>
      <c r="L13" s="729">
        <f t="shared" si="8"/>
        <v>27.882000000000001</v>
      </c>
      <c r="M13" s="729">
        <f t="shared" si="8"/>
        <v>28.26</v>
      </c>
      <c r="N13" s="729">
        <f t="shared" si="8"/>
        <v>27.812000000000001</v>
      </c>
      <c r="O13" s="729">
        <f t="shared" si="8"/>
        <v>27.878</v>
      </c>
      <c r="P13" s="729">
        <f t="shared" si="8"/>
        <v>26.821999999999999</v>
      </c>
      <c r="Q13" s="729">
        <f t="shared" si="8"/>
        <v>28.393999999999998</v>
      </c>
      <c r="R13" s="729">
        <f t="shared" si="8"/>
        <v>26.138000000000002</v>
      </c>
      <c r="S13" s="729">
        <f t="shared" si="8"/>
        <v>27.788</v>
      </c>
      <c r="T13" s="729">
        <f t="shared" si="8"/>
        <v>26.931999999999999</v>
      </c>
      <c r="U13" s="729">
        <f t="shared" si="8"/>
        <v>28.474</v>
      </c>
      <c r="V13" s="729">
        <f t="shared" si="8"/>
        <v>26.271999999999998</v>
      </c>
      <c r="W13" s="729">
        <f t="shared" si="8"/>
        <v>27.114000000000001</v>
      </c>
      <c r="X13" s="729">
        <f t="shared" si="8"/>
        <v>29.166</v>
      </c>
      <c r="Y13" s="729">
        <f t="shared" si="8"/>
        <v>27.974</v>
      </c>
      <c r="Z13" s="729">
        <f t="shared" si="8"/>
        <v>30.754000000000001</v>
      </c>
      <c r="AA13" s="729">
        <f t="shared" si="8"/>
        <v>26.85</v>
      </c>
      <c r="AB13" s="729">
        <f t="shared" si="8"/>
        <v>28.436</v>
      </c>
      <c r="AC13" s="729">
        <f t="shared" si="8"/>
        <v>27.754000000000001</v>
      </c>
      <c r="AD13" s="729">
        <f t="shared" si="8"/>
        <v>27.562000000000001</v>
      </c>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row>
    <row r="14" spans="2:65">
      <c r="B14" s="459" t="str">
        <f>Commodities!K20</f>
        <v>TCAR_PHEV_DST_00</v>
      </c>
      <c r="C14" s="459" t="s">
        <v>854</v>
      </c>
      <c r="D14" s="729">
        <f t="shared" si="1"/>
        <v>41.234000000000002</v>
      </c>
      <c r="E14" s="729">
        <f t="shared" ref="E14:AD14" si="9">E77*2</f>
        <v>43.462000000000003</v>
      </c>
      <c r="F14" s="729">
        <f t="shared" si="9"/>
        <v>36.212000000000003</v>
      </c>
      <c r="G14" s="729">
        <f t="shared" si="9"/>
        <v>41.817999999999998</v>
      </c>
      <c r="H14" s="729">
        <f t="shared" si="9"/>
        <v>43.5</v>
      </c>
      <c r="I14" s="729">
        <f t="shared" si="9"/>
        <v>44.597999999999999</v>
      </c>
      <c r="J14" s="729">
        <f t="shared" si="9"/>
        <v>45.445999999999998</v>
      </c>
      <c r="K14" s="729">
        <f t="shared" si="9"/>
        <v>41.225999999999999</v>
      </c>
      <c r="L14" s="729">
        <f t="shared" si="9"/>
        <v>42.393999999999998</v>
      </c>
      <c r="M14" s="729">
        <f t="shared" si="9"/>
        <v>44.11</v>
      </c>
      <c r="N14" s="729">
        <f t="shared" si="9"/>
        <v>44.07</v>
      </c>
      <c r="O14" s="729">
        <f t="shared" si="9"/>
        <v>42.816000000000003</v>
      </c>
      <c r="P14" s="729">
        <f t="shared" si="9"/>
        <v>40.799999999999997</v>
      </c>
      <c r="Q14" s="729">
        <f t="shared" si="9"/>
        <v>44.042000000000002</v>
      </c>
      <c r="R14" s="729">
        <f t="shared" si="9"/>
        <v>40.14</v>
      </c>
      <c r="S14" s="729">
        <f t="shared" si="9"/>
        <v>41.972000000000001</v>
      </c>
      <c r="T14" s="729">
        <f t="shared" si="9"/>
        <v>42.747999999999998</v>
      </c>
      <c r="U14" s="729">
        <f t="shared" si="9"/>
        <v>44.537999999999997</v>
      </c>
      <c r="V14" s="729">
        <f t="shared" si="9"/>
        <v>41.55</v>
      </c>
      <c r="W14" s="729">
        <f t="shared" si="9"/>
        <v>42.776000000000003</v>
      </c>
      <c r="X14" s="729">
        <f t="shared" si="9"/>
        <v>44.56</v>
      </c>
      <c r="Y14" s="729">
        <f t="shared" si="9"/>
        <v>42.886000000000003</v>
      </c>
      <c r="Z14" s="729">
        <f t="shared" si="9"/>
        <v>46.634</v>
      </c>
      <c r="AA14" s="729">
        <f t="shared" si="9"/>
        <v>42.648000000000003</v>
      </c>
      <c r="AB14" s="729">
        <f t="shared" si="9"/>
        <v>43.774000000000001</v>
      </c>
      <c r="AC14" s="729">
        <f t="shared" si="9"/>
        <v>41.1</v>
      </c>
      <c r="AD14" s="729">
        <f t="shared" si="9"/>
        <v>43.167999999999999</v>
      </c>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row>
    <row r="15" spans="2:65">
      <c r="B15" s="459" t="str">
        <f>Commodities!K21</f>
        <v>TCAR_BEV_00</v>
      </c>
      <c r="C15" s="459" t="s">
        <v>854</v>
      </c>
      <c r="D15" s="729">
        <f t="shared" si="1"/>
        <v>26.888000000000002</v>
      </c>
      <c r="E15" s="729">
        <f t="shared" ref="E15:AD15" si="10">E78*2</f>
        <v>28.181999999999999</v>
      </c>
      <c r="F15" s="729">
        <f t="shared" si="10"/>
        <v>25.693999999999999</v>
      </c>
      <c r="G15" s="729">
        <f t="shared" si="10"/>
        <v>27.826000000000001</v>
      </c>
      <c r="H15" s="729">
        <f t="shared" si="10"/>
        <v>28.716000000000001</v>
      </c>
      <c r="I15" s="729">
        <f t="shared" si="10"/>
        <v>29.172000000000001</v>
      </c>
      <c r="J15" s="729">
        <f t="shared" si="10"/>
        <v>28.007999999999999</v>
      </c>
      <c r="K15" s="729">
        <f t="shared" si="10"/>
        <v>26.827999999999999</v>
      </c>
      <c r="L15" s="729">
        <f t="shared" si="10"/>
        <v>28.206</v>
      </c>
      <c r="M15" s="729">
        <f t="shared" si="10"/>
        <v>29.006</v>
      </c>
      <c r="N15" s="729">
        <f t="shared" si="10"/>
        <v>28.018000000000001</v>
      </c>
      <c r="O15" s="729">
        <f t="shared" si="10"/>
        <v>28.263999999999999</v>
      </c>
      <c r="P15" s="729">
        <f t="shared" si="10"/>
        <v>27.83</v>
      </c>
      <c r="Q15" s="729">
        <f t="shared" si="10"/>
        <v>28.155999999999999</v>
      </c>
      <c r="R15" s="729">
        <f t="shared" si="10"/>
        <v>26.71</v>
      </c>
      <c r="S15" s="729">
        <f t="shared" si="10"/>
        <v>27.56</v>
      </c>
      <c r="T15" s="729">
        <f t="shared" si="10"/>
        <v>27.844000000000001</v>
      </c>
      <c r="U15" s="729">
        <f t="shared" si="10"/>
        <v>27.768000000000001</v>
      </c>
      <c r="V15" s="729">
        <f t="shared" si="10"/>
        <v>27.882000000000001</v>
      </c>
      <c r="W15" s="729">
        <f t="shared" si="10"/>
        <v>27.861999999999998</v>
      </c>
      <c r="X15" s="729">
        <f t="shared" si="10"/>
        <v>28.286000000000001</v>
      </c>
      <c r="Y15" s="729">
        <f t="shared" si="10"/>
        <v>28.382000000000001</v>
      </c>
      <c r="Z15" s="729">
        <f t="shared" si="10"/>
        <v>28.308</v>
      </c>
      <c r="AA15" s="729">
        <f t="shared" si="10"/>
        <v>27.704000000000001</v>
      </c>
      <c r="AB15" s="729">
        <f t="shared" si="10"/>
        <v>28.123999999999999</v>
      </c>
      <c r="AC15" s="729">
        <f t="shared" si="10"/>
        <v>28.608000000000001</v>
      </c>
      <c r="AD15" s="729">
        <f t="shared" si="10"/>
        <v>27.582000000000001</v>
      </c>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row>
    <row r="16" spans="2:65">
      <c r="B16" s="448" t="str">
        <f>Commodities!K23</f>
        <v>TTAXI_ICE_GSL_00</v>
      </c>
      <c r="C16" s="459" t="s">
        <v>854</v>
      </c>
      <c r="D16" s="729">
        <f t="shared" si="1"/>
        <v>71.213999999999999</v>
      </c>
      <c r="E16" s="729">
        <f t="shared" ref="E16:AD16" si="11">E79*2</f>
        <v>44.554000000000002</v>
      </c>
      <c r="F16" s="729">
        <f t="shared" si="11"/>
        <v>70.986000000000004</v>
      </c>
      <c r="G16" s="729">
        <f t="shared" si="11"/>
        <v>82.41</v>
      </c>
      <c r="H16" s="729">
        <f t="shared" si="11"/>
        <v>82.756</v>
      </c>
      <c r="I16" s="729">
        <f t="shared" si="11"/>
        <v>64.766000000000005</v>
      </c>
      <c r="J16" s="729">
        <f t="shared" si="11"/>
        <v>82.581999999999994</v>
      </c>
      <c r="K16" s="729">
        <f t="shared" si="11"/>
        <v>72.457999999999998</v>
      </c>
      <c r="L16" s="729">
        <f t="shared" si="11"/>
        <v>83.287999999999997</v>
      </c>
      <c r="M16" s="729">
        <f t="shared" si="11"/>
        <v>54.094000000000001</v>
      </c>
      <c r="N16" s="729">
        <f t="shared" si="11"/>
        <v>89.25</v>
      </c>
      <c r="O16" s="729">
        <f t="shared" si="11"/>
        <v>65.436000000000007</v>
      </c>
      <c r="P16" s="729">
        <f t="shared" si="11"/>
        <v>62.026000000000003</v>
      </c>
      <c r="Q16" s="729">
        <f t="shared" si="11"/>
        <v>75.317999999999998</v>
      </c>
      <c r="R16" s="729">
        <f t="shared" si="11"/>
        <v>68.290000000000006</v>
      </c>
      <c r="S16" s="729">
        <f t="shared" si="11"/>
        <v>62.043999999999997</v>
      </c>
      <c r="T16" s="729">
        <f t="shared" si="11"/>
        <v>74.278000000000006</v>
      </c>
      <c r="U16" s="729">
        <f t="shared" si="11"/>
        <v>67.400000000000006</v>
      </c>
      <c r="V16" s="729">
        <f t="shared" si="11"/>
        <v>59.811999999999998</v>
      </c>
      <c r="W16" s="729">
        <f t="shared" si="11"/>
        <v>73.239999999999995</v>
      </c>
      <c r="X16" s="729">
        <f t="shared" si="11"/>
        <v>57.613999999999997</v>
      </c>
      <c r="Y16" s="729">
        <f t="shared" si="11"/>
        <v>64.983999999999995</v>
      </c>
      <c r="Z16" s="729">
        <f t="shared" si="11"/>
        <v>48.88</v>
      </c>
      <c r="AA16" s="729">
        <f t="shared" si="11"/>
        <v>54.79</v>
      </c>
      <c r="AB16" s="729">
        <f t="shared" si="11"/>
        <v>71.745999999999995</v>
      </c>
      <c r="AC16" s="729">
        <f t="shared" si="11"/>
        <v>69.587999999999994</v>
      </c>
      <c r="AD16" s="729">
        <f t="shared" si="11"/>
        <v>27.85</v>
      </c>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row>
    <row r="17" spans="2:65">
      <c r="B17" s="459" t="str">
        <f>Commodities!K24</f>
        <v>TTAXI_ICE_DST_00</v>
      </c>
      <c r="C17" s="459" t="s">
        <v>854</v>
      </c>
      <c r="D17" s="729">
        <f t="shared" si="1"/>
        <v>79.849999999999994</v>
      </c>
      <c r="E17" s="729">
        <f t="shared" ref="E17:AD17" si="12">E80*2</f>
        <v>73.349999999999994</v>
      </c>
      <c r="F17" s="729">
        <f t="shared" si="12"/>
        <v>77.847999999999999</v>
      </c>
      <c r="G17" s="729">
        <f t="shared" si="12"/>
        <v>84.558000000000007</v>
      </c>
      <c r="H17" s="729">
        <f t="shared" si="12"/>
        <v>83.421999999999997</v>
      </c>
      <c r="I17" s="729">
        <f t="shared" si="12"/>
        <v>83.45</v>
      </c>
      <c r="J17" s="729">
        <f t="shared" si="12"/>
        <v>91.093999999999994</v>
      </c>
      <c r="K17" s="729">
        <f t="shared" si="12"/>
        <v>85.426000000000002</v>
      </c>
      <c r="L17" s="729">
        <f t="shared" si="12"/>
        <v>86.73</v>
      </c>
      <c r="M17" s="729">
        <f t="shared" si="12"/>
        <v>77.406000000000006</v>
      </c>
      <c r="N17" s="729">
        <f t="shared" si="12"/>
        <v>83.816000000000003</v>
      </c>
      <c r="O17" s="729">
        <f t="shared" si="12"/>
        <v>77.727999999999994</v>
      </c>
      <c r="P17" s="729">
        <f t="shared" si="12"/>
        <v>78.024000000000001</v>
      </c>
      <c r="Q17" s="729">
        <f t="shared" si="12"/>
        <v>80.007999999999996</v>
      </c>
      <c r="R17" s="729">
        <f t="shared" si="12"/>
        <v>80.731999999999999</v>
      </c>
      <c r="S17" s="729">
        <f t="shared" si="12"/>
        <v>78.433999999999997</v>
      </c>
      <c r="T17" s="729">
        <f t="shared" si="12"/>
        <v>80.524000000000001</v>
      </c>
      <c r="U17" s="729">
        <f t="shared" si="12"/>
        <v>80.62</v>
      </c>
      <c r="V17" s="729">
        <f t="shared" si="12"/>
        <v>79.418000000000006</v>
      </c>
      <c r="W17" s="729">
        <f t="shared" si="12"/>
        <v>81.385999999999996</v>
      </c>
      <c r="X17" s="729">
        <f t="shared" si="12"/>
        <v>85.944000000000003</v>
      </c>
      <c r="Y17" s="729">
        <f t="shared" si="12"/>
        <v>76.738</v>
      </c>
      <c r="Z17" s="729">
        <f t="shared" si="12"/>
        <v>78.341999999999999</v>
      </c>
      <c r="AA17" s="729">
        <f t="shared" si="12"/>
        <v>80.718000000000004</v>
      </c>
      <c r="AB17" s="729">
        <f t="shared" si="12"/>
        <v>88.07</v>
      </c>
      <c r="AC17" s="729">
        <f t="shared" si="12"/>
        <v>81.322000000000003</v>
      </c>
      <c r="AD17" s="729">
        <f t="shared" si="12"/>
        <v>85</v>
      </c>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row>
    <row r="18" spans="2:65">
      <c r="B18" s="459" t="str">
        <f>Commodities!K25</f>
        <v>TTAXI_HEV_GSL_00</v>
      </c>
      <c r="C18" s="459" t="s">
        <v>854</v>
      </c>
      <c r="D18" s="729">
        <f t="shared" si="1"/>
        <v>82.421999999999997</v>
      </c>
      <c r="E18" s="729">
        <f t="shared" ref="E18:AD18" si="13">E81*2</f>
        <v>92.415999999999997</v>
      </c>
      <c r="F18" s="729">
        <f t="shared" si="13"/>
        <v>80.668000000000006</v>
      </c>
      <c r="G18" s="729">
        <f t="shared" si="13"/>
        <v>93.941999999999993</v>
      </c>
      <c r="H18" s="729">
        <f t="shared" si="13"/>
        <v>84.902000000000001</v>
      </c>
      <c r="I18" s="729">
        <f t="shared" si="13"/>
        <v>81.212000000000003</v>
      </c>
      <c r="J18" s="729">
        <f t="shared" si="13"/>
        <v>0</v>
      </c>
      <c r="K18" s="729">
        <f t="shared" si="13"/>
        <v>84.494</v>
      </c>
      <c r="L18" s="729">
        <f t="shared" si="13"/>
        <v>94.596000000000004</v>
      </c>
      <c r="M18" s="729">
        <f t="shared" si="13"/>
        <v>79.522000000000006</v>
      </c>
      <c r="N18" s="729">
        <f t="shared" si="13"/>
        <v>98.38</v>
      </c>
      <c r="O18" s="729">
        <f t="shared" si="13"/>
        <v>82.03</v>
      </c>
      <c r="P18" s="729">
        <f t="shared" si="13"/>
        <v>79.989999999999995</v>
      </c>
      <c r="Q18" s="729">
        <f t="shared" si="13"/>
        <v>74.793999999999997</v>
      </c>
      <c r="R18" s="729">
        <f t="shared" si="13"/>
        <v>90.653999999999996</v>
      </c>
      <c r="S18" s="729">
        <f t="shared" si="13"/>
        <v>71.796000000000006</v>
      </c>
      <c r="T18" s="729">
        <f t="shared" si="13"/>
        <v>90.772000000000006</v>
      </c>
      <c r="U18" s="729">
        <f t="shared" si="13"/>
        <v>76.03</v>
      </c>
      <c r="V18" s="729">
        <f t="shared" si="13"/>
        <v>120.36799999999999</v>
      </c>
      <c r="W18" s="729">
        <f t="shared" si="13"/>
        <v>81.239999999999995</v>
      </c>
      <c r="X18" s="729">
        <f t="shared" si="13"/>
        <v>0</v>
      </c>
      <c r="Y18" s="729">
        <f t="shared" si="13"/>
        <v>109.68600000000001</v>
      </c>
      <c r="Z18" s="729">
        <f t="shared" si="13"/>
        <v>0</v>
      </c>
      <c r="AA18" s="729">
        <f t="shared" si="13"/>
        <v>51.518000000000001</v>
      </c>
      <c r="AB18" s="729">
        <f t="shared" si="13"/>
        <v>85.745999999999995</v>
      </c>
      <c r="AC18" s="729">
        <f t="shared" si="13"/>
        <v>118.008</v>
      </c>
      <c r="AD18" s="729">
        <f t="shared" si="13"/>
        <v>0</v>
      </c>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row>
    <row r="19" spans="2:65">
      <c r="B19" s="448" t="str">
        <f>Commodities!K27</f>
        <v>TBUS_ICE_DST_00</v>
      </c>
      <c r="C19" s="459" t="s">
        <v>854</v>
      </c>
      <c r="D19" s="729">
        <f t="shared" si="1"/>
        <v>72.19</v>
      </c>
      <c r="E19" s="729">
        <f t="shared" ref="E19:AD19" si="14">E82*2</f>
        <v>58.167999999999999</v>
      </c>
      <c r="F19" s="729">
        <f t="shared" si="14"/>
        <v>84.641999999999996</v>
      </c>
      <c r="G19" s="729">
        <f t="shared" si="14"/>
        <v>66.317999999999998</v>
      </c>
      <c r="H19" s="729">
        <f t="shared" si="14"/>
        <v>72.751999999999995</v>
      </c>
      <c r="I19" s="729">
        <f t="shared" si="14"/>
        <v>55.37</v>
      </c>
      <c r="J19" s="729">
        <f t="shared" si="14"/>
        <v>59.01</v>
      </c>
      <c r="K19" s="729">
        <f t="shared" si="14"/>
        <v>73.052000000000007</v>
      </c>
      <c r="L19" s="729">
        <f t="shared" si="14"/>
        <v>58.774000000000001</v>
      </c>
      <c r="M19" s="729">
        <f t="shared" si="14"/>
        <v>63.618000000000002</v>
      </c>
      <c r="N19" s="729">
        <f t="shared" si="14"/>
        <v>64.686000000000007</v>
      </c>
      <c r="O19" s="729">
        <f t="shared" si="14"/>
        <v>67.835999999999999</v>
      </c>
      <c r="P19" s="729">
        <f t="shared" si="14"/>
        <v>70.513999999999996</v>
      </c>
      <c r="Q19" s="729">
        <f t="shared" si="14"/>
        <v>61.826000000000001</v>
      </c>
      <c r="R19" s="729">
        <f t="shared" si="14"/>
        <v>64.772000000000006</v>
      </c>
      <c r="S19" s="729">
        <f t="shared" si="14"/>
        <v>70.016000000000005</v>
      </c>
      <c r="T19" s="729">
        <f t="shared" si="14"/>
        <v>69.382000000000005</v>
      </c>
      <c r="U19" s="729">
        <f t="shared" si="14"/>
        <v>64.864000000000004</v>
      </c>
      <c r="V19" s="729">
        <f t="shared" si="14"/>
        <v>62.107999999999997</v>
      </c>
      <c r="W19" s="729">
        <f t="shared" si="14"/>
        <v>70.195999999999998</v>
      </c>
      <c r="X19" s="729">
        <f t="shared" si="14"/>
        <v>44.36</v>
      </c>
      <c r="Y19" s="729">
        <f t="shared" si="14"/>
        <v>74.983999999999995</v>
      </c>
      <c r="Z19" s="729">
        <f t="shared" si="14"/>
        <v>63.3</v>
      </c>
      <c r="AA19" s="729">
        <f t="shared" si="14"/>
        <v>69.816000000000003</v>
      </c>
      <c r="AB19" s="729">
        <f t="shared" si="14"/>
        <v>78.153999999999996</v>
      </c>
      <c r="AC19" s="729">
        <f t="shared" si="14"/>
        <v>65.671999999999997</v>
      </c>
      <c r="AD19" s="729">
        <f t="shared" si="14"/>
        <v>90.516000000000005</v>
      </c>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row>
    <row r="20" spans="2:65">
      <c r="B20" s="459" t="str">
        <f>Commodities!K29</f>
        <v>TLRAIL_ELC_00</v>
      </c>
      <c r="C20" s="459" t="s">
        <v>854</v>
      </c>
      <c r="D20" s="729">
        <f t="shared" si="1"/>
        <v>111.38200000000001</v>
      </c>
      <c r="E20" s="729">
        <f t="shared" ref="E20:AD20" si="15">E83*2</f>
        <v>111.38200000000001</v>
      </c>
      <c r="F20" s="729">
        <f t="shared" si="15"/>
        <v>111.38200000000001</v>
      </c>
      <c r="G20" s="729">
        <f t="shared" si="15"/>
        <v>111.38200000000001</v>
      </c>
      <c r="H20" s="729">
        <f t="shared" si="15"/>
        <v>111.38200000000001</v>
      </c>
      <c r="I20" s="729">
        <f t="shared" si="15"/>
        <v>111.38200000000001</v>
      </c>
      <c r="J20" s="729">
        <f t="shared" si="15"/>
        <v>111.38200000000001</v>
      </c>
      <c r="K20" s="729">
        <f t="shared" si="15"/>
        <v>111.38200000000001</v>
      </c>
      <c r="L20" s="729">
        <f t="shared" si="15"/>
        <v>111.38200000000001</v>
      </c>
      <c r="M20" s="729">
        <f t="shared" si="15"/>
        <v>111.38200000000001</v>
      </c>
      <c r="N20" s="729">
        <f t="shared" si="15"/>
        <v>111.38200000000001</v>
      </c>
      <c r="O20" s="729">
        <f t="shared" si="15"/>
        <v>111.38200000000001</v>
      </c>
      <c r="P20" s="729">
        <f t="shared" si="15"/>
        <v>111.38200000000001</v>
      </c>
      <c r="Q20" s="729">
        <f t="shared" si="15"/>
        <v>111.38200000000001</v>
      </c>
      <c r="R20" s="729">
        <f t="shared" si="15"/>
        <v>111.38200000000001</v>
      </c>
      <c r="S20" s="729">
        <f t="shared" si="15"/>
        <v>111.38200000000001</v>
      </c>
      <c r="T20" s="729">
        <f t="shared" si="15"/>
        <v>111.38200000000001</v>
      </c>
      <c r="U20" s="729">
        <f t="shared" si="15"/>
        <v>111.38200000000001</v>
      </c>
      <c r="V20" s="729">
        <f t="shared" si="15"/>
        <v>111.38200000000001</v>
      </c>
      <c r="W20" s="729">
        <f t="shared" si="15"/>
        <v>111.38200000000001</v>
      </c>
      <c r="X20" s="729">
        <f t="shared" si="15"/>
        <v>111.38200000000001</v>
      </c>
      <c r="Y20" s="729">
        <f t="shared" si="15"/>
        <v>111.38200000000001</v>
      </c>
      <c r="Z20" s="729">
        <f t="shared" si="15"/>
        <v>111.38200000000001</v>
      </c>
      <c r="AA20" s="729">
        <f t="shared" si="15"/>
        <v>111.38200000000001</v>
      </c>
      <c r="AB20" s="729">
        <f t="shared" si="15"/>
        <v>111.38200000000001</v>
      </c>
      <c r="AC20" s="729">
        <f t="shared" si="15"/>
        <v>111.38200000000001</v>
      </c>
      <c r="AD20" s="729">
        <f t="shared" si="15"/>
        <v>111.38200000000001</v>
      </c>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row>
    <row r="21" spans="2:65">
      <c r="B21" s="459" t="str">
        <f>Commodities!K30</f>
        <v>THRAIL_ELC_00</v>
      </c>
      <c r="C21" s="459" t="s">
        <v>854</v>
      </c>
      <c r="D21" s="729">
        <f t="shared" ref="D21:AD21" si="16">D84*2</f>
        <v>316.952</v>
      </c>
      <c r="E21" s="729">
        <f t="shared" si="16"/>
        <v>316.952</v>
      </c>
      <c r="F21" s="729">
        <f t="shared" si="16"/>
        <v>316.952</v>
      </c>
      <c r="G21" s="729">
        <f t="shared" si="16"/>
        <v>316.952</v>
      </c>
      <c r="H21" s="729">
        <f t="shared" si="16"/>
        <v>316.952</v>
      </c>
      <c r="I21" s="729">
        <f t="shared" si="16"/>
        <v>316.952</v>
      </c>
      <c r="J21" s="729">
        <f t="shared" si="16"/>
        <v>316.952</v>
      </c>
      <c r="K21" s="729">
        <f t="shared" si="16"/>
        <v>316.952</v>
      </c>
      <c r="L21" s="729">
        <f t="shared" si="16"/>
        <v>316.952</v>
      </c>
      <c r="M21" s="729">
        <f t="shared" si="16"/>
        <v>316.952</v>
      </c>
      <c r="N21" s="729">
        <f t="shared" si="16"/>
        <v>316.952</v>
      </c>
      <c r="O21" s="729">
        <f t="shared" si="16"/>
        <v>316.952</v>
      </c>
      <c r="P21" s="729">
        <f t="shared" si="16"/>
        <v>316.952</v>
      </c>
      <c r="Q21" s="729">
        <f t="shared" si="16"/>
        <v>316.952</v>
      </c>
      <c r="R21" s="729">
        <f t="shared" si="16"/>
        <v>316.952</v>
      </c>
      <c r="S21" s="729">
        <f t="shared" si="16"/>
        <v>316.952</v>
      </c>
      <c r="T21" s="729">
        <f t="shared" si="16"/>
        <v>316.952</v>
      </c>
      <c r="U21" s="729">
        <f t="shared" si="16"/>
        <v>316.952</v>
      </c>
      <c r="V21" s="729">
        <f t="shared" si="16"/>
        <v>316.952</v>
      </c>
      <c r="W21" s="729">
        <f t="shared" si="16"/>
        <v>316.952</v>
      </c>
      <c r="X21" s="729">
        <f t="shared" si="16"/>
        <v>316.952</v>
      </c>
      <c r="Y21" s="729">
        <f t="shared" si="16"/>
        <v>316.952</v>
      </c>
      <c r="Z21" s="729">
        <f t="shared" si="16"/>
        <v>316.952</v>
      </c>
      <c r="AA21" s="729">
        <f t="shared" si="16"/>
        <v>316.952</v>
      </c>
      <c r="AB21" s="729">
        <f t="shared" si="16"/>
        <v>316.952</v>
      </c>
      <c r="AC21" s="729">
        <f t="shared" si="16"/>
        <v>316.952</v>
      </c>
      <c r="AD21" s="729">
        <f t="shared" si="16"/>
        <v>316.952</v>
      </c>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row>
    <row r="22" spans="2:65">
      <c r="B22" s="459" t="str">
        <f>Commodities!K31</f>
        <v>THRAIL_DST_00</v>
      </c>
      <c r="C22" s="459" t="s">
        <v>854</v>
      </c>
      <c r="D22" s="729">
        <f t="shared" ref="D22:AD22" si="17">D85*2</f>
        <v>147.768</v>
      </c>
      <c r="E22" s="729">
        <f t="shared" si="17"/>
        <v>147.768</v>
      </c>
      <c r="F22" s="729">
        <f t="shared" si="17"/>
        <v>147.768</v>
      </c>
      <c r="G22" s="729">
        <f t="shared" si="17"/>
        <v>147.768</v>
      </c>
      <c r="H22" s="729">
        <f t="shared" si="17"/>
        <v>147.768</v>
      </c>
      <c r="I22" s="729">
        <f t="shared" si="17"/>
        <v>147.768</v>
      </c>
      <c r="J22" s="729">
        <f t="shared" si="17"/>
        <v>147.768</v>
      </c>
      <c r="K22" s="729">
        <f t="shared" si="17"/>
        <v>147.768</v>
      </c>
      <c r="L22" s="729">
        <f t="shared" si="17"/>
        <v>147.768</v>
      </c>
      <c r="M22" s="729">
        <f t="shared" si="17"/>
        <v>147.768</v>
      </c>
      <c r="N22" s="729">
        <f t="shared" si="17"/>
        <v>147.768</v>
      </c>
      <c r="O22" s="729">
        <f t="shared" si="17"/>
        <v>147.768</v>
      </c>
      <c r="P22" s="729">
        <f t="shared" si="17"/>
        <v>147.768</v>
      </c>
      <c r="Q22" s="729">
        <f t="shared" si="17"/>
        <v>147.768</v>
      </c>
      <c r="R22" s="729">
        <f t="shared" si="17"/>
        <v>147.768</v>
      </c>
      <c r="S22" s="729">
        <f t="shared" si="17"/>
        <v>147.768</v>
      </c>
      <c r="T22" s="729">
        <f t="shared" si="17"/>
        <v>147.768</v>
      </c>
      <c r="U22" s="729">
        <f t="shared" si="17"/>
        <v>147.768</v>
      </c>
      <c r="V22" s="729">
        <f t="shared" si="17"/>
        <v>147.768</v>
      </c>
      <c r="W22" s="729">
        <f t="shared" si="17"/>
        <v>147.768</v>
      </c>
      <c r="X22" s="729">
        <f t="shared" si="17"/>
        <v>147.768</v>
      </c>
      <c r="Y22" s="729">
        <f t="shared" si="17"/>
        <v>147.768</v>
      </c>
      <c r="Z22" s="729">
        <f t="shared" si="17"/>
        <v>147.768</v>
      </c>
      <c r="AA22" s="729">
        <f t="shared" si="17"/>
        <v>147.768</v>
      </c>
      <c r="AB22" s="729">
        <f t="shared" si="17"/>
        <v>147.768</v>
      </c>
      <c r="AC22" s="729">
        <f t="shared" si="17"/>
        <v>147.768</v>
      </c>
      <c r="AD22" s="729">
        <f t="shared" si="17"/>
        <v>147.768</v>
      </c>
      <c r="AF22" s="724"/>
      <c r="AG22" s="724"/>
      <c r="AH22" s="724"/>
      <c r="AI22" s="724"/>
      <c r="AJ22" s="724"/>
      <c r="AK22" s="724"/>
      <c r="AL22" s="724"/>
      <c r="AM22" s="724"/>
      <c r="AN22" s="724"/>
      <c r="AO22" s="724"/>
      <c r="AP22" s="724"/>
      <c r="AQ22" s="724"/>
      <c r="AR22" s="724"/>
      <c r="AS22" s="724"/>
      <c r="AT22" s="724"/>
      <c r="AU22" s="724"/>
      <c r="AV22" s="724"/>
      <c r="AW22" s="724"/>
      <c r="AX22" s="724"/>
      <c r="AY22" s="724"/>
      <c r="AZ22" s="724"/>
      <c r="BA22" s="724"/>
      <c r="BB22" s="724"/>
      <c r="BC22" s="724"/>
      <c r="BD22" s="724"/>
      <c r="BE22" s="724"/>
      <c r="BF22" s="724"/>
      <c r="BG22" s="724"/>
      <c r="BH22" s="724"/>
      <c r="BI22" s="724"/>
      <c r="BJ22" s="724"/>
      <c r="BK22" s="724"/>
      <c r="BL22" s="724"/>
      <c r="BM22" s="724"/>
    </row>
    <row r="23" spans="2:65">
      <c r="B23" t="str">
        <f>Commodities!K34</f>
        <v>TFGV_GSL_00</v>
      </c>
      <c r="C23" s="459" t="s">
        <v>854</v>
      </c>
      <c r="D23" s="5">
        <f t="shared" ref="D23" si="18">D86</f>
        <v>16.637</v>
      </c>
      <c r="E23" s="5">
        <f t="shared" ref="E23:AD25" si="19">E86</f>
        <v>18.2</v>
      </c>
      <c r="F23" s="5">
        <f t="shared" si="19"/>
        <v>17.184999999999999</v>
      </c>
      <c r="G23" s="5">
        <f t="shared" si="19"/>
        <v>18.103999999999999</v>
      </c>
      <c r="H23" s="5">
        <f t="shared" si="19"/>
        <v>13.529</v>
      </c>
      <c r="I23" s="5">
        <f t="shared" si="19"/>
        <v>14.763999999999999</v>
      </c>
      <c r="J23" s="5">
        <f t="shared" si="19"/>
        <v>16.236000000000001</v>
      </c>
      <c r="K23" s="5">
        <f t="shared" si="19"/>
        <v>20.882999999999999</v>
      </c>
      <c r="L23" s="5">
        <f t="shared" si="19"/>
        <v>16.834</v>
      </c>
      <c r="M23" s="5">
        <f t="shared" si="19"/>
        <v>18.277000000000001</v>
      </c>
      <c r="N23" s="5">
        <f t="shared" si="19"/>
        <v>17.556999999999999</v>
      </c>
      <c r="O23" s="5">
        <f t="shared" si="19"/>
        <v>18.234000000000002</v>
      </c>
      <c r="P23" s="5">
        <f t="shared" si="19"/>
        <v>13.991</v>
      </c>
      <c r="Q23" s="5">
        <f t="shared" si="19"/>
        <v>16.218</v>
      </c>
      <c r="R23" s="5">
        <f t="shared" si="19"/>
        <v>15.417999999999999</v>
      </c>
      <c r="S23" s="5">
        <f t="shared" si="19"/>
        <v>16.893000000000001</v>
      </c>
      <c r="T23" s="5">
        <f t="shared" si="19"/>
        <v>21.984999999999999</v>
      </c>
      <c r="U23" s="5">
        <f t="shared" si="19"/>
        <v>17.042999999999999</v>
      </c>
      <c r="V23" s="5">
        <f t="shared" si="19"/>
        <v>15.646000000000001</v>
      </c>
      <c r="W23" s="5">
        <f t="shared" si="19"/>
        <v>15.837999999999999</v>
      </c>
      <c r="X23" s="5">
        <f t="shared" si="19"/>
        <v>17.187999999999999</v>
      </c>
      <c r="Y23" s="5">
        <f t="shared" si="19"/>
        <v>15.44</v>
      </c>
      <c r="Z23" s="5">
        <f t="shared" si="19"/>
        <v>19.148</v>
      </c>
      <c r="AA23" s="5">
        <f t="shared" si="19"/>
        <v>17.276</v>
      </c>
      <c r="AB23" s="5">
        <f t="shared" si="19"/>
        <v>15.121</v>
      </c>
      <c r="AC23" s="5">
        <f t="shared" si="19"/>
        <v>16.215</v>
      </c>
      <c r="AD23" s="5">
        <f t="shared" si="19"/>
        <v>18.088000000000001</v>
      </c>
      <c r="AF23" s="724"/>
      <c r="AG23" s="724"/>
      <c r="AH23" s="724"/>
      <c r="AI23" s="724"/>
      <c r="AJ23" s="724"/>
      <c r="AK23" s="724"/>
      <c r="AL23" s="724"/>
      <c r="AM23" s="724"/>
      <c r="AN23" s="724"/>
      <c r="AO23" s="724"/>
      <c r="AP23" s="724"/>
      <c r="AQ23" s="724"/>
      <c r="AR23" s="724"/>
      <c r="AS23" s="724"/>
      <c r="AT23" s="724"/>
      <c r="AU23" s="724"/>
      <c r="AV23" s="724"/>
      <c r="AW23" s="724"/>
      <c r="AX23" s="724"/>
      <c r="AY23" s="724"/>
      <c r="AZ23" s="724"/>
      <c r="BA23" s="724"/>
      <c r="BB23" s="724"/>
      <c r="BC23" s="724"/>
      <c r="BD23" s="724"/>
      <c r="BE23" s="724"/>
      <c r="BF23" s="724"/>
      <c r="BG23" s="724"/>
      <c r="BH23" s="724"/>
      <c r="BI23" s="724"/>
      <c r="BJ23" s="724"/>
      <c r="BK23" s="724"/>
      <c r="BL23" s="724"/>
      <c r="BM23" s="724"/>
    </row>
    <row r="24" spans="2:65">
      <c r="B24" s="459" t="str">
        <f>Commodities!K35</f>
        <v>TFGV_DST_00</v>
      </c>
      <c r="C24" s="459" t="s">
        <v>854</v>
      </c>
      <c r="D24" s="729">
        <f>D87*1.1</f>
        <v>24.504700000000003</v>
      </c>
      <c r="E24" s="729">
        <f t="shared" ref="E24:AD24" si="20">E87*1.1</f>
        <v>24.521200000000004</v>
      </c>
      <c r="F24" s="729">
        <f t="shared" si="20"/>
        <v>26.150300000000001</v>
      </c>
      <c r="G24" s="729">
        <f t="shared" si="20"/>
        <v>25.831300000000002</v>
      </c>
      <c r="H24" s="729">
        <f t="shared" si="20"/>
        <v>25.316500000000001</v>
      </c>
      <c r="I24" s="729">
        <f t="shared" si="20"/>
        <v>25.613500000000002</v>
      </c>
      <c r="J24" s="729">
        <f t="shared" si="20"/>
        <v>24.5124</v>
      </c>
      <c r="K24" s="729">
        <f t="shared" si="20"/>
        <v>25.415500000000002</v>
      </c>
      <c r="L24" s="729">
        <f t="shared" si="20"/>
        <v>26.580400000000004</v>
      </c>
      <c r="M24" s="729">
        <f t="shared" si="20"/>
        <v>23.504799999999999</v>
      </c>
      <c r="N24" s="729">
        <f t="shared" si="20"/>
        <v>23.578500000000002</v>
      </c>
      <c r="O24" s="729">
        <f t="shared" si="20"/>
        <v>26.297700000000003</v>
      </c>
      <c r="P24" s="729">
        <f t="shared" si="20"/>
        <v>23.342000000000002</v>
      </c>
      <c r="Q24" s="729">
        <f t="shared" si="20"/>
        <v>23.075800000000005</v>
      </c>
      <c r="R24" s="729">
        <f t="shared" si="20"/>
        <v>23.3035</v>
      </c>
      <c r="S24" s="729">
        <f t="shared" si="20"/>
        <v>22.5852</v>
      </c>
      <c r="T24" s="729">
        <f t="shared" si="20"/>
        <v>25.953400000000002</v>
      </c>
      <c r="U24" s="729">
        <f t="shared" si="20"/>
        <v>23.837000000000003</v>
      </c>
      <c r="V24" s="729">
        <f t="shared" si="20"/>
        <v>21.978000000000002</v>
      </c>
      <c r="W24" s="729">
        <f t="shared" si="20"/>
        <v>23.195700000000002</v>
      </c>
      <c r="X24" s="729">
        <f t="shared" si="20"/>
        <v>22.712800000000001</v>
      </c>
      <c r="Y24" s="729">
        <f t="shared" si="20"/>
        <v>22.297000000000001</v>
      </c>
      <c r="Z24" s="729">
        <f t="shared" si="20"/>
        <v>23.728100000000005</v>
      </c>
      <c r="AA24" s="729">
        <f t="shared" si="20"/>
        <v>22.083600000000004</v>
      </c>
      <c r="AB24" s="729">
        <f t="shared" si="20"/>
        <v>24.393599999999999</v>
      </c>
      <c r="AC24" s="729">
        <f t="shared" si="20"/>
        <v>21.733800000000002</v>
      </c>
      <c r="AD24" s="729">
        <f t="shared" si="20"/>
        <v>27.5473</v>
      </c>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row>
    <row r="25" spans="2:65">
      <c r="B25" s="458" t="str">
        <f>Commodities!K36</f>
        <v>TFRAIL_DST_00</v>
      </c>
      <c r="C25" s="458" t="s">
        <v>854</v>
      </c>
      <c r="D25" s="602">
        <f>D88</f>
        <v>39.363999999999997</v>
      </c>
      <c r="E25" s="602">
        <f t="shared" si="19"/>
        <v>39.363999999999997</v>
      </c>
      <c r="F25" s="602">
        <f t="shared" si="19"/>
        <v>39.363999999999997</v>
      </c>
      <c r="G25" s="602">
        <f t="shared" si="19"/>
        <v>39.363999999999997</v>
      </c>
      <c r="H25" s="602">
        <f t="shared" si="19"/>
        <v>39.363999999999997</v>
      </c>
      <c r="I25" s="602">
        <f t="shared" si="19"/>
        <v>39.363999999999997</v>
      </c>
      <c r="J25" s="602">
        <f t="shared" si="19"/>
        <v>39.363999999999997</v>
      </c>
      <c r="K25" s="602">
        <f t="shared" si="19"/>
        <v>39.363999999999997</v>
      </c>
      <c r="L25" s="602">
        <f t="shared" si="19"/>
        <v>39.363999999999997</v>
      </c>
      <c r="M25" s="602">
        <f t="shared" si="19"/>
        <v>39.363999999999997</v>
      </c>
      <c r="N25" s="602">
        <f t="shared" si="19"/>
        <v>39.363999999999997</v>
      </c>
      <c r="O25" s="602">
        <f t="shared" si="19"/>
        <v>39.363999999999997</v>
      </c>
      <c r="P25" s="602">
        <f t="shared" si="19"/>
        <v>39.363999999999997</v>
      </c>
      <c r="Q25" s="602">
        <f t="shared" si="19"/>
        <v>39.363999999999997</v>
      </c>
      <c r="R25" s="602">
        <f t="shared" si="19"/>
        <v>39.363999999999997</v>
      </c>
      <c r="S25" s="602">
        <f t="shared" si="19"/>
        <v>39.363999999999997</v>
      </c>
      <c r="T25" s="602">
        <f t="shared" si="19"/>
        <v>39.363999999999997</v>
      </c>
      <c r="U25" s="602">
        <f t="shared" si="19"/>
        <v>39.363999999999997</v>
      </c>
      <c r="V25" s="602">
        <f t="shared" si="19"/>
        <v>39.363999999999997</v>
      </c>
      <c r="W25" s="602">
        <f t="shared" si="19"/>
        <v>39.363999999999997</v>
      </c>
      <c r="X25" s="602">
        <f t="shared" si="19"/>
        <v>39.363999999999997</v>
      </c>
      <c r="Y25" s="602">
        <f t="shared" si="19"/>
        <v>39.363999999999997</v>
      </c>
      <c r="Z25" s="602">
        <f t="shared" si="19"/>
        <v>39.363999999999997</v>
      </c>
      <c r="AA25" s="602">
        <f t="shared" si="19"/>
        <v>39.363999999999997</v>
      </c>
      <c r="AB25" s="602">
        <f t="shared" si="19"/>
        <v>39.363999999999997</v>
      </c>
      <c r="AC25" s="602">
        <f t="shared" si="19"/>
        <v>39.363999999999997</v>
      </c>
      <c r="AD25" s="602">
        <f t="shared" si="19"/>
        <v>39.363999999999997</v>
      </c>
      <c r="AF25" s="724"/>
      <c r="AG25" s="724"/>
      <c r="AH25" s="724"/>
      <c r="AI25" s="724"/>
      <c r="AJ25" s="724"/>
      <c r="AK25" s="724"/>
      <c r="AL25" s="724"/>
      <c r="AM25" s="724"/>
      <c r="AN25" s="724"/>
      <c r="AO25" s="724"/>
      <c r="AP25" s="724"/>
      <c r="AQ25" s="724"/>
      <c r="AR25" s="724"/>
      <c r="AS25" s="724"/>
      <c r="AT25" s="724"/>
      <c r="AU25" s="724"/>
      <c r="AV25" s="724"/>
      <c r="AW25" s="724"/>
      <c r="AX25" s="724"/>
      <c r="AY25" s="724"/>
      <c r="AZ25" s="724"/>
      <c r="BA25" s="724"/>
      <c r="BB25" s="724"/>
      <c r="BC25" s="724"/>
      <c r="BD25" s="724"/>
      <c r="BE25" s="724"/>
      <c r="BF25" s="724"/>
      <c r="BG25" s="724"/>
      <c r="BH25" s="724"/>
      <c r="BI25" s="724"/>
      <c r="BJ25" s="724"/>
      <c r="BK25" s="724"/>
      <c r="BL25" s="724"/>
      <c r="BM25" s="724"/>
    </row>
    <row r="26" spans="2:65" s="724"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1098</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row>
    <row r="29" spans="2:65">
      <c r="B29" s="459"/>
      <c r="D29" s="459"/>
      <c r="E29" s="459"/>
      <c r="F29" s="459"/>
      <c r="G29" s="459"/>
      <c r="H29" s="459"/>
      <c r="I29" s="459"/>
      <c r="J29" s="459"/>
      <c r="K29" s="459"/>
      <c r="L29" s="459"/>
      <c r="M29" s="459"/>
      <c r="N29" s="459"/>
      <c r="O29" s="459"/>
      <c r="P29" s="459"/>
      <c r="Q29" s="459"/>
      <c r="AF29" s="724"/>
      <c r="AG29" s="724"/>
      <c r="AH29" s="724"/>
      <c r="AI29" s="724"/>
      <c r="AJ29" s="724"/>
      <c r="AK29" s="724"/>
      <c r="AL29" s="724"/>
      <c r="AM29" s="724"/>
      <c r="AN29" s="724"/>
      <c r="AO29" s="724"/>
      <c r="AP29" s="724"/>
      <c r="AQ29" s="724"/>
      <c r="AR29" s="724"/>
      <c r="AS29" s="724"/>
      <c r="AT29" s="724"/>
      <c r="AU29" s="724"/>
      <c r="AV29" s="724"/>
      <c r="AW29" s="724"/>
      <c r="AX29" s="724"/>
      <c r="AY29" s="724"/>
      <c r="AZ29" s="724"/>
      <c r="BA29" s="724"/>
      <c r="BB29" s="724"/>
      <c r="BC29" s="724"/>
      <c r="BD29" s="724"/>
      <c r="BE29" s="724"/>
      <c r="BF29" s="724"/>
      <c r="BG29" s="724"/>
      <c r="BH29" s="724"/>
      <c r="BI29" s="724"/>
      <c r="BJ29" s="724"/>
      <c r="BK29" s="724"/>
      <c r="BL29" s="724"/>
      <c r="BM29" s="724"/>
    </row>
    <row r="30" spans="2:65">
      <c r="B30" s="459"/>
      <c r="C30" s="461"/>
      <c r="D30" s="724"/>
      <c r="E30" s="724"/>
      <c r="F30" s="724"/>
      <c r="G30" s="724"/>
      <c r="H30" s="724"/>
      <c r="I30" s="724"/>
      <c r="J30" s="724"/>
      <c r="K30" s="459"/>
      <c r="L30" s="459"/>
      <c r="M30" s="459"/>
      <c r="N30" s="459"/>
      <c r="O30" s="459"/>
      <c r="P30" s="459"/>
      <c r="Q30" s="459"/>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row>
    <row r="31" spans="2:65" s="459" customFormat="1">
      <c r="C31" s="461"/>
      <c r="D31" s="724"/>
      <c r="E31" s="724"/>
      <c r="F31" s="724"/>
      <c r="G31" s="724"/>
      <c r="H31" s="724"/>
      <c r="I31" s="724"/>
      <c r="J31" s="724"/>
      <c r="AF31" s="724"/>
      <c r="AG31" s="724"/>
      <c r="AH31" s="724"/>
      <c r="AI31" s="724"/>
      <c r="AJ31" s="724"/>
      <c r="AK31" s="724"/>
      <c r="AL31" s="724"/>
      <c r="AM31" s="724"/>
      <c r="AN31" s="724"/>
      <c r="AO31" s="724"/>
      <c r="AP31" s="724"/>
      <c r="AQ31" s="724"/>
      <c r="AR31" s="724"/>
      <c r="AS31" s="724"/>
      <c r="AT31" s="724"/>
      <c r="AU31" s="724"/>
      <c r="AV31" s="724"/>
      <c r="AW31" s="724"/>
      <c r="AX31" s="724"/>
      <c r="AY31" s="724"/>
      <c r="AZ31" s="724"/>
      <c r="BA31" s="724"/>
      <c r="BB31" s="724"/>
      <c r="BC31" s="724"/>
      <c r="BD31" s="724"/>
      <c r="BE31" s="724"/>
      <c r="BF31" s="724"/>
      <c r="BG31" s="724"/>
      <c r="BH31" s="724"/>
      <c r="BI31" s="724"/>
      <c r="BJ31" s="724"/>
      <c r="BK31" s="724"/>
      <c r="BL31" s="724"/>
      <c r="BM31" s="724"/>
    </row>
    <row r="32" spans="2:65">
      <c r="B32" s="459"/>
      <c r="C32" s="134"/>
      <c r="D32" s="459"/>
      <c r="E32" s="459"/>
      <c r="F32" s="459"/>
      <c r="G32" s="459"/>
      <c r="H32" s="459"/>
      <c r="I32" s="459"/>
      <c r="J32" s="459"/>
      <c r="K32" s="459"/>
      <c r="L32" s="459"/>
      <c r="M32" s="459"/>
      <c r="N32" s="459"/>
      <c r="O32" s="459"/>
      <c r="P32" s="459"/>
      <c r="Q32" s="459"/>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row>
    <row r="34" spans="2:65" ht="15.75" thickBot="1">
      <c r="B34" s="41" t="s">
        <v>70</v>
      </c>
      <c r="C34" s="41" t="s">
        <v>101</v>
      </c>
      <c r="D34" s="460" t="str">
        <f t="shared" ref="D34:AD34" si="21">D3</f>
        <v>IE</v>
      </c>
      <c r="E34" s="460" t="str">
        <f t="shared" si="21"/>
        <v>IE-CW</v>
      </c>
      <c r="F34" s="460" t="str">
        <f t="shared" si="21"/>
        <v>IE-D</v>
      </c>
      <c r="G34" s="460" t="str">
        <f t="shared" si="21"/>
        <v>IE-KE</v>
      </c>
      <c r="H34" s="460" t="str">
        <f t="shared" si="21"/>
        <v>IE-KK</v>
      </c>
      <c r="I34" s="460" t="str">
        <f t="shared" si="21"/>
        <v>IE-LS</v>
      </c>
      <c r="J34" s="460" t="str">
        <f t="shared" si="21"/>
        <v>IE-LD</v>
      </c>
      <c r="K34" s="460" t="str">
        <f t="shared" si="21"/>
        <v>IE-LH</v>
      </c>
      <c r="L34" s="460" t="str">
        <f t="shared" si="21"/>
        <v>IE-MH</v>
      </c>
      <c r="M34" s="460" t="str">
        <f t="shared" si="21"/>
        <v>IE-OY</v>
      </c>
      <c r="N34" s="460" t="str">
        <f t="shared" si="21"/>
        <v>IE-WH</v>
      </c>
      <c r="O34" s="460" t="str">
        <f t="shared" si="21"/>
        <v>IE-WX</v>
      </c>
      <c r="P34" s="460" t="str">
        <f t="shared" si="21"/>
        <v>IE-WW</v>
      </c>
      <c r="Q34" s="460" t="str">
        <f t="shared" si="21"/>
        <v>IE-CE</v>
      </c>
      <c r="R34" s="460" t="str">
        <f t="shared" si="21"/>
        <v>IE-CO</v>
      </c>
      <c r="S34" s="460" t="str">
        <f t="shared" si="21"/>
        <v>IE-KY</v>
      </c>
      <c r="T34" s="460" t="str">
        <f t="shared" si="21"/>
        <v>IE-LK</v>
      </c>
      <c r="U34" s="460" t="str">
        <f t="shared" si="21"/>
        <v>IE-TA</v>
      </c>
      <c r="V34" s="460" t="str">
        <f t="shared" si="21"/>
        <v>IE-WD</v>
      </c>
      <c r="W34" s="460" t="str">
        <f t="shared" si="21"/>
        <v>IE-G</v>
      </c>
      <c r="X34" s="460" t="str">
        <f t="shared" si="21"/>
        <v>IE-LM</v>
      </c>
      <c r="Y34" s="460" t="str">
        <f t="shared" si="21"/>
        <v>IE-MO</v>
      </c>
      <c r="Z34" s="460" t="str">
        <f t="shared" si="21"/>
        <v>IE-RN</v>
      </c>
      <c r="AA34" s="460" t="str">
        <f t="shared" si="21"/>
        <v>IE-SO</v>
      </c>
      <c r="AB34" s="460" t="str">
        <f t="shared" si="21"/>
        <v>IE-CN</v>
      </c>
      <c r="AC34" s="460" t="str">
        <f t="shared" si="21"/>
        <v>IE-DL</v>
      </c>
      <c r="AD34" s="460" t="str">
        <f t="shared" si="21"/>
        <v>IE-MN</v>
      </c>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row>
    <row r="35" spans="2:65" s="459" customFormat="1">
      <c r="B35" s="459" t="str">
        <f>Commodities!K8</f>
        <v>TWLK_WLK</v>
      </c>
      <c r="C35" s="459" t="s">
        <v>584</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row>
    <row r="36" spans="2:65" s="459" customFormat="1">
      <c r="B36" s="459" t="str">
        <f>Commodities!K9</f>
        <v>TCYC_CYC</v>
      </c>
      <c r="C36" s="459" t="s">
        <v>584</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row>
    <row r="37" spans="2:65">
      <c r="B37" s="459" t="str">
        <f>Commodities!K11</f>
        <v>TMOT_GSL_00</v>
      </c>
      <c r="C37" s="459" t="s">
        <v>584</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584</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584</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584</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584</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584</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584</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584</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917</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75" thickBot="1">
      <c r="B68" s="41" t="s">
        <v>70</v>
      </c>
      <c r="C68" s="41" t="s">
        <v>96</v>
      </c>
      <c r="D68" s="41" t="str">
        <f t="shared" ref="D68:AD68" si="22">D3</f>
        <v>IE</v>
      </c>
      <c r="E68" s="41" t="str">
        <f t="shared" si="22"/>
        <v>IE-CW</v>
      </c>
      <c r="F68" s="41" t="str">
        <f t="shared" si="22"/>
        <v>IE-D</v>
      </c>
      <c r="G68" s="41" t="str">
        <f t="shared" si="22"/>
        <v>IE-KE</v>
      </c>
      <c r="H68" s="41" t="str">
        <f t="shared" si="22"/>
        <v>IE-KK</v>
      </c>
      <c r="I68" s="41" t="str">
        <f t="shared" si="22"/>
        <v>IE-LS</v>
      </c>
      <c r="J68" s="41" t="str">
        <f t="shared" si="22"/>
        <v>IE-LD</v>
      </c>
      <c r="K68" s="41" t="str">
        <f t="shared" si="22"/>
        <v>IE-LH</v>
      </c>
      <c r="L68" s="41" t="str">
        <f t="shared" si="22"/>
        <v>IE-MH</v>
      </c>
      <c r="M68" s="41" t="str">
        <f t="shared" si="22"/>
        <v>IE-OY</v>
      </c>
      <c r="N68" s="41" t="str">
        <f t="shared" si="22"/>
        <v>IE-WH</v>
      </c>
      <c r="O68" s="41" t="str">
        <f t="shared" si="22"/>
        <v>IE-WX</v>
      </c>
      <c r="P68" s="41" t="str">
        <f t="shared" si="22"/>
        <v>IE-WW</v>
      </c>
      <c r="Q68" s="41" t="str">
        <f t="shared" si="22"/>
        <v>IE-CE</v>
      </c>
      <c r="R68" s="41" t="str">
        <f t="shared" si="22"/>
        <v>IE-CO</v>
      </c>
      <c r="S68" s="41" t="str">
        <f t="shared" si="22"/>
        <v>IE-KY</v>
      </c>
      <c r="T68" s="41" t="str">
        <f t="shared" si="22"/>
        <v>IE-LK</v>
      </c>
      <c r="U68" s="41" t="str">
        <f t="shared" si="22"/>
        <v>IE-TA</v>
      </c>
      <c r="V68" s="41" t="str">
        <f t="shared" si="22"/>
        <v>IE-WD</v>
      </c>
      <c r="W68" s="41" t="str">
        <f t="shared" si="22"/>
        <v>IE-G</v>
      </c>
      <c r="X68" s="41" t="str">
        <f t="shared" si="22"/>
        <v>IE-LM</v>
      </c>
      <c r="Y68" s="41" t="str">
        <f t="shared" si="22"/>
        <v>IE-MO</v>
      </c>
      <c r="Z68" s="41" t="str">
        <f t="shared" si="22"/>
        <v>IE-RN</v>
      </c>
      <c r="AA68" s="41" t="str">
        <f t="shared" si="22"/>
        <v>IE-SO</v>
      </c>
      <c r="AB68" s="41" t="str">
        <f t="shared" si="22"/>
        <v>IE-CN</v>
      </c>
      <c r="AC68" s="41" t="str">
        <f t="shared" si="22"/>
        <v>IE-DL</v>
      </c>
      <c r="AD68" s="41" t="str">
        <f t="shared" si="22"/>
        <v>IE-MN</v>
      </c>
      <c r="AE68" s="459" t="s">
        <v>585</v>
      </c>
      <c r="AG68" s="459"/>
    </row>
    <row r="69" spans="2:33">
      <c r="B69" s="459" t="str">
        <f t="shared" ref="B69:B88" si="23">B6</f>
        <v>TMOT_GSL_00</v>
      </c>
      <c r="C69" s="459" t="s">
        <v>854</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586</v>
      </c>
      <c r="AG69" s="459"/>
    </row>
    <row r="70" spans="2:33">
      <c r="B70" s="459" t="str">
        <f t="shared" si="23"/>
        <v>TCAR_ICE_GSL_00</v>
      </c>
      <c r="C70" s="459" t="s">
        <v>854</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501</v>
      </c>
      <c r="AG70" s="459"/>
    </row>
    <row r="71" spans="2:33">
      <c r="B71" s="459" t="str">
        <f t="shared" si="23"/>
        <v>TCAR_ICE_DST_00</v>
      </c>
      <c r="C71" s="459" t="s">
        <v>854</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501</v>
      </c>
      <c r="AG71" s="459"/>
    </row>
    <row r="72" spans="2:33">
      <c r="B72" s="459" t="str">
        <f t="shared" si="23"/>
        <v>TCAR_ICE_DF_00</v>
      </c>
      <c r="C72" s="459" t="s">
        <v>854</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501</v>
      </c>
      <c r="AG72" s="459"/>
    </row>
    <row r="73" spans="2:33">
      <c r="B73" s="459" t="str">
        <f t="shared" si="23"/>
        <v>TCAR_ICE_E85_00</v>
      </c>
      <c r="C73" s="459" t="s">
        <v>854</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501</v>
      </c>
      <c r="AG73" s="459"/>
    </row>
    <row r="74" spans="2:33">
      <c r="B74" s="459" t="str">
        <f t="shared" si="23"/>
        <v>TCAR_HEV_GSL_00</v>
      </c>
      <c r="C74" s="459" t="s">
        <v>854</v>
      </c>
      <c r="D74" s="5">
        <f>D70</f>
        <v>12.817</v>
      </c>
      <c r="E74" s="5">
        <f t="shared" ref="E74:AD74" si="24">E70</f>
        <v>13.538</v>
      </c>
      <c r="F74" s="5">
        <f t="shared" si="24"/>
        <v>11.021000000000001</v>
      </c>
      <c r="G74" s="5">
        <f t="shared" si="24"/>
        <v>13.529</v>
      </c>
      <c r="H74" s="5">
        <f t="shared" si="24"/>
        <v>13.763999999999999</v>
      </c>
      <c r="I74" s="5">
        <f t="shared" si="24"/>
        <v>14.083</v>
      </c>
      <c r="J74" s="5">
        <f t="shared" si="24"/>
        <v>14.022</v>
      </c>
      <c r="K74" s="5">
        <f t="shared" si="24"/>
        <v>13.183</v>
      </c>
      <c r="L74" s="5">
        <f t="shared" si="24"/>
        <v>13.941000000000001</v>
      </c>
      <c r="M74" s="5">
        <f t="shared" si="24"/>
        <v>14.13</v>
      </c>
      <c r="N74" s="5">
        <f t="shared" si="24"/>
        <v>13.906000000000001</v>
      </c>
      <c r="O74" s="5">
        <f t="shared" si="24"/>
        <v>13.939</v>
      </c>
      <c r="P74" s="5">
        <f t="shared" si="24"/>
        <v>13.411</v>
      </c>
      <c r="Q74" s="5">
        <f t="shared" si="24"/>
        <v>14.196999999999999</v>
      </c>
      <c r="R74" s="5">
        <f t="shared" si="24"/>
        <v>13.069000000000001</v>
      </c>
      <c r="S74" s="5">
        <f t="shared" si="24"/>
        <v>13.894</v>
      </c>
      <c r="T74" s="5">
        <f t="shared" si="24"/>
        <v>13.465999999999999</v>
      </c>
      <c r="U74" s="5">
        <f t="shared" si="24"/>
        <v>14.237</v>
      </c>
      <c r="V74" s="5">
        <f t="shared" si="24"/>
        <v>13.135999999999999</v>
      </c>
      <c r="W74" s="5">
        <f t="shared" si="24"/>
        <v>13.557</v>
      </c>
      <c r="X74" s="5">
        <f t="shared" si="24"/>
        <v>14.583</v>
      </c>
      <c r="Y74" s="5">
        <f t="shared" si="24"/>
        <v>13.987</v>
      </c>
      <c r="Z74" s="5">
        <f t="shared" si="24"/>
        <v>15.377000000000001</v>
      </c>
      <c r="AA74" s="5">
        <f t="shared" si="24"/>
        <v>13.425000000000001</v>
      </c>
      <c r="AB74" s="5">
        <f t="shared" si="24"/>
        <v>14.218</v>
      </c>
      <c r="AC74" s="5">
        <f t="shared" si="24"/>
        <v>13.877000000000001</v>
      </c>
      <c r="AD74" s="5">
        <f t="shared" si="24"/>
        <v>13.781000000000001</v>
      </c>
      <c r="AE74" s="459" t="s">
        <v>501</v>
      </c>
      <c r="AG74" s="459"/>
    </row>
    <row r="75" spans="2:33">
      <c r="B75" s="459" t="str">
        <f t="shared" si="23"/>
        <v>TCAR_HEV_DST_00</v>
      </c>
      <c r="C75" s="459" t="s">
        <v>854</v>
      </c>
      <c r="D75" s="5">
        <f>D71</f>
        <v>20.617000000000001</v>
      </c>
      <c r="E75" s="5">
        <f t="shared" ref="E75:AD75" si="25">E71</f>
        <v>21.731000000000002</v>
      </c>
      <c r="F75" s="5">
        <f t="shared" si="25"/>
        <v>18.106000000000002</v>
      </c>
      <c r="G75" s="5">
        <f t="shared" si="25"/>
        <v>20.908999999999999</v>
      </c>
      <c r="H75" s="5">
        <f t="shared" si="25"/>
        <v>21.75</v>
      </c>
      <c r="I75" s="5">
        <f t="shared" si="25"/>
        <v>22.298999999999999</v>
      </c>
      <c r="J75" s="5">
        <f t="shared" si="25"/>
        <v>22.722999999999999</v>
      </c>
      <c r="K75" s="5">
        <f t="shared" si="25"/>
        <v>20.613</v>
      </c>
      <c r="L75" s="5">
        <f t="shared" si="25"/>
        <v>21.196999999999999</v>
      </c>
      <c r="M75" s="5">
        <f t="shared" si="25"/>
        <v>22.055</v>
      </c>
      <c r="N75" s="5">
        <f t="shared" si="25"/>
        <v>22.035</v>
      </c>
      <c r="O75" s="5">
        <f t="shared" si="25"/>
        <v>21.408000000000001</v>
      </c>
      <c r="P75" s="5">
        <f t="shared" si="25"/>
        <v>20.399999999999999</v>
      </c>
      <c r="Q75" s="5">
        <f t="shared" si="25"/>
        <v>22.021000000000001</v>
      </c>
      <c r="R75" s="5">
        <f t="shared" si="25"/>
        <v>20.07</v>
      </c>
      <c r="S75" s="5">
        <f t="shared" si="25"/>
        <v>20.986000000000001</v>
      </c>
      <c r="T75" s="5">
        <f t="shared" si="25"/>
        <v>21.373999999999999</v>
      </c>
      <c r="U75" s="5">
        <f t="shared" si="25"/>
        <v>22.268999999999998</v>
      </c>
      <c r="V75" s="5">
        <f t="shared" si="25"/>
        <v>20.774999999999999</v>
      </c>
      <c r="W75" s="5">
        <f t="shared" si="25"/>
        <v>21.388000000000002</v>
      </c>
      <c r="X75" s="5">
        <f t="shared" si="25"/>
        <v>22.28</v>
      </c>
      <c r="Y75" s="5">
        <f t="shared" si="25"/>
        <v>21.443000000000001</v>
      </c>
      <c r="Z75" s="5">
        <f t="shared" si="25"/>
        <v>23.317</v>
      </c>
      <c r="AA75" s="5">
        <f t="shared" si="25"/>
        <v>21.324000000000002</v>
      </c>
      <c r="AB75" s="5">
        <f t="shared" si="25"/>
        <v>21.887</v>
      </c>
      <c r="AC75" s="5">
        <f t="shared" si="25"/>
        <v>20.55</v>
      </c>
      <c r="AD75" s="5">
        <f t="shared" si="25"/>
        <v>21.584</v>
      </c>
      <c r="AE75" s="459" t="s">
        <v>501</v>
      </c>
      <c r="AG75" s="459"/>
    </row>
    <row r="76" spans="2:33">
      <c r="B76" s="459" t="str">
        <f t="shared" si="23"/>
        <v>TCAR_PHEV_GSL_00</v>
      </c>
      <c r="C76" s="459" t="s">
        <v>854</v>
      </c>
      <c r="D76" s="5">
        <f t="shared" ref="D76:AD76" si="26">D74</f>
        <v>12.817</v>
      </c>
      <c r="E76" s="5">
        <f t="shared" si="26"/>
        <v>13.538</v>
      </c>
      <c r="F76" s="5">
        <f t="shared" si="26"/>
        <v>11.021000000000001</v>
      </c>
      <c r="G76" s="5">
        <f t="shared" si="26"/>
        <v>13.529</v>
      </c>
      <c r="H76" s="5">
        <f t="shared" si="26"/>
        <v>13.763999999999999</v>
      </c>
      <c r="I76" s="5">
        <f t="shared" si="26"/>
        <v>14.083</v>
      </c>
      <c r="J76" s="5">
        <f t="shared" si="26"/>
        <v>14.022</v>
      </c>
      <c r="K76" s="5">
        <f t="shared" si="26"/>
        <v>13.183</v>
      </c>
      <c r="L76" s="5">
        <f t="shared" si="26"/>
        <v>13.941000000000001</v>
      </c>
      <c r="M76" s="5">
        <f t="shared" si="26"/>
        <v>14.13</v>
      </c>
      <c r="N76" s="5">
        <f t="shared" si="26"/>
        <v>13.906000000000001</v>
      </c>
      <c r="O76" s="5">
        <f t="shared" si="26"/>
        <v>13.939</v>
      </c>
      <c r="P76" s="5">
        <f t="shared" si="26"/>
        <v>13.411</v>
      </c>
      <c r="Q76" s="5">
        <f t="shared" si="26"/>
        <v>14.196999999999999</v>
      </c>
      <c r="R76" s="5">
        <f t="shared" si="26"/>
        <v>13.069000000000001</v>
      </c>
      <c r="S76" s="5">
        <f t="shared" si="26"/>
        <v>13.894</v>
      </c>
      <c r="T76" s="5">
        <f t="shared" si="26"/>
        <v>13.465999999999999</v>
      </c>
      <c r="U76" s="5">
        <f t="shared" si="26"/>
        <v>14.237</v>
      </c>
      <c r="V76" s="5">
        <f t="shared" si="26"/>
        <v>13.135999999999999</v>
      </c>
      <c r="W76" s="5">
        <f t="shared" si="26"/>
        <v>13.557</v>
      </c>
      <c r="X76" s="5">
        <f t="shared" si="26"/>
        <v>14.583</v>
      </c>
      <c r="Y76" s="5">
        <f t="shared" si="26"/>
        <v>13.987</v>
      </c>
      <c r="Z76" s="5">
        <f t="shared" si="26"/>
        <v>15.377000000000001</v>
      </c>
      <c r="AA76" s="5">
        <f t="shared" si="26"/>
        <v>13.425000000000001</v>
      </c>
      <c r="AB76" s="5">
        <f t="shared" si="26"/>
        <v>14.218</v>
      </c>
      <c r="AC76" s="5">
        <f t="shared" si="26"/>
        <v>13.877000000000001</v>
      </c>
      <c r="AD76" s="5">
        <f t="shared" si="26"/>
        <v>13.781000000000001</v>
      </c>
      <c r="AE76" s="459" t="s">
        <v>501</v>
      </c>
      <c r="AG76" s="459"/>
    </row>
    <row r="77" spans="2:33">
      <c r="B77" s="459" t="str">
        <f t="shared" si="23"/>
        <v>TCAR_PHEV_DST_00</v>
      </c>
      <c r="C77" s="459" t="s">
        <v>854</v>
      </c>
      <c r="D77" s="5">
        <f>D71</f>
        <v>20.617000000000001</v>
      </c>
      <c r="E77" s="5">
        <f t="shared" ref="E77:AD77" si="27">E71</f>
        <v>21.731000000000002</v>
      </c>
      <c r="F77" s="5">
        <f t="shared" si="27"/>
        <v>18.106000000000002</v>
      </c>
      <c r="G77" s="5">
        <f t="shared" si="27"/>
        <v>20.908999999999999</v>
      </c>
      <c r="H77" s="5">
        <f t="shared" si="27"/>
        <v>21.75</v>
      </c>
      <c r="I77" s="5">
        <f t="shared" si="27"/>
        <v>22.298999999999999</v>
      </c>
      <c r="J77" s="5">
        <f t="shared" si="27"/>
        <v>22.722999999999999</v>
      </c>
      <c r="K77" s="5">
        <f t="shared" si="27"/>
        <v>20.613</v>
      </c>
      <c r="L77" s="5">
        <f t="shared" si="27"/>
        <v>21.196999999999999</v>
      </c>
      <c r="M77" s="5">
        <f t="shared" si="27"/>
        <v>22.055</v>
      </c>
      <c r="N77" s="5">
        <f t="shared" si="27"/>
        <v>22.035</v>
      </c>
      <c r="O77" s="5">
        <f t="shared" si="27"/>
        <v>21.408000000000001</v>
      </c>
      <c r="P77" s="5">
        <f t="shared" si="27"/>
        <v>20.399999999999999</v>
      </c>
      <c r="Q77" s="5">
        <f t="shared" si="27"/>
        <v>22.021000000000001</v>
      </c>
      <c r="R77" s="5">
        <f t="shared" si="27"/>
        <v>20.07</v>
      </c>
      <c r="S77" s="5">
        <f t="shared" si="27"/>
        <v>20.986000000000001</v>
      </c>
      <c r="T77" s="5">
        <f t="shared" si="27"/>
        <v>21.373999999999999</v>
      </c>
      <c r="U77" s="5">
        <f t="shared" si="27"/>
        <v>22.268999999999998</v>
      </c>
      <c r="V77" s="5">
        <f t="shared" si="27"/>
        <v>20.774999999999999</v>
      </c>
      <c r="W77" s="5">
        <f t="shared" si="27"/>
        <v>21.388000000000002</v>
      </c>
      <c r="X77" s="5">
        <f t="shared" si="27"/>
        <v>22.28</v>
      </c>
      <c r="Y77" s="5">
        <f t="shared" si="27"/>
        <v>21.443000000000001</v>
      </c>
      <c r="Z77" s="5">
        <f t="shared" si="27"/>
        <v>23.317</v>
      </c>
      <c r="AA77" s="5">
        <f t="shared" si="27"/>
        <v>21.324000000000002</v>
      </c>
      <c r="AB77" s="5">
        <f t="shared" si="27"/>
        <v>21.887</v>
      </c>
      <c r="AC77" s="5">
        <f t="shared" si="27"/>
        <v>20.55</v>
      </c>
      <c r="AD77" s="5">
        <f t="shared" si="27"/>
        <v>21.584</v>
      </c>
      <c r="AE77" s="459" t="s">
        <v>501</v>
      </c>
      <c r="AG77" s="459"/>
    </row>
    <row r="78" spans="2:33">
      <c r="B78" s="459" t="str">
        <f t="shared" si="23"/>
        <v>TCAR_BEV_00</v>
      </c>
      <c r="C78" s="459" t="s">
        <v>854</v>
      </c>
      <c r="D78" s="5">
        <f>D73</f>
        <v>13.444000000000001</v>
      </c>
      <c r="E78" s="5">
        <f t="shared" ref="E78:AD78" si="28">E73</f>
        <v>14.090999999999999</v>
      </c>
      <c r="F78" s="5">
        <f t="shared" si="28"/>
        <v>12.847</v>
      </c>
      <c r="G78" s="5">
        <f t="shared" si="28"/>
        <v>13.913</v>
      </c>
      <c r="H78" s="5">
        <f t="shared" si="28"/>
        <v>14.358000000000001</v>
      </c>
      <c r="I78" s="5">
        <f t="shared" si="28"/>
        <v>14.586</v>
      </c>
      <c r="J78" s="5">
        <f t="shared" si="28"/>
        <v>14.004</v>
      </c>
      <c r="K78" s="5">
        <f t="shared" si="28"/>
        <v>13.414</v>
      </c>
      <c r="L78" s="5">
        <f t="shared" si="28"/>
        <v>14.103</v>
      </c>
      <c r="M78" s="5">
        <f t="shared" si="28"/>
        <v>14.503</v>
      </c>
      <c r="N78" s="5">
        <f t="shared" si="28"/>
        <v>14.009</v>
      </c>
      <c r="O78" s="5">
        <f t="shared" si="28"/>
        <v>14.132</v>
      </c>
      <c r="P78" s="5">
        <f t="shared" si="28"/>
        <v>13.914999999999999</v>
      </c>
      <c r="Q78" s="5">
        <f t="shared" si="28"/>
        <v>14.077999999999999</v>
      </c>
      <c r="R78" s="5">
        <f t="shared" si="28"/>
        <v>13.355</v>
      </c>
      <c r="S78" s="5">
        <f t="shared" si="28"/>
        <v>13.78</v>
      </c>
      <c r="T78" s="5">
        <f t="shared" si="28"/>
        <v>13.922000000000001</v>
      </c>
      <c r="U78" s="5">
        <f t="shared" si="28"/>
        <v>13.884</v>
      </c>
      <c r="V78" s="5">
        <f t="shared" si="28"/>
        <v>13.941000000000001</v>
      </c>
      <c r="W78" s="5">
        <f t="shared" si="28"/>
        <v>13.930999999999999</v>
      </c>
      <c r="X78" s="5">
        <f t="shared" si="28"/>
        <v>14.143000000000001</v>
      </c>
      <c r="Y78" s="5">
        <f t="shared" si="28"/>
        <v>14.191000000000001</v>
      </c>
      <c r="Z78" s="5">
        <f t="shared" si="28"/>
        <v>14.154</v>
      </c>
      <c r="AA78" s="5">
        <f t="shared" si="28"/>
        <v>13.852</v>
      </c>
      <c r="AB78" s="5">
        <f t="shared" si="28"/>
        <v>14.061999999999999</v>
      </c>
      <c r="AC78" s="5">
        <f t="shared" si="28"/>
        <v>14.304</v>
      </c>
      <c r="AD78" s="5">
        <f t="shared" si="28"/>
        <v>13.791</v>
      </c>
      <c r="AE78" s="459" t="s">
        <v>501</v>
      </c>
      <c r="AG78" s="459"/>
    </row>
    <row r="79" spans="2:33">
      <c r="B79" s="459" t="str">
        <f t="shared" si="23"/>
        <v>TTAXI_ICE_GSL_00</v>
      </c>
      <c r="C79" s="459" t="s">
        <v>854</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587</v>
      </c>
      <c r="AG79" s="459"/>
    </row>
    <row r="80" spans="2:33">
      <c r="B80" s="459" t="str">
        <f t="shared" si="23"/>
        <v>TTAXI_ICE_DST_00</v>
      </c>
      <c r="C80" s="459" t="s">
        <v>854</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587</v>
      </c>
      <c r="AG80" s="459"/>
    </row>
    <row r="81" spans="2:33">
      <c r="B81" s="459" t="str">
        <f t="shared" si="23"/>
        <v>TTAXI_HEV_GSL_00</v>
      </c>
      <c r="C81" s="459" t="s">
        <v>854</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587</v>
      </c>
      <c r="AG81" s="459"/>
    </row>
    <row r="82" spans="2:33">
      <c r="B82" s="459" t="str">
        <f t="shared" si="23"/>
        <v>TBUS_ICE_DST_00</v>
      </c>
      <c r="C82" s="459" t="s">
        <v>854</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624</v>
      </c>
      <c r="AG82" s="459"/>
    </row>
    <row r="83" spans="2:33">
      <c r="B83" s="459" t="str">
        <f t="shared" si="23"/>
        <v>TLRAIL_ELC_00</v>
      </c>
      <c r="C83" s="459" t="s">
        <v>854</v>
      </c>
      <c r="D83" s="729">
        <v>55.691000000000003</v>
      </c>
      <c r="E83" s="5">
        <f>D83</f>
        <v>55.691000000000003</v>
      </c>
      <c r="F83" s="5">
        <f t="shared" ref="F83:F85" si="29">E83</f>
        <v>55.691000000000003</v>
      </c>
      <c r="G83" s="5">
        <f t="shared" ref="G83:G85" si="30">F83</f>
        <v>55.691000000000003</v>
      </c>
      <c r="H83" s="5">
        <f t="shared" ref="H83:H85" si="31">G83</f>
        <v>55.691000000000003</v>
      </c>
      <c r="I83" s="5">
        <f t="shared" ref="I83:I85" si="32">H83</f>
        <v>55.691000000000003</v>
      </c>
      <c r="J83" s="5">
        <f t="shared" ref="J83:J85" si="33">I83</f>
        <v>55.691000000000003</v>
      </c>
      <c r="K83" s="5">
        <f t="shared" ref="K83:K85" si="34">J83</f>
        <v>55.691000000000003</v>
      </c>
      <c r="L83" s="5">
        <f t="shared" ref="L83:L85" si="35">K83</f>
        <v>55.691000000000003</v>
      </c>
      <c r="M83" s="5">
        <f t="shared" ref="M83:M85" si="36">L83</f>
        <v>55.691000000000003</v>
      </c>
      <c r="N83" s="5">
        <f t="shared" ref="N83:N85" si="37">M83</f>
        <v>55.691000000000003</v>
      </c>
      <c r="O83" s="5">
        <f t="shared" ref="O83:O85" si="38">N83</f>
        <v>55.691000000000003</v>
      </c>
      <c r="P83" s="5">
        <f t="shared" ref="P83:P85" si="39">O83</f>
        <v>55.691000000000003</v>
      </c>
      <c r="Q83" s="5">
        <f t="shared" ref="Q83:Q85" si="40">P83</f>
        <v>55.691000000000003</v>
      </c>
      <c r="R83" s="5">
        <f t="shared" ref="R83:R85" si="41">Q83</f>
        <v>55.691000000000003</v>
      </c>
      <c r="S83" s="5">
        <f t="shared" ref="S83:S85" si="42">R83</f>
        <v>55.691000000000003</v>
      </c>
      <c r="T83" s="5">
        <f t="shared" ref="T83:T85" si="43">S83</f>
        <v>55.691000000000003</v>
      </c>
      <c r="U83" s="5">
        <f t="shared" ref="U83:U85" si="44">T83</f>
        <v>55.691000000000003</v>
      </c>
      <c r="V83" s="5">
        <f t="shared" ref="V83:V85" si="45">U83</f>
        <v>55.691000000000003</v>
      </c>
      <c r="W83" s="5">
        <f t="shared" ref="W83:W85" si="46">V83</f>
        <v>55.691000000000003</v>
      </c>
      <c r="X83" s="5">
        <f t="shared" ref="X83:X85" si="47">W83</f>
        <v>55.691000000000003</v>
      </c>
      <c r="Y83" s="5">
        <f t="shared" ref="Y83:Y85" si="48">X83</f>
        <v>55.691000000000003</v>
      </c>
      <c r="Z83" s="5">
        <f t="shared" ref="Z83:Z85" si="49">Y83</f>
        <v>55.691000000000003</v>
      </c>
      <c r="AA83" s="5">
        <f t="shared" ref="AA83:AA85" si="50">Z83</f>
        <v>55.691000000000003</v>
      </c>
      <c r="AB83" s="5">
        <f t="shared" ref="AB83:AB85" si="51">AA83</f>
        <v>55.691000000000003</v>
      </c>
      <c r="AC83" s="5">
        <f t="shared" ref="AC83:AC85" si="52">AB83</f>
        <v>55.691000000000003</v>
      </c>
      <c r="AD83" s="5">
        <f t="shared" ref="AD83:AD85" si="53">AC83</f>
        <v>55.691000000000003</v>
      </c>
      <c r="AE83" s="461" t="s">
        <v>642</v>
      </c>
      <c r="AG83" s="459"/>
    </row>
    <row r="84" spans="2:33">
      <c r="B84" s="459" t="str">
        <f t="shared" si="23"/>
        <v>THRAIL_ELC_00</v>
      </c>
      <c r="C84" s="459" t="s">
        <v>854</v>
      </c>
      <c r="D84" s="729">
        <v>158.476</v>
      </c>
      <c r="E84" s="5">
        <f t="shared" ref="E84:E85" si="54">D84</f>
        <v>158.476</v>
      </c>
      <c r="F84" s="5">
        <f t="shared" si="29"/>
        <v>158.476</v>
      </c>
      <c r="G84" s="5">
        <f t="shared" si="30"/>
        <v>158.476</v>
      </c>
      <c r="H84" s="5">
        <f t="shared" si="31"/>
        <v>158.476</v>
      </c>
      <c r="I84" s="5">
        <f t="shared" si="32"/>
        <v>158.476</v>
      </c>
      <c r="J84" s="5">
        <f t="shared" si="33"/>
        <v>158.476</v>
      </c>
      <c r="K84" s="5">
        <f t="shared" si="34"/>
        <v>158.476</v>
      </c>
      <c r="L84" s="5">
        <f t="shared" si="35"/>
        <v>158.476</v>
      </c>
      <c r="M84" s="5">
        <f t="shared" si="36"/>
        <v>158.476</v>
      </c>
      <c r="N84" s="5">
        <f t="shared" si="37"/>
        <v>158.476</v>
      </c>
      <c r="O84" s="5">
        <f t="shared" si="38"/>
        <v>158.476</v>
      </c>
      <c r="P84" s="5">
        <f t="shared" si="39"/>
        <v>158.476</v>
      </c>
      <c r="Q84" s="5">
        <f t="shared" si="40"/>
        <v>158.476</v>
      </c>
      <c r="R84" s="5">
        <f t="shared" si="41"/>
        <v>158.476</v>
      </c>
      <c r="S84" s="5">
        <f t="shared" si="42"/>
        <v>158.476</v>
      </c>
      <c r="T84" s="5">
        <f t="shared" si="43"/>
        <v>158.476</v>
      </c>
      <c r="U84" s="5">
        <f t="shared" si="44"/>
        <v>158.476</v>
      </c>
      <c r="V84" s="5">
        <f t="shared" si="45"/>
        <v>158.476</v>
      </c>
      <c r="W84" s="5">
        <f t="shared" si="46"/>
        <v>158.476</v>
      </c>
      <c r="X84" s="5">
        <f t="shared" si="47"/>
        <v>158.476</v>
      </c>
      <c r="Y84" s="5">
        <f t="shared" si="48"/>
        <v>158.476</v>
      </c>
      <c r="Z84" s="5">
        <f t="shared" si="49"/>
        <v>158.476</v>
      </c>
      <c r="AA84" s="5">
        <f t="shared" si="50"/>
        <v>158.476</v>
      </c>
      <c r="AB84" s="5">
        <f t="shared" si="51"/>
        <v>158.476</v>
      </c>
      <c r="AC84" s="5">
        <f t="shared" si="52"/>
        <v>158.476</v>
      </c>
      <c r="AD84" s="5">
        <f t="shared" si="53"/>
        <v>158.476</v>
      </c>
      <c r="AE84" s="461" t="s">
        <v>642</v>
      </c>
      <c r="AG84" s="459"/>
    </row>
    <row r="85" spans="2:33">
      <c r="B85" s="459" t="str">
        <f t="shared" si="23"/>
        <v>THRAIL_DST_00</v>
      </c>
      <c r="C85" s="459" t="s">
        <v>854</v>
      </c>
      <c r="D85" s="729">
        <v>73.884</v>
      </c>
      <c r="E85" s="5">
        <f t="shared" si="54"/>
        <v>73.884</v>
      </c>
      <c r="F85" s="5">
        <f t="shared" si="29"/>
        <v>73.884</v>
      </c>
      <c r="G85" s="5">
        <f t="shared" si="30"/>
        <v>73.884</v>
      </c>
      <c r="H85" s="5">
        <f t="shared" si="31"/>
        <v>73.884</v>
      </c>
      <c r="I85" s="5">
        <f t="shared" si="32"/>
        <v>73.884</v>
      </c>
      <c r="J85" s="5">
        <f t="shared" si="33"/>
        <v>73.884</v>
      </c>
      <c r="K85" s="5">
        <f t="shared" si="34"/>
        <v>73.884</v>
      </c>
      <c r="L85" s="5">
        <f t="shared" si="35"/>
        <v>73.884</v>
      </c>
      <c r="M85" s="5">
        <f t="shared" si="36"/>
        <v>73.884</v>
      </c>
      <c r="N85" s="5">
        <f t="shared" si="37"/>
        <v>73.884</v>
      </c>
      <c r="O85" s="5">
        <f t="shared" si="38"/>
        <v>73.884</v>
      </c>
      <c r="P85" s="5">
        <f t="shared" si="39"/>
        <v>73.884</v>
      </c>
      <c r="Q85" s="5">
        <f t="shared" si="40"/>
        <v>73.884</v>
      </c>
      <c r="R85" s="5">
        <f t="shared" si="41"/>
        <v>73.884</v>
      </c>
      <c r="S85" s="5">
        <f t="shared" si="42"/>
        <v>73.884</v>
      </c>
      <c r="T85" s="5">
        <f t="shared" si="43"/>
        <v>73.884</v>
      </c>
      <c r="U85" s="5">
        <f t="shared" si="44"/>
        <v>73.884</v>
      </c>
      <c r="V85" s="5">
        <f t="shared" si="45"/>
        <v>73.884</v>
      </c>
      <c r="W85" s="5">
        <f t="shared" si="46"/>
        <v>73.884</v>
      </c>
      <c r="X85" s="5">
        <f t="shared" si="47"/>
        <v>73.884</v>
      </c>
      <c r="Y85" s="5">
        <f t="shared" si="48"/>
        <v>73.884</v>
      </c>
      <c r="Z85" s="5">
        <f t="shared" si="49"/>
        <v>73.884</v>
      </c>
      <c r="AA85" s="5">
        <f t="shared" si="50"/>
        <v>73.884</v>
      </c>
      <c r="AB85" s="5">
        <f t="shared" si="51"/>
        <v>73.884</v>
      </c>
      <c r="AC85" s="5">
        <f t="shared" si="52"/>
        <v>73.884</v>
      </c>
      <c r="AD85" s="5">
        <f t="shared" si="53"/>
        <v>73.884</v>
      </c>
      <c r="AE85" s="461" t="s">
        <v>642</v>
      </c>
      <c r="AG85" s="459"/>
    </row>
    <row r="86" spans="2:33">
      <c r="B86" s="459" t="str">
        <f t="shared" si="23"/>
        <v>TFGV_GSL_00</v>
      </c>
      <c r="C86" s="459" t="s">
        <v>854</v>
      </c>
      <c r="D86" s="729">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624</v>
      </c>
      <c r="AG86" s="459"/>
    </row>
    <row r="87" spans="2:33">
      <c r="B87" s="459" t="str">
        <f t="shared" si="23"/>
        <v>TFGV_DST_00</v>
      </c>
      <c r="C87" s="459" t="s">
        <v>854</v>
      </c>
      <c r="D87" s="730">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624</v>
      </c>
      <c r="AG87" s="459"/>
    </row>
    <row r="88" spans="2:33">
      <c r="B88" s="458" t="str">
        <f t="shared" si="23"/>
        <v>TFRAIL_DST_00</v>
      </c>
      <c r="C88" s="458" t="s">
        <v>854</v>
      </c>
      <c r="D88" s="731">
        <v>39.363999999999997</v>
      </c>
      <c r="E88" s="602">
        <f>D88</f>
        <v>39.363999999999997</v>
      </c>
      <c r="F88" s="602">
        <f t="shared" ref="F88" si="55">E88</f>
        <v>39.363999999999997</v>
      </c>
      <c r="G88" s="602">
        <f t="shared" ref="G88" si="56">F88</f>
        <v>39.363999999999997</v>
      </c>
      <c r="H88" s="602">
        <f t="shared" ref="H88" si="57">G88</f>
        <v>39.363999999999997</v>
      </c>
      <c r="I88" s="602">
        <f t="shared" ref="I88" si="58">H88</f>
        <v>39.363999999999997</v>
      </c>
      <c r="J88" s="602">
        <f t="shared" ref="J88" si="59">I88</f>
        <v>39.363999999999997</v>
      </c>
      <c r="K88" s="602">
        <f t="shared" ref="K88" si="60">J88</f>
        <v>39.363999999999997</v>
      </c>
      <c r="L88" s="602">
        <f t="shared" ref="L88" si="61">K88</f>
        <v>39.363999999999997</v>
      </c>
      <c r="M88" s="602">
        <f t="shared" ref="M88" si="62">L88</f>
        <v>39.363999999999997</v>
      </c>
      <c r="N88" s="602">
        <f t="shared" ref="N88" si="63">M88</f>
        <v>39.363999999999997</v>
      </c>
      <c r="O88" s="602">
        <f t="shared" ref="O88" si="64">N88</f>
        <v>39.363999999999997</v>
      </c>
      <c r="P88" s="602">
        <f t="shared" ref="P88" si="65">O88</f>
        <v>39.363999999999997</v>
      </c>
      <c r="Q88" s="602">
        <f t="shared" ref="Q88" si="66">P88</f>
        <v>39.363999999999997</v>
      </c>
      <c r="R88" s="602">
        <f t="shared" ref="R88" si="67">Q88</f>
        <v>39.363999999999997</v>
      </c>
      <c r="S88" s="602">
        <f t="shared" ref="S88" si="68">R88</f>
        <v>39.363999999999997</v>
      </c>
      <c r="T88" s="602">
        <f t="shared" ref="T88" si="69">S88</f>
        <v>39.363999999999997</v>
      </c>
      <c r="U88" s="602">
        <f t="shared" ref="U88" si="70">T88</f>
        <v>39.363999999999997</v>
      </c>
      <c r="V88" s="602">
        <f t="shared" ref="V88" si="71">U88</f>
        <v>39.363999999999997</v>
      </c>
      <c r="W88" s="602">
        <f t="shared" ref="W88" si="72">V88</f>
        <v>39.363999999999997</v>
      </c>
      <c r="X88" s="602">
        <f t="shared" ref="X88" si="73">W88</f>
        <v>39.363999999999997</v>
      </c>
      <c r="Y88" s="602">
        <f t="shared" ref="Y88" si="74">X88</f>
        <v>39.363999999999997</v>
      </c>
      <c r="Z88" s="602">
        <f t="shared" ref="Z88" si="75">Y88</f>
        <v>39.363999999999997</v>
      </c>
      <c r="AA88" s="602">
        <f t="shared" ref="AA88" si="76">Z88</f>
        <v>39.363999999999997</v>
      </c>
      <c r="AB88" s="602">
        <f t="shared" ref="AB88" si="77">AA88</f>
        <v>39.363999999999997</v>
      </c>
      <c r="AC88" s="602">
        <f t="shared" ref="AC88" si="78">AB88</f>
        <v>39.363999999999997</v>
      </c>
      <c r="AD88" s="602">
        <f t="shared" ref="AD88" si="79">AC88</f>
        <v>39.363999999999997</v>
      </c>
      <c r="AE88" s="459"/>
      <c r="AG88" s="459"/>
    </row>
    <row r="96" spans="2:33" ht="18.75">
      <c r="B96" s="650" t="s">
        <v>919</v>
      </c>
    </row>
    <row r="97" spans="2:30" ht="15.75" thickBot="1">
      <c r="B97" s="41" t="s">
        <v>70</v>
      </c>
      <c r="C97" s="41" t="s">
        <v>96</v>
      </c>
      <c r="D97" s="460" t="str">
        <f t="shared" ref="D97:AD97" si="80">D3</f>
        <v>IE</v>
      </c>
      <c r="E97" s="460" t="str">
        <f t="shared" si="80"/>
        <v>IE-CW</v>
      </c>
      <c r="F97" s="460" t="str">
        <f t="shared" si="80"/>
        <v>IE-D</v>
      </c>
      <c r="G97" s="460" t="str">
        <f t="shared" si="80"/>
        <v>IE-KE</v>
      </c>
      <c r="H97" s="460" t="str">
        <f t="shared" si="80"/>
        <v>IE-KK</v>
      </c>
      <c r="I97" s="460" t="str">
        <f t="shared" si="80"/>
        <v>IE-LS</v>
      </c>
      <c r="J97" s="460" t="str">
        <f t="shared" si="80"/>
        <v>IE-LD</v>
      </c>
      <c r="K97" s="460" t="str">
        <f t="shared" si="80"/>
        <v>IE-LH</v>
      </c>
      <c r="L97" s="460" t="str">
        <f t="shared" si="80"/>
        <v>IE-MH</v>
      </c>
      <c r="M97" s="460" t="str">
        <f t="shared" si="80"/>
        <v>IE-OY</v>
      </c>
      <c r="N97" s="460" t="str">
        <f t="shared" si="80"/>
        <v>IE-WH</v>
      </c>
      <c r="O97" s="460" t="str">
        <f t="shared" si="80"/>
        <v>IE-WX</v>
      </c>
      <c r="P97" s="460" t="str">
        <f t="shared" si="80"/>
        <v>IE-WW</v>
      </c>
      <c r="Q97" s="460" t="str">
        <f t="shared" si="80"/>
        <v>IE-CE</v>
      </c>
      <c r="R97" s="460" t="str">
        <f t="shared" si="80"/>
        <v>IE-CO</v>
      </c>
      <c r="S97" s="460" t="str">
        <f t="shared" si="80"/>
        <v>IE-KY</v>
      </c>
      <c r="T97" s="460" t="str">
        <f t="shared" si="80"/>
        <v>IE-LK</v>
      </c>
      <c r="U97" s="460" t="str">
        <f t="shared" si="80"/>
        <v>IE-TA</v>
      </c>
      <c r="V97" s="460" t="str">
        <f t="shared" si="80"/>
        <v>IE-WD</v>
      </c>
      <c r="W97" s="460" t="str">
        <f t="shared" si="80"/>
        <v>IE-G</v>
      </c>
      <c r="X97" s="460" t="str">
        <f t="shared" si="80"/>
        <v>IE-LM</v>
      </c>
      <c r="Y97" s="460" t="str">
        <f t="shared" si="80"/>
        <v>IE-MO</v>
      </c>
      <c r="Z97" s="460" t="str">
        <f t="shared" si="80"/>
        <v>IE-RN</v>
      </c>
      <c r="AA97" s="460" t="str">
        <f t="shared" si="80"/>
        <v>IE-SO</v>
      </c>
      <c r="AB97" s="460" t="str">
        <f t="shared" si="80"/>
        <v>IE-CN</v>
      </c>
      <c r="AC97" s="460" t="str">
        <f t="shared" si="80"/>
        <v>IE-DL</v>
      </c>
      <c r="AD97" s="460" t="str">
        <f t="shared" si="80"/>
        <v>IE-MN</v>
      </c>
    </row>
    <row r="98" spans="2:30">
      <c r="B98" s="459" t="str">
        <f>B6</f>
        <v>TMOT_GSL_00</v>
      </c>
      <c r="C98" s="459" t="s">
        <v>920</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81">B7</f>
        <v>TCAR_ICE_GSL_00</v>
      </c>
      <c r="C99" s="459" t="s">
        <v>920</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81"/>
        <v>TCAR_ICE_DST_00</v>
      </c>
      <c r="C100" s="459" t="s">
        <v>920</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81"/>
        <v>TCAR_ICE_DF_00</v>
      </c>
      <c r="C101" s="459" t="s">
        <v>920</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81"/>
        <v>TCAR_ICE_E85_00</v>
      </c>
      <c r="C102" s="459" t="s">
        <v>920</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81"/>
        <v>TCAR_HEV_GSL_00</v>
      </c>
      <c r="C103" s="459" t="s">
        <v>920</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81"/>
        <v>TCAR_HEV_DST_00</v>
      </c>
      <c r="C104" s="459" t="s">
        <v>920</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81"/>
        <v>TCAR_PHEV_GSL_00</v>
      </c>
      <c r="C105" s="459" t="s">
        <v>920</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81"/>
        <v>TCAR_PHEV_DST_00</v>
      </c>
      <c r="C106" s="459" t="s">
        <v>920</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81"/>
        <v>TCAR_BEV_00</v>
      </c>
      <c r="C107" s="459" t="s">
        <v>920</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81"/>
        <v>TTAXI_ICE_GSL_00</v>
      </c>
      <c r="C108" s="459" t="s">
        <v>920</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81"/>
        <v>TTAXI_ICE_DST_00</v>
      </c>
      <c r="C109" s="459" t="s">
        <v>920</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81"/>
        <v>TTAXI_HEV_GSL_00</v>
      </c>
      <c r="C110" s="459" t="s">
        <v>920</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81"/>
        <v>TBUS_ICE_DST_00</v>
      </c>
      <c r="C111" s="459" t="s">
        <v>920</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81"/>
        <v>TLRAIL_ELC_00</v>
      </c>
      <c r="C112" s="459" t="s">
        <v>920</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81"/>
        <v>THRAIL_ELC_00</v>
      </c>
      <c r="C113" s="459" t="s">
        <v>920</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81"/>
        <v>THRAIL_DST_00</v>
      </c>
      <c r="C114" s="459" t="s">
        <v>920</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81"/>
        <v>TFGV_GSL_00</v>
      </c>
      <c r="C115" s="459" t="s">
        <v>921</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81"/>
        <v>TFGV_DST_00</v>
      </c>
      <c r="C116" s="459" t="s">
        <v>921</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81"/>
        <v>TFRAIL_DST_00</v>
      </c>
      <c r="C117" s="458" t="s">
        <v>921</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2020-11-06T01:58:07Z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537742257118225</vt:r8>
  </property>
</Properties>
</file>